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Li\Dropbox\Asia\WIDHongKong\"/>
    </mc:Choice>
  </mc:AlternateContent>
  <xr:revisionPtr revIDLastSave="0" documentId="13_ncr:1_{1590BE68-3099-4744-AFFD-01A288C014C4}" xr6:coauthVersionLast="47" xr6:coauthVersionMax="47" xr10:uidLastSave="{00000000-0000-0000-0000-000000000000}"/>
  <bookViews>
    <workbookView xWindow="-120" yWindow="-120" windowWidth="29040" windowHeight="15840" tabRatio="759" activeTab="4" xr2:uid="{00000000-000D-0000-FFFF-FFFF00000000}"/>
  </bookViews>
  <sheets>
    <sheet name="Index" sheetId="49" r:id="rId1"/>
    <sheet name="A1.0" sheetId="4" r:id="rId2"/>
    <sheet name="A1.1" sheetId="24" r:id="rId3"/>
    <sheet name="A2.0" sheetId="7" r:id="rId4"/>
    <sheet name="A2.1" sheetId="16" r:id="rId5"/>
    <sheet name="A2.2" sheetId="17" r:id="rId6"/>
    <sheet name="A2.3" sheetId="6" r:id="rId7"/>
    <sheet name="A2.4" sheetId="50" r:id="rId8"/>
    <sheet name="A2.5" sheetId="51" r:id="rId9"/>
    <sheet name="A2.6" sheetId="52" r:id="rId10"/>
    <sheet name="A3.0" sheetId="26" r:id="rId11"/>
    <sheet name="A3.1" sheetId="36" r:id="rId12"/>
    <sheet name="A4.0" sheetId="10" r:id="rId13"/>
    <sheet name="A4.1" sheetId="33" r:id="rId14"/>
    <sheet name="AX1" sheetId="3" r:id="rId15"/>
    <sheet name="AX2" sheetId="1" r:id="rId16"/>
    <sheet name="AX3" sheetId="9" r:id="rId17"/>
    <sheet name="AX4" sheetId="8" r:id="rId18"/>
    <sheet name="AX5" sheetId="13" r:id="rId19"/>
    <sheet name="AX6" sheetId="19" r:id="rId20"/>
    <sheet name="AX7" sheetId="22" r:id="rId21"/>
    <sheet name="AX8" sheetId="35" r:id="rId22"/>
    <sheet name="AX9" sheetId="37" r:id="rId23"/>
    <sheet name="AX10" sheetId="45" r:id="rId24"/>
    <sheet name="AX11" sheetId="25" r:id="rId25"/>
    <sheet name="AX12" sheetId="27" r:id="rId26"/>
    <sheet name="AX13" sheetId="32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column_head" localSheetId="3">#REF!</definedName>
    <definedName name="column_head" localSheetId="4">#REF!</definedName>
    <definedName name="column_head" localSheetId="5">#REF!</definedName>
    <definedName name="column_head" localSheetId="6">#REF!</definedName>
    <definedName name="column_head" localSheetId="7">#REF!</definedName>
    <definedName name="column_head" localSheetId="8">#REF!</definedName>
    <definedName name="column_head" localSheetId="9">#REF!</definedName>
    <definedName name="column_head" localSheetId="10">#REF!</definedName>
    <definedName name="column_head" localSheetId="11">#REF!</definedName>
    <definedName name="column_head" localSheetId="18">#REF!</definedName>
    <definedName name="column_head">#REF!</definedName>
    <definedName name="column_headings" localSheetId="3">#REF!</definedName>
    <definedName name="column_headings" localSheetId="4">#REF!</definedName>
    <definedName name="column_headings" localSheetId="5">#REF!</definedName>
    <definedName name="column_headings" localSheetId="6">#REF!</definedName>
    <definedName name="column_headings" localSheetId="7">#REF!</definedName>
    <definedName name="column_headings" localSheetId="8">#REF!</definedName>
    <definedName name="column_headings" localSheetId="9">#REF!</definedName>
    <definedName name="column_headings" localSheetId="10">#REF!</definedName>
    <definedName name="column_headings" localSheetId="11">#REF!</definedName>
    <definedName name="column_headings" localSheetId="18">#REF!</definedName>
    <definedName name="column_headings">#REF!</definedName>
    <definedName name="column_numbers" localSheetId="3">#REF!</definedName>
    <definedName name="column_numbers" localSheetId="4">#REF!</definedName>
    <definedName name="column_numbers" localSheetId="5">#REF!</definedName>
    <definedName name="column_numbers" localSheetId="6">#REF!</definedName>
    <definedName name="column_numbers" localSheetId="7">#REF!</definedName>
    <definedName name="column_numbers" localSheetId="8">#REF!</definedName>
    <definedName name="column_numbers" localSheetId="9">#REF!</definedName>
    <definedName name="column_numbers" localSheetId="10">#REF!</definedName>
    <definedName name="column_numbers" localSheetId="11">#REF!</definedName>
    <definedName name="column_numbers" localSheetId="18">#REF!</definedName>
    <definedName name="column_numbers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8">#REF!</definedName>
    <definedName name="data">#REF!</definedName>
    <definedName name="data2" localSheetId="3">#REF!</definedName>
    <definedName name="data2" localSheetId="4">#REF!</definedName>
    <definedName name="data2" localSheetId="5">#REF!</definedName>
    <definedName name="data2" localSheetId="6">#REF!</definedName>
    <definedName name="data2" localSheetId="7">#REF!</definedName>
    <definedName name="data2" localSheetId="8">#REF!</definedName>
    <definedName name="data2" localSheetId="9">#REF!</definedName>
    <definedName name="data2" localSheetId="10">#REF!</definedName>
    <definedName name="data2" localSheetId="11">#REF!</definedName>
    <definedName name="data2" localSheetId="18">#REF!</definedName>
    <definedName name="data2">#REF!</definedName>
    <definedName name="Diag" localSheetId="3">#REF!,#REF!</definedName>
    <definedName name="Diag" localSheetId="4">#REF!,#REF!</definedName>
    <definedName name="Diag" localSheetId="5">#REF!,#REF!</definedName>
    <definedName name="Diag" localSheetId="6">#REF!,#REF!</definedName>
    <definedName name="Diag" localSheetId="7">#REF!,#REF!</definedName>
    <definedName name="Diag" localSheetId="8">#REF!,#REF!</definedName>
    <definedName name="Diag" localSheetId="9">#REF!,#REF!</definedName>
    <definedName name="Diag" localSheetId="10">#REF!,#REF!</definedName>
    <definedName name="Diag" localSheetId="11">#REF!,#REF!</definedName>
    <definedName name="Diag" localSheetId="18">#REF!,#REF!</definedName>
    <definedName name="Diag">#REF!,#REF!</definedName>
    <definedName name="ea_flux" localSheetId="3">#REF!</definedName>
    <definedName name="ea_flux" localSheetId="4">#REF!</definedName>
    <definedName name="ea_flux" localSheetId="5">#REF!</definedName>
    <definedName name="ea_flux" localSheetId="6">#REF!</definedName>
    <definedName name="ea_flux" localSheetId="7">#REF!</definedName>
    <definedName name="ea_flux" localSheetId="8">#REF!</definedName>
    <definedName name="ea_flux" localSheetId="9">#REF!</definedName>
    <definedName name="ea_flux" localSheetId="10">#REF!</definedName>
    <definedName name="ea_flux" localSheetId="11">#REF!</definedName>
    <definedName name="ea_flux" localSheetId="18">#REF!</definedName>
    <definedName name="ea_flux">#REF!</definedName>
    <definedName name="Equilibre" localSheetId="3">#REF!</definedName>
    <definedName name="Equilibre" localSheetId="4">#REF!</definedName>
    <definedName name="Equilibre" localSheetId="5">#REF!</definedName>
    <definedName name="Equilibre" localSheetId="6">#REF!</definedName>
    <definedName name="Equilibre" localSheetId="7">#REF!</definedName>
    <definedName name="Equilibre" localSheetId="8">#REF!</definedName>
    <definedName name="Equilibre" localSheetId="9">#REF!</definedName>
    <definedName name="Equilibre" localSheetId="10">#REF!</definedName>
    <definedName name="Equilibre" localSheetId="11">#REF!</definedName>
    <definedName name="Equilibre" localSheetId="18">#REF!</definedName>
    <definedName name="Equilibre">#REF!</definedName>
    <definedName name="females" localSheetId="3">'[1]rba table'!$I$10:$I$49</definedName>
    <definedName name="females" localSheetId="4">'[1]rba table'!$I$10:$I$49</definedName>
    <definedName name="females" localSheetId="5">'[1]rba table'!$I$10:$I$49</definedName>
    <definedName name="females" localSheetId="6">'[1]rba table'!$I$10:$I$49</definedName>
    <definedName name="females" localSheetId="7">'[1]rba table'!$I$10:$I$49</definedName>
    <definedName name="females" localSheetId="8">'[1]rba table'!$I$10:$I$49</definedName>
    <definedName name="females" localSheetId="9">'[1]rba table'!$I$10:$I$49</definedName>
    <definedName name="females" localSheetId="10">'[1]rba table'!$I$10:$I$49</definedName>
    <definedName name="females" localSheetId="11">'[1]rba table'!$I$10:$I$49</definedName>
    <definedName name="females" localSheetId="18">'[1]rba table'!$I$10:$I$49</definedName>
    <definedName name="females">'[2]rba table'!$I$10:$I$49</definedName>
    <definedName name="fig4b" localSheetId="3">#REF!</definedName>
    <definedName name="fig4b" localSheetId="4">#REF!</definedName>
    <definedName name="fig4b" localSheetId="5">#REF!</definedName>
    <definedName name="fig4b" localSheetId="6">#REF!</definedName>
    <definedName name="fig4b" localSheetId="7">#REF!</definedName>
    <definedName name="fig4b" localSheetId="8">#REF!</definedName>
    <definedName name="fig4b" localSheetId="9">#REF!</definedName>
    <definedName name="fig4b" localSheetId="10">#REF!</definedName>
    <definedName name="fig4b" localSheetId="11">#REF!</definedName>
    <definedName name="fig4b" localSheetId="18">#REF!</definedName>
    <definedName name="fig4b">#REF!</definedName>
    <definedName name="fmtr" localSheetId="3">#REF!</definedName>
    <definedName name="fmtr" localSheetId="4">#REF!</definedName>
    <definedName name="fmtr" localSheetId="5">#REF!</definedName>
    <definedName name="fmtr" localSheetId="6">#REF!</definedName>
    <definedName name="fmtr" localSheetId="7">#REF!</definedName>
    <definedName name="fmtr" localSheetId="8">#REF!</definedName>
    <definedName name="fmtr" localSheetId="9">#REF!</definedName>
    <definedName name="fmtr" localSheetId="10">#REF!</definedName>
    <definedName name="fmtr" localSheetId="11">#REF!</definedName>
    <definedName name="fmtr" localSheetId="18">#REF!</definedName>
    <definedName name="fmtr">#REF!</definedName>
    <definedName name="footno" localSheetId="3">#REF!</definedName>
    <definedName name="footno" localSheetId="4">#REF!</definedName>
    <definedName name="footno" localSheetId="5">#REF!</definedName>
    <definedName name="footno" localSheetId="6">#REF!</definedName>
    <definedName name="footno" localSheetId="7">#REF!</definedName>
    <definedName name="footno" localSheetId="8">#REF!</definedName>
    <definedName name="footno" localSheetId="9">#REF!</definedName>
    <definedName name="footno" localSheetId="10">#REF!</definedName>
    <definedName name="footno" localSheetId="11">#REF!</definedName>
    <definedName name="footno" localSheetId="18">#REF!</definedName>
    <definedName name="footno">#REF!</definedName>
    <definedName name="footnotes" localSheetId="3">#REF!</definedName>
    <definedName name="footnotes" localSheetId="4">#REF!</definedName>
    <definedName name="footnotes" localSheetId="5">#REF!</definedName>
    <definedName name="footnotes" localSheetId="6">#REF!</definedName>
    <definedName name="footnotes" localSheetId="7">#REF!</definedName>
    <definedName name="footnotes" localSheetId="8">#REF!</definedName>
    <definedName name="footnotes" localSheetId="9">#REF!</definedName>
    <definedName name="footnotes" localSheetId="10">#REF!</definedName>
    <definedName name="footnotes" localSheetId="11">#REF!</definedName>
    <definedName name="footnotes" localSheetId="18">#REF!</definedName>
    <definedName name="footnotes">#REF!</definedName>
    <definedName name="footnotes2" localSheetId="3">#REF!</definedName>
    <definedName name="footnotes2" localSheetId="4">#REF!</definedName>
    <definedName name="footnotes2" localSheetId="5">#REF!</definedName>
    <definedName name="footnotes2" localSheetId="6">#REF!</definedName>
    <definedName name="footnotes2" localSheetId="7">#REF!</definedName>
    <definedName name="footnotes2" localSheetId="8">#REF!</definedName>
    <definedName name="footnotes2" localSheetId="9">#REF!</definedName>
    <definedName name="footnotes2" localSheetId="10">#REF!</definedName>
    <definedName name="footnotes2" localSheetId="11">#REF!</definedName>
    <definedName name="footnotes2" localSheetId="18">#REF!</definedName>
    <definedName name="footnotes2">#REF!</definedName>
    <definedName name="GEOG9703" localSheetId="3">#REF!</definedName>
    <definedName name="GEOG9703" localSheetId="4">#REF!</definedName>
    <definedName name="GEOG9703" localSheetId="5">#REF!</definedName>
    <definedName name="GEOG9703" localSheetId="6">#REF!</definedName>
    <definedName name="GEOG9703" localSheetId="7">#REF!</definedName>
    <definedName name="GEOG9703" localSheetId="8">#REF!</definedName>
    <definedName name="GEOG9703" localSheetId="9">#REF!</definedName>
    <definedName name="GEOG9703" localSheetId="10">#REF!</definedName>
    <definedName name="GEOG9703" localSheetId="11">#REF!</definedName>
    <definedName name="GEOG9703" localSheetId="18">#REF!</definedName>
    <definedName name="GEOG9703">#REF!</definedName>
    <definedName name="HTML_CodePage" hidden="1">1252</definedName>
    <definedName name="HTML_Control" localSheetId="3" hidden="1">{"'swa xoffs'!$A$4:$Q$37"}</definedName>
    <definedName name="HTML_Control" localSheetId="4" hidden="1">{"'swa xoffs'!$A$4:$Q$37"}</definedName>
    <definedName name="HTML_Control" localSheetId="5" hidden="1">{"'swa xoffs'!$A$4:$Q$37"}</definedName>
    <definedName name="HTML_Control" localSheetId="6" hidden="1">{"'swa xoffs'!$A$4:$Q$37"}</definedName>
    <definedName name="HTML_Control" localSheetId="7" hidden="1">{"'swa xoffs'!$A$4:$Q$37"}</definedName>
    <definedName name="HTML_Control" localSheetId="8" hidden="1">{"'swa xoffs'!$A$4:$Q$37"}</definedName>
    <definedName name="HTML_Control" localSheetId="9" hidden="1">{"'swa xoffs'!$A$4:$Q$37"}</definedName>
    <definedName name="HTML_Control" localSheetId="10" hidden="1">{"'swa xoffs'!$A$4:$Q$37"}</definedName>
    <definedName name="HTML_Control" localSheetId="11" hidden="1">{"'swa xoffs'!$A$4:$Q$37"}</definedName>
    <definedName name="HTML_Control" localSheetId="18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8">#REF!</definedName>
    <definedName name="k" localSheetId="9">#REF!</definedName>
    <definedName name="k" localSheetId="10">#REF!</definedName>
    <definedName name="k" localSheetId="11">#REF!</definedName>
    <definedName name="k" localSheetId="18">#REF!</definedName>
    <definedName name="k">#REF!</definedName>
    <definedName name="males" localSheetId="3">'[1]rba table'!$C$10:$C$49</definedName>
    <definedName name="males" localSheetId="4">'[1]rba table'!$C$10:$C$49</definedName>
    <definedName name="males" localSheetId="5">'[1]rba table'!$C$10:$C$49</definedName>
    <definedName name="males" localSheetId="6">'[1]rba table'!$C$10:$C$49</definedName>
    <definedName name="males" localSheetId="7">'[1]rba table'!$C$10:$C$49</definedName>
    <definedName name="males" localSheetId="8">'[1]rba table'!$C$10:$C$49</definedName>
    <definedName name="males" localSheetId="9">'[1]rba table'!$C$10:$C$49</definedName>
    <definedName name="males" localSheetId="10">'[1]rba table'!$C$10:$C$49</definedName>
    <definedName name="males" localSheetId="11">'[1]rba table'!$C$10:$C$49</definedName>
    <definedName name="males" localSheetId="18">'[1]rba table'!$C$10:$C$49</definedName>
    <definedName name="males">'[2]rba table'!$C$10:$C$49</definedName>
    <definedName name="PIB" localSheetId="3">#REF!</definedName>
    <definedName name="PIB" localSheetId="4">#REF!</definedName>
    <definedName name="PIB" localSheetId="5">#REF!</definedName>
    <definedName name="PIB" localSheetId="6">#REF!</definedName>
    <definedName name="PIB" localSheetId="7">#REF!</definedName>
    <definedName name="PIB" localSheetId="8">#REF!</definedName>
    <definedName name="PIB" localSheetId="9">#REF!</definedName>
    <definedName name="PIB" localSheetId="10">#REF!</definedName>
    <definedName name="PIB" localSheetId="11">#REF!</definedName>
    <definedName name="PIB" localSheetId="18">#REF!</definedName>
    <definedName name="PIB">#REF!</definedName>
    <definedName name="Rentflag">IF([3]Comparison!$B$7,"","not ")</definedName>
    <definedName name="ressources" localSheetId="3">#REF!</definedName>
    <definedName name="ressources" localSheetId="4">#REF!</definedName>
    <definedName name="ressources" localSheetId="5">#REF!</definedName>
    <definedName name="ressources" localSheetId="6">#REF!</definedName>
    <definedName name="ressources" localSheetId="7">#REF!</definedName>
    <definedName name="ressources" localSheetId="8">#REF!</definedName>
    <definedName name="ressources" localSheetId="9">#REF!</definedName>
    <definedName name="ressources" localSheetId="10">#REF!</definedName>
    <definedName name="ressources" localSheetId="11">#REF!</definedName>
    <definedName name="ressources" localSheetId="18">#REF!</definedName>
    <definedName name="ressources">#REF!</definedName>
    <definedName name="rpflux" localSheetId="3">#REF!</definedName>
    <definedName name="rpflux" localSheetId="4">#REF!</definedName>
    <definedName name="rpflux" localSheetId="5">#REF!</definedName>
    <definedName name="rpflux" localSheetId="6">#REF!</definedName>
    <definedName name="rpflux" localSheetId="7">#REF!</definedName>
    <definedName name="rpflux" localSheetId="8">#REF!</definedName>
    <definedName name="rpflux" localSheetId="9">#REF!</definedName>
    <definedName name="rpflux" localSheetId="10">#REF!</definedName>
    <definedName name="rpflux" localSheetId="11">#REF!</definedName>
    <definedName name="rpflux" localSheetId="18">#REF!</definedName>
    <definedName name="rpflux">#REF!</definedName>
    <definedName name="rptof" localSheetId="3">#REF!</definedName>
    <definedName name="rptof" localSheetId="4">#REF!</definedName>
    <definedName name="rptof" localSheetId="5">#REF!</definedName>
    <definedName name="rptof" localSheetId="6">#REF!</definedName>
    <definedName name="rptof" localSheetId="7">#REF!</definedName>
    <definedName name="rptof" localSheetId="8">#REF!</definedName>
    <definedName name="rptof" localSheetId="9">#REF!</definedName>
    <definedName name="rptof" localSheetId="10">#REF!</definedName>
    <definedName name="rptof" localSheetId="11">#REF!</definedName>
    <definedName name="rptof" localSheetId="18">#REF!</definedName>
    <definedName name="rptof">#REF!</definedName>
    <definedName name="spanners_level1" localSheetId="3">#REF!</definedName>
    <definedName name="spanners_level1" localSheetId="4">#REF!</definedName>
    <definedName name="spanners_level1" localSheetId="5">#REF!</definedName>
    <definedName name="spanners_level1" localSheetId="6">#REF!</definedName>
    <definedName name="spanners_level1" localSheetId="7">#REF!</definedName>
    <definedName name="spanners_level1" localSheetId="8">#REF!</definedName>
    <definedName name="spanners_level1" localSheetId="9">#REF!</definedName>
    <definedName name="spanners_level1" localSheetId="10">#REF!</definedName>
    <definedName name="spanners_level1" localSheetId="11">#REF!</definedName>
    <definedName name="spanners_level1" localSheetId="18">#REF!</definedName>
    <definedName name="spanners_level1">#REF!</definedName>
    <definedName name="spanners_level2" localSheetId="3">#REF!</definedName>
    <definedName name="spanners_level2" localSheetId="4">#REF!</definedName>
    <definedName name="spanners_level2" localSheetId="5">#REF!</definedName>
    <definedName name="spanners_level2" localSheetId="6">#REF!</definedName>
    <definedName name="spanners_level2" localSheetId="7">#REF!</definedName>
    <definedName name="spanners_level2" localSheetId="8">#REF!</definedName>
    <definedName name="spanners_level2" localSheetId="9">#REF!</definedName>
    <definedName name="spanners_level2" localSheetId="10">#REF!</definedName>
    <definedName name="spanners_level2" localSheetId="11">#REF!</definedName>
    <definedName name="spanners_level2" localSheetId="18">#REF!</definedName>
    <definedName name="spanners_level2">#REF!</definedName>
    <definedName name="spanners_level3" localSheetId="3">#REF!</definedName>
    <definedName name="spanners_level3" localSheetId="4">#REF!</definedName>
    <definedName name="spanners_level3" localSheetId="5">#REF!</definedName>
    <definedName name="spanners_level3" localSheetId="6">#REF!</definedName>
    <definedName name="spanners_level3" localSheetId="7">#REF!</definedName>
    <definedName name="spanners_level3" localSheetId="8">#REF!</definedName>
    <definedName name="spanners_level3" localSheetId="9">#REF!</definedName>
    <definedName name="spanners_level3" localSheetId="10">#REF!</definedName>
    <definedName name="spanners_level3" localSheetId="11">#REF!</definedName>
    <definedName name="spanners_level3" localSheetId="18">#REF!</definedName>
    <definedName name="spanners_level3">#REF!</definedName>
    <definedName name="spanners_level4" localSheetId="3">#REF!</definedName>
    <definedName name="spanners_level4" localSheetId="4">#REF!</definedName>
    <definedName name="spanners_level4" localSheetId="5">#REF!</definedName>
    <definedName name="spanners_level4" localSheetId="6">#REF!</definedName>
    <definedName name="spanners_level4" localSheetId="7">#REF!</definedName>
    <definedName name="spanners_level4" localSheetId="8">#REF!</definedName>
    <definedName name="spanners_level4" localSheetId="9">#REF!</definedName>
    <definedName name="spanners_level4" localSheetId="10">#REF!</definedName>
    <definedName name="spanners_level4" localSheetId="11">#REF!</definedName>
    <definedName name="spanners_level4" localSheetId="18">#REF!</definedName>
    <definedName name="spanners_level4">#REF!</definedName>
    <definedName name="spanners_level5" localSheetId="3">#REF!</definedName>
    <definedName name="spanners_level5" localSheetId="4">#REF!</definedName>
    <definedName name="spanners_level5" localSheetId="5">#REF!</definedName>
    <definedName name="spanners_level5" localSheetId="6">#REF!</definedName>
    <definedName name="spanners_level5" localSheetId="7">#REF!</definedName>
    <definedName name="spanners_level5" localSheetId="8">#REF!</definedName>
    <definedName name="spanners_level5" localSheetId="9">#REF!</definedName>
    <definedName name="spanners_level5" localSheetId="10">#REF!</definedName>
    <definedName name="spanners_level5" localSheetId="11">#REF!</definedName>
    <definedName name="spanners_level5" localSheetId="18">#REF!</definedName>
    <definedName name="spanners_level5">#REF!</definedName>
    <definedName name="spanners_levelV" localSheetId="3">#REF!</definedName>
    <definedName name="spanners_levelV" localSheetId="4">#REF!</definedName>
    <definedName name="spanners_levelV" localSheetId="5">#REF!</definedName>
    <definedName name="spanners_levelV" localSheetId="6">#REF!</definedName>
    <definedName name="spanners_levelV" localSheetId="7">#REF!</definedName>
    <definedName name="spanners_levelV" localSheetId="8">#REF!</definedName>
    <definedName name="spanners_levelV" localSheetId="9">#REF!</definedName>
    <definedName name="spanners_levelV" localSheetId="10">#REF!</definedName>
    <definedName name="spanners_levelV" localSheetId="11">#REF!</definedName>
    <definedName name="spanners_levelV" localSheetId="18">#REF!</definedName>
    <definedName name="spanners_levelV">#REF!</definedName>
    <definedName name="spanners_levelX" localSheetId="3">#REF!</definedName>
    <definedName name="spanners_levelX" localSheetId="4">#REF!</definedName>
    <definedName name="spanners_levelX" localSheetId="5">#REF!</definedName>
    <definedName name="spanners_levelX" localSheetId="6">#REF!</definedName>
    <definedName name="spanners_levelX" localSheetId="7">#REF!</definedName>
    <definedName name="spanners_levelX" localSheetId="8">#REF!</definedName>
    <definedName name="spanners_levelX" localSheetId="9">#REF!</definedName>
    <definedName name="spanners_levelX" localSheetId="10">#REF!</definedName>
    <definedName name="spanners_levelX" localSheetId="11">#REF!</definedName>
    <definedName name="spanners_levelX" localSheetId="18">#REF!</definedName>
    <definedName name="spanners_levelX">#REF!</definedName>
    <definedName name="spanners_levelY" localSheetId="3">#REF!</definedName>
    <definedName name="spanners_levelY" localSheetId="4">#REF!</definedName>
    <definedName name="spanners_levelY" localSheetId="5">#REF!</definedName>
    <definedName name="spanners_levelY" localSheetId="6">#REF!</definedName>
    <definedName name="spanners_levelY" localSheetId="7">#REF!</definedName>
    <definedName name="spanners_levelY" localSheetId="8">#REF!</definedName>
    <definedName name="spanners_levelY" localSheetId="9">#REF!</definedName>
    <definedName name="spanners_levelY" localSheetId="10">#REF!</definedName>
    <definedName name="spanners_levelY" localSheetId="11">#REF!</definedName>
    <definedName name="spanners_levelY" localSheetId="18">#REF!</definedName>
    <definedName name="spanners_levelY">#REF!</definedName>
    <definedName name="spanners_levelZ" localSheetId="3">#REF!</definedName>
    <definedName name="spanners_levelZ" localSheetId="4">#REF!</definedName>
    <definedName name="spanners_levelZ" localSheetId="5">#REF!</definedName>
    <definedName name="spanners_levelZ" localSheetId="6">#REF!</definedName>
    <definedName name="spanners_levelZ" localSheetId="7">#REF!</definedName>
    <definedName name="spanners_levelZ" localSheetId="8">#REF!</definedName>
    <definedName name="spanners_levelZ" localSheetId="9">#REF!</definedName>
    <definedName name="spanners_levelZ" localSheetId="10">#REF!</definedName>
    <definedName name="spanners_levelZ" localSheetId="11">#REF!</definedName>
    <definedName name="spanners_levelZ" localSheetId="18">#REF!</definedName>
    <definedName name="spanners_levelZ">#REF!</definedName>
    <definedName name="stub_lines" localSheetId="3">#REF!</definedName>
    <definedName name="stub_lines" localSheetId="4">#REF!</definedName>
    <definedName name="stub_lines" localSheetId="5">#REF!</definedName>
    <definedName name="stub_lines" localSheetId="6">#REF!</definedName>
    <definedName name="stub_lines" localSheetId="7">#REF!</definedName>
    <definedName name="stub_lines" localSheetId="8">#REF!</definedName>
    <definedName name="stub_lines" localSheetId="9">#REF!</definedName>
    <definedName name="stub_lines" localSheetId="10">#REF!</definedName>
    <definedName name="stub_lines" localSheetId="11">#REF!</definedName>
    <definedName name="stub_lines" localSheetId="18">#REF!</definedName>
    <definedName name="stub_lines">#REF!</definedName>
    <definedName name="temp" localSheetId="3">#REF!</definedName>
    <definedName name="temp" localSheetId="4">#REF!</definedName>
    <definedName name="temp" localSheetId="5">#REF!</definedName>
    <definedName name="temp" localSheetId="6">#REF!</definedName>
    <definedName name="temp" localSheetId="7">#REF!</definedName>
    <definedName name="temp" localSheetId="8">#REF!</definedName>
    <definedName name="temp" localSheetId="9">#REF!</definedName>
    <definedName name="temp" localSheetId="10">#REF!</definedName>
    <definedName name="temp" localSheetId="11">#REF!</definedName>
    <definedName name="temp" localSheetId="18">#REF!</definedName>
    <definedName name="temp">#REF!</definedName>
    <definedName name="titles" localSheetId="3">#REF!</definedName>
    <definedName name="titles" localSheetId="4">#REF!</definedName>
    <definedName name="titles" localSheetId="5">#REF!</definedName>
    <definedName name="titles" localSheetId="6">#REF!</definedName>
    <definedName name="titles" localSheetId="7">#REF!</definedName>
    <definedName name="titles" localSheetId="8">#REF!</definedName>
    <definedName name="titles" localSheetId="9">#REF!</definedName>
    <definedName name="titles" localSheetId="10">#REF!</definedName>
    <definedName name="titles" localSheetId="11">#REF!</definedName>
    <definedName name="titles" localSheetId="18">#REF!</definedName>
    <definedName name="titles">#REF!</definedName>
    <definedName name="totals" localSheetId="3">#REF!</definedName>
    <definedName name="totals" localSheetId="4">#REF!</definedName>
    <definedName name="totals" localSheetId="5">#REF!</definedName>
    <definedName name="totals" localSheetId="6">#REF!</definedName>
    <definedName name="totals" localSheetId="7">#REF!</definedName>
    <definedName name="totals" localSheetId="8">#REF!</definedName>
    <definedName name="totals" localSheetId="9">#REF!</definedName>
    <definedName name="totals" localSheetId="10">#REF!</definedName>
    <definedName name="totals" localSheetId="11">#REF!</definedName>
    <definedName name="totals" localSheetId="18">#REF!</definedName>
    <definedName name="totals">#REF!</definedName>
    <definedName name="tt">#REF!</definedName>
    <definedName name="xxx" localSheetId="3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8">#REF!</definedName>
    <definedName name="xxx">#REF!</definedName>
    <definedName name="Year">[3]Output!$C$4:$C$38</definedName>
    <definedName name="YearLabel">[3]Output!$B$15</definedName>
  </definedNames>
  <calcPr calcId="181029" concurrentCalc="0"/>
</workbook>
</file>

<file path=xl/calcChain.xml><?xml version="1.0" encoding="utf-8"?>
<calcChain xmlns="http://schemas.openxmlformats.org/spreadsheetml/2006/main">
  <c r="B19" i="49" l="1"/>
  <c r="B18" i="49"/>
  <c r="B17" i="49"/>
  <c r="AE16" i="52"/>
  <c r="AD16" i="52"/>
  <c r="AC16" i="52"/>
  <c r="AB16" i="52"/>
  <c r="AA16" i="52"/>
  <c r="Z16" i="52"/>
  <c r="Y16" i="52"/>
  <c r="X16" i="52"/>
  <c r="W16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AE15" i="52"/>
  <c r="AD15" i="52"/>
  <c r="AC15" i="52"/>
  <c r="AB15" i="52"/>
  <c r="AA15" i="52"/>
  <c r="Z15" i="52"/>
  <c r="Y15" i="52"/>
  <c r="X15" i="52"/>
  <c r="W15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C15" i="52"/>
  <c r="B15" i="52"/>
  <c r="AE14" i="52"/>
  <c r="AD14" i="52"/>
  <c r="AC14" i="52"/>
  <c r="AB14" i="52"/>
  <c r="AA14" i="52"/>
  <c r="Z14" i="52"/>
  <c r="Y14" i="52"/>
  <c r="X14" i="52"/>
  <c r="W14" i="52"/>
  <c r="V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C14" i="52"/>
  <c r="B14" i="52"/>
  <c r="AE13" i="52"/>
  <c r="AD13" i="52"/>
  <c r="AC13" i="52"/>
  <c r="AB13" i="52"/>
  <c r="AA13" i="52"/>
  <c r="Z13" i="52"/>
  <c r="Y13" i="52"/>
  <c r="X13" i="52"/>
  <c r="W13" i="52"/>
  <c r="V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C13" i="52"/>
  <c r="B13" i="52"/>
  <c r="AE12" i="52"/>
  <c r="AD12" i="52"/>
  <c r="AC12" i="52"/>
  <c r="AB12" i="52"/>
  <c r="AA12" i="52"/>
  <c r="Z12" i="52"/>
  <c r="Y12" i="52"/>
  <c r="X12" i="52"/>
  <c r="W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C12" i="52"/>
  <c r="B12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AE10" i="52"/>
  <c r="AD10" i="52"/>
  <c r="AC10" i="52"/>
  <c r="AB10" i="52"/>
  <c r="AA10" i="52"/>
  <c r="Z10" i="52"/>
  <c r="Y10" i="52"/>
  <c r="X10" i="52"/>
  <c r="W10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AE9" i="52"/>
  <c r="AD9" i="52"/>
  <c r="AC9" i="52"/>
  <c r="AB9" i="52"/>
  <c r="AA9" i="52"/>
  <c r="Z9" i="52"/>
  <c r="Y9" i="52"/>
  <c r="X9" i="52"/>
  <c r="W9" i="52"/>
  <c r="V9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H9" i="52"/>
  <c r="G9" i="52"/>
  <c r="F9" i="52"/>
  <c r="E9" i="52"/>
  <c r="D9" i="52"/>
  <c r="C9" i="52"/>
  <c r="B9" i="52"/>
  <c r="AC11" i="51"/>
  <c r="V11" i="51"/>
  <c r="O11" i="51"/>
  <c r="H11" i="51"/>
  <c r="AC10" i="51"/>
  <c r="V10" i="51"/>
  <c r="O10" i="51"/>
  <c r="H10" i="51"/>
  <c r="AC9" i="51"/>
  <c r="V9" i="51"/>
  <c r="O9" i="51"/>
  <c r="H9" i="51"/>
  <c r="AC8" i="51"/>
  <c r="V8" i="51"/>
  <c r="O8" i="51"/>
  <c r="H8" i="51"/>
  <c r="AC15" i="50"/>
  <c r="AB15" i="50"/>
  <c r="AB11" i="51"/>
  <c r="AA15" i="50"/>
  <c r="AA10" i="51"/>
  <c r="Z15" i="50"/>
  <c r="Z11" i="51"/>
  <c r="Y15" i="50"/>
  <c r="Y11" i="51"/>
  <c r="X15" i="50"/>
  <c r="X11" i="51"/>
  <c r="V15" i="50"/>
  <c r="U15" i="50"/>
  <c r="U11" i="51"/>
  <c r="T15" i="50"/>
  <c r="T11" i="51"/>
  <c r="S15" i="50"/>
  <c r="S11" i="51"/>
  <c r="R15" i="50"/>
  <c r="R11" i="51"/>
  <c r="Q15" i="50"/>
  <c r="Q11" i="51"/>
  <c r="O15" i="50"/>
  <c r="N15" i="50"/>
  <c r="N11" i="51"/>
  <c r="M15" i="50"/>
  <c r="M11" i="51"/>
  <c r="L15" i="50"/>
  <c r="L11" i="51"/>
  <c r="K15" i="50"/>
  <c r="K11" i="51"/>
  <c r="J15" i="50"/>
  <c r="J11" i="51"/>
  <c r="H15" i="50"/>
  <c r="G15" i="50"/>
  <c r="G11" i="51"/>
  <c r="F15" i="50"/>
  <c r="F11" i="51"/>
  <c r="E15" i="50"/>
  <c r="E11" i="51"/>
  <c r="D15" i="50"/>
  <c r="D11" i="51"/>
  <c r="C15" i="50"/>
  <c r="C11" i="51"/>
  <c r="AC14" i="50"/>
  <c r="AB14" i="50"/>
  <c r="AA14" i="50"/>
  <c r="Z14" i="50"/>
  <c r="Y14" i="50"/>
  <c r="X14" i="50"/>
  <c r="V14" i="50"/>
  <c r="U14" i="50"/>
  <c r="T14" i="50"/>
  <c r="S14" i="50"/>
  <c r="R14" i="50"/>
  <c r="Q14" i="50"/>
  <c r="O14" i="50"/>
  <c r="N14" i="50"/>
  <c r="M14" i="50"/>
  <c r="L14" i="50"/>
  <c r="K14" i="50"/>
  <c r="J14" i="50"/>
  <c r="H14" i="50"/>
  <c r="G14" i="50"/>
  <c r="F14" i="50"/>
  <c r="E14" i="50"/>
  <c r="D14" i="50"/>
  <c r="C14" i="50"/>
  <c r="AC13" i="50"/>
  <c r="AB13" i="50"/>
  <c r="AA13" i="50"/>
  <c r="Z13" i="50"/>
  <c r="Y13" i="50"/>
  <c r="X13" i="50"/>
  <c r="V13" i="50"/>
  <c r="U13" i="50"/>
  <c r="T13" i="50"/>
  <c r="S13" i="50"/>
  <c r="R13" i="50"/>
  <c r="Q13" i="50"/>
  <c r="O13" i="50"/>
  <c r="N13" i="50"/>
  <c r="M13" i="50"/>
  <c r="L13" i="50"/>
  <c r="K13" i="50"/>
  <c r="J13" i="50"/>
  <c r="H13" i="50"/>
  <c r="G13" i="50"/>
  <c r="F13" i="50"/>
  <c r="E13" i="50"/>
  <c r="D13" i="50"/>
  <c r="C13" i="50"/>
  <c r="AC12" i="50"/>
  <c r="AB12" i="50"/>
  <c r="AB9" i="51"/>
  <c r="AA12" i="50"/>
  <c r="AA9" i="51"/>
  <c r="Z12" i="50"/>
  <c r="Z9" i="51"/>
  <c r="Y12" i="50"/>
  <c r="Y9" i="51"/>
  <c r="X12" i="50"/>
  <c r="X9" i="51"/>
  <c r="V12" i="50"/>
  <c r="U12" i="50"/>
  <c r="U9" i="51"/>
  <c r="T12" i="50"/>
  <c r="T9" i="51"/>
  <c r="S12" i="50"/>
  <c r="S9" i="51"/>
  <c r="R12" i="50"/>
  <c r="R9" i="51"/>
  <c r="Q12" i="50"/>
  <c r="Q9" i="51"/>
  <c r="O12" i="50"/>
  <c r="N12" i="50"/>
  <c r="N9" i="51"/>
  <c r="M12" i="50"/>
  <c r="M9" i="51"/>
  <c r="L12" i="50"/>
  <c r="L9" i="51"/>
  <c r="K12" i="50"/>
  <c r="K9" i="51"/>
  <c r="J12" i="50"/>
  <c r="J9" i="51"/>
  <c r="H12" i="50"/>
  <c r="G12" i="50"/>
  <c r="G9" i="51"/>
  <c r="F12" i="50"/>
  <c r="F9" i="51"/>
  <c r="E12" i="50"/>
  <c r="E9" i="51"/>
  <c r="D12" i="50"/>
  <c r="D9" i="51"/>
  <c r="C12" i="50"/>
  <c r="C9" i="51"/>
  <c r="AC11" i="50"/>
  <c r="AB11" i="50"/>
  <c r="AB8" i="51"/>
  <c r="AA11" i="50"/>
  <c r="AA8" i="51"/>
  <c r="Z11" i="50"/>
  <c r="Z8" i="51"/>
  <c r="Y11" i="50"/>
  <c r="Y8" i="51"/>
  <c r="X11" i="50"/>
  <c r="X8" i="51"/>
  <c r="V11" i="50"/>
  <c r="U11" i="50"/>
  <c r="U8" i="51"/>
  <c r="T11" i="50"/>
  <c r="T8" i="51"/>
  <c r="S11" i="50"/>
  <c r="S8" i="51"/>
  <c r="R11" i="50"/>
  <c r="R8" i="51"/>
  <c r="Q11" i="50"/>
  <c r="Q8" i="51"/>
  <c r="O11" i="50"/>
  <c r="N11" i="50"/>
  <c r="N8" i="51"/>
  <c r="M11" i="50"/>
  <c r="M8" i="51"/>
  <c r="L11" i="50"/>
  <c r="L8" i="51"/>
  <c r="K11" i="50"/>
  <c r="K8" i="51"/>
  <c r="J11" i="50"/>
  <c r="J8" i="51"/>
  <c r="H11" i="50"/>
  <c r="G11" i="50"/>
  <c r="G8" i="51"/>
  <c r="F11" i="50"/>
  <c r="F8" i="51"/>
  <c r="E11" i="50"/>
  <c r="E8" i="51"/>
  <c r="D11" i="50"/>
  <c r="D8" i="51"/>
  <c r="C11" i="50"/>
  <c r="C8" i="51"/>
  <c r="AC10" i="50"/>
  <c r="AB10" i="50"/>
  <c r="AA10" i="50"/>
  <c r="Z10" i="50"/>
  <c r="Y10" i="50"/>
  <c r="X10" i="50"/>
  <c r="V10" i="50"/>
  <c r="U10" i="50"/>
  <c r="T10" i="50"/>
  <c r="S10" i="50"/>
  <c r="R10" i="50"/>
  <c r="Q10" i="50"/>
  <c r="O10" i="50"/>
  <c r="N10" i="50"/>
  <c r="M10" i="50"/>
  <c r="L10" i="50"/>
  <c r="K10" i="50"/>
  <c r="J10" i="50"/>
  <c r="H10" i="50"/>
  <c r="G10" i="50"/>
  <c r="F10" i="50"/>
  <c r="E10" i="50"/>
  <c r="D10" i="50"/>
  <c r="C10" i="50"/>
  <c r="AC9" i="50"/>
  <c r="AB9" i="50"/>
  <c r="AA9" i="50"/>
  <c r="Z9" i="50"/>
  <c r="Y9" i="50"/>
  <c r="X9" i="50"/>
  <c r="V9" i="50"/>
  <c r="U9" i="50"/>
  <c r="T9" i="50"/>
  <c r="S9" i="50"/>
  <c r="R9" i="50"/>
  <c r="Q9" i="50"/>
  <c r="O9" i="50"/>
  <c r="N9" i="50"/>
  <c r="M9" i="50"/>
  <c r="L9" i="50"/>
  <c r="K9" i="50"/>
  <c r="J9" i="50"/>
  <c r="H9" i="50"/>
  <c r="G9" i="50"/>
  <c r="F9" i="50"/>
  <c r="E9" i="50"/>
  <c r="D9" i="50"/>
  <c r="C9" i="50"/>
  <c r="AC8" i="50"/>
  <c r="AB8" i="50"/>
  <c r="AA8" i="50"/>
  <c r="Z8" i="50"/>
  <c r="Y8" i="50"/>
  <c r="X8" i="50"/>
  <c r="V8" i="50"/>
  <c r="U8" i="50"/>
  <c r="T8" i="50"/>
  <c r="S8" i="50"/>
  <c r="R8" i="50"/>
  <c r="Q8" i="50"/>
  <c r="O8" i="50"/>
  <c r="N8" i="50"/>
  <c r="M8" i="50"/>
  <c r="L8" i="50"/>
  <c r="K8" i="50"/>
  <c r="J8" i="50"/>
  <c r="H8" i="50"/>
  <c r="G8" i="50"/>
  <c r="F8" i="50"/>
  <c r="E8" i="50"/>
  <c r="D8" i="50"/>
  <c r="C8" i="50"/>
  <c r="C10" i="51"/>
  <c r="L10" i="51"/>
  <c r="U10" i="51"/>
  <c r="M10" i="51"/>
  <c r="R10" i="51"/>
  <c r="AA11" i="51"/>
  <c r="E10" i="51"/>
  <c r="J10" i="51"/>
  <c r="N10" i="51"/>
  <c r="S10" i="51"/>
  <c r="X10" i="51"/>
  <c r="AB10" i="51"/>
  <c r="G10" i="51"/>
  <c r="Q10" i="51"/>
  <c r="Z10" i="51"/>
  <c r="D10" i="51"/>
  <c r="F10" i="51"/>
  <c r="K10" i="51"/>
  <c r="T10" i="51"/>
  <c r="Y10" i="51"/>
  <c r="B37" i="49"/>
  <c r="B10" i="49"/>
  <c r="B11" i="49"/>
  <c r="B13" i="49"/>
  <c r="B14" i="49"/>
  <c r="B15" i="49"/>
  <c r="B16" i="49"/>
  <c r="B21" i="49"/>
  <c r="B22" i="49"/>
  <c r="B24" i="49"/>
  <c r="B25" i="49"/>
  <c r="B38" i="49"/>
  <c r="B39" i="49"/>
  <c r="B27" i="49"/>
  <c r="B28" i="49"/>
  <c r="B29" i="49"/>
  <c r="B30" i="49"/>
  <c r="B31" i="49"/>
  <c r="B32" i="49"/>
  <c r="B33" i="49"/>
  <c r="B34" i="49"/>
  <c r="B35" i="49"/>
  <c r="B36" i="49"/>
  <c r="W31" i="35"/>
  <c r="V31" i="35"/>
  <c r="U31" i="35"/>
  <c r="T31" i="35"/>
  <c r="S31" i="35"/>
  <c r="R31" i="35"/>
  <c r="Q31" i="35"/>
  <c r="P33" i="35"/>
  <c r="H30" i="35"/>
  <c r="E40" i="33"/>
  <c r="O33" i="35"/>
  <c r="G30" i="35"/>
  <c r="F40" i="33"/>
  <c r="N33" i="35"/>
  <c r="F30" i="35"/>
  <c r="G40" i="33"/>
  <c r="M33" i="35"/>
  <c r="E30" i="35"/>
  <c r="I40" i="33"/>
  <c r="L33" i="35"/>
  <c r="D30" i="35"/>
  <c r="H40" i="33"/>
  <c r="K33" i="35"/>
  <c r="C30" i="35"/>
  <c r="J40" i="33"/>
  <c r="J33" i="35"/>
  <c r="B30" i="35"/>
  <c r="K40" i="33"/>
  <c r="P32" i="35"/>
  <c r="O32" i="35"/>
  <c r="N32" i="35"/>
  <c r="M32" i="35"/>
  <c r="L32" i="35"/>
  <c r="K32" i="35"/>
  <c r="J32" i="35"/>
  <c r="J31" i="35"/>
  <c r="N31" i="35"/>
  <c r="O31" i="35"/>
  <c r="M31" i="35"/>
  <c r="L31" i="35"/>
  <c r="K31" i="35"/>
  <c r="P31" i="35"/>
  <c r="FU69" i="3"/>
  <c r="FW69" i="3"/>
  <c r="FV69" i="3"/>
  <c r="B48" i="7"/>
  <c r="C48" i="7"/>
  <c r="N69" i="3"/>
  <c r="F69" i="3"/>
  <c r="G69" i="3"/>
  <c r="C39" i="33"/>
  <c r="D39" i="33"/>
  <c r="C40" i="33"/>
  <c r="D40" i="33"/>
  <c r="FR69" i="3"/>
  <c r="B39" i="33"/>
  <c r="B40" i="33"/>
  <c r="M24" i="13"/>
  <c r="T16" i="16"/>
  <c r="H46" i="7"/>
  <c r="I46" i="7"/>
  <c r="AB16" i="16"/>
  <c r="Z16" i="16"/>
  <c r="X16" i="16"/>
  <c r="V16" i="16"/>
  <c r="R16" i="16"/>
  <c r="GL32" i="3"/>
  <c r="GL33" i="3"/>
  <c r="GL34" i="3"/>
  <c r="GL35" i="3"/>
  <c r="GL36" i="3"/>
  <c r="GL37" i="3"/>
  <c r="GL38" i="3"/>
  <c r="GL39" i="3"/>
  <c r="GL40" i="3"/>
  <c r="GL41" i="3"/>
  <c r="GL42" i="3"/>
  <c r="GL43" i="3"/>
  <c r="GL44" i="3"/>
  <c r="GL45" i="3"/>
  <c r="GL46" i="3"/>
  <c r="GL47" i="3"/>
  <c r="GL48" i="3"/>
  <c r="GL49" i="3"/>
  <c r="GL50" i="3"/>
  <c r="GL51" i="3"/>
  <c r="GL52" i="3"/>
  <c r="GL53" i="3"/>
  <c r="GL54" i="3"/>
  <c r="GL55" i="3"/>
  <c r="GL56" i="3"/>
  <c r="GL57" i="3"/>
  <c r="GL58" i="3"/>
  <c r="GL59" i="3"/>
  <c r="GL60" i="3"/>
  <c r="GL61" i="3"/>
  <c r="GL62" i="3"/>
  <c r="GL63" i="3"/>
  <c r="GL64" i="3"/>
  <c r="GL65" i="3"/>
  <c r="GL66" i="3"/>
  <c r="GL67" i="3"/>
  <c r="GL68" i="3"/>
  <c r="GL31" i="3"/>
  <c r="FT31" i="3"/>
  <c r="FT32" i="3"/>
  <c r="FT33" i="3"/>
  <c r="FT34" i="3"/>
  <c r="FT35" i="3"/>
  <c r="FT36" i="3"/>
  <c r="FT37" i="3"/>
  <c r="FT38" i="3"/>
  <c r="FT39" i="3"/>
  <c r="FT40" i="3"/>
  <c r="FT41" i="3"/>
  <c r="FT42" i="3"/>
  <c r="FT43" i="3"/>
  <c r="FT44" i="3"/>
  <c r="FT45" i="3"/>
  <c r="FT46" i="3"/>
  <c r="FT47" i="3"/>
  <c r="FT48" i="3"/>
  <c r="FT49" i="3"/>
  <c r="FT50" i="3"/>
  <c r="FT51" i="3"/>
  <c r="FT52" i="3"/>
  <c r="FT53" i="3"/>
  <c r="FT54" i="3"/>
  <c r="FT55" i="3"/>
  <c r="FT56" i="3"/>
  <c r="FT57" i="3"/>
  <c r="FT58" i="3"/>
  <c r="FT59" i="3"/>
  <c r="FT60" i="3"/>
  <c r="FT61" i="3"/>
  <c r="FT62" i="3"/>
  <c r="FT63" i="3"/>
  <c r="FT64" i="3"/>
  <c r="FT65" i="3"/>
  <c r="FT66" i="3"/>
  <c r="FT67" i="3"/>
  <c r="FT68" i="3"/>
  <c r="FT30" i="3"/>
  <c r="I44" i="9"/>
  <c r="BC24" i="45"/>
  <c r="BC23" i="45"/>
  <c r="BC22" i="45"/>
  <c r="BC21" i="45"/>
  <c r="BC20" i="45"/>
  <c r="BC19" i="45"/>
  <c r="BC18" i="45"/>
  <c r="BC17" i="45"/>
  <c r="BC16" i="45"/>
  <c r="BC15" i="45"/>
  <c r="BC14" i="45"/>
  <c r="AS15" i="45"/>
  <c r="AT15" i="45"/>
  <c r="AU15" i="45"/>
  <c r="AV15" i="45"/>
  <c r="AS16" i="45"/>
  <c r="AT16" i="45"/>
  <c r="AU16" i="45"/>
  <c r="AV16" i="45"/>
  <c r="AS17" i="45"/>
  <c r="AT17" i="45"/>
  <c r="AU17" i="45"/>
  <c r="AV17" i="45"/>
  <c r="AS18" i="45"/>
  <c r="AT18" i="45"/>
  <c r="AU18" i="45"/>
  <c r="AV18" i="45"/>
  <c r="AS19" i="45"/>
  <c r="AT19" i="45"/>
  <c r="AU19" i="45"/>
  <c r="AV19" i="45"/>
  <c r="AS20" i="45"/>
  <c r="AT20" i="45"/>
  <c r="AU20" i="45"/>
  <c r="AV20" i="45"/>
  <c r="AS21" i="45"/>
  <c r="AT21" i="45"/>
  <c r="AU21" i="45"/>
  <c r="AV21" i="45"/>
  <c r="AS22" i="45"/>
  <c r="AT22" i="45"/>
  <c r="AU22" i="45"/>
  <c r="AV22" i="45"/>
  <c r="AS23" i="45"/>
  <c r="AT23" i="45"/>
  <c r="AU23" i="45"/>
  <c r="AV23" i="45"/>
  <c r="AS24" i="45"/>
  <c r="AT24" i="45"/>
  <c r="AU24" i="45"/>
  <c r="AV24" i="45"/>
  <c r="AS25" i="45"/>
  <c r="AT25" i="45"/>
  <c r="AU25" i="45"/>
  <c r="AV25" i="45"/>
  <c r="AS26" i="45"/>
  <c r="AT26" i="45"/>
  <c r="AU26" i="45"/>
  <c r="AV26" i="45"/>
  <c r="AS27" i="45"/>
  <c r="AT27" i="45"/>
  <c r="AU27" i="45"/>
  <c r="AV27" i="45"/>
  <c r="AS28" i="45"/>
  <c r="AT28" i="45"/>
  <c r="AU28" i="45"/>
  <c r="AV28" i="45"/>
  <c r="AS29" i="45"/>
  <c r="AT29" i="45"/>
  <c r="AU29" i="45"/>
  <c r="AV29" i="45"/>
  <c r="AS30" i="45"/>
  <c r="AT30" i="45"/>
  <c r="AU30" i="45"/>
  <c r="AV30" i="45"/>
  <c r="AS31" i="45"/>
  <c r="AT31" i="45"/>
  <c r="AU31" i="45"/>
  <c r="AV31" i="45"/>
  <c r="AS32" i="45"/>
  <c r="AT32" i="45"/>
  <c r="AU32" i="45"/>
  <c r="AV32" i="45"/>
  <c r="AS33" i="45"/>
  <c r="AT33" i="45"/>
  <c r="AU33" i="45"/>
  <c r="AV33" i="45"/>
  <c r="AS34" i="45"/>
  <c r="AT34" i="45"/>
  <c r="AU34" i="45"/>
  <c r="AV34" i="45"/>
  <c r="AS35" i="45"/>
  <c r="AT35" i="45"/>
  <c r="AU35" i="45"/>
  <c r="AV35" i="45"/>
  <c r="AS36" i="45"/>
  <c r="AT36" i="45"/>
  <c r="AU36" i="45"/>
  <c r="AV36" i="45"/>
  <c r="AS37" i="45"/>
  <c r="AT37" i="45"/>
  <c r="AU37" i="45"/>
  <c r="AV37" i="45"/>
  <c r="AS38" i="45"/>
  <c r="AT38" i="45"/>
  <c r="AU38" i="45"/>
  <c r="AV38" i="45"/>
  <c r="AS39" i="45"/>
  <c r="AT39" i="45"/>
  <c r="AU39" i="45"/>
  <c r="AV39" i="45"/>
  <c r="AS40" i="45"/>
  <c r="AT40" i="45"/>
  <c r="AU40" i="45"/>
  <c r="AV40" i="45"/>
  <c r="AS41" i="45"/>
  <c r="AT41" i="45"/>
  <c r="AU41" i="45"/>
  <c r="AV41" i="45"/>
  <c r="AS42" i="45"/>
  <c r="AT42" i="45"/>
  <c r="AU42" i="45"/>
  <c r="AV42" i="45"/>
  <c r="AS43" i="45"/>
  <c r="AT43" i="45"/>
  <c r="AU43" i="45"/>
  <c r="AV43" i="45"/>
  <c r="AS44" i="45"/>
  <c r="AT44" i="45"/>
  <c r="AU44" i="45"/>
  <c r="AV44" i="45"/>
  <c r="AS45" i="45"/>
  <c r="AT45" i="45"/>
  <c r="AU45" i="45"/>
  <c r="AV45" i="45"/>
  <c r="AS46" i="45"/>
  <c r="AT46" i="45"/>
  <c r="AU46" i="45"/>
  <c r="AV46" i="45"/>
  <c r="AS47" i="45"/>
  <c r="AT47" i="45"/>
  <c r="AU47" i="45"/>
  <c r="AV47" i="45"/>
  <c r="AS48" i="45"/>
  <c r="AT48" i="45"/>
  <c r="AU48" i="45"/>
  <c r="AV48" i="45"/>
  <c r="AV14" i="45"/>
  <c r="AU14" i="45"/>
  <c r="AT14" i="45"/>
  <c r="AS14" i="45"/>
  <c r="AN48" i="45"/>
  <c r="AM48" i="45"/>
  <c r="AL48" i="45"/>
  <c r="AN45" i="45"/>
  <c r="AM45" i="45"/>
  <c r="AL45" i="45"/>
  <c r="AN40" i="45"/>
  <c r="AM40" i="45"/>
  <c r="AL40" i="45"/>
  <c r="AL28" i="45"/>
  <c r="AM28" i="45"/>
  <c r="AN28" i="45"/>
  <c r="AL29" i="45"/>
  <c r="AM29" i="45"/>
  <c r="AN29" i="45"/>
  <c r="AL30" i="45"/>
  <c r="AM30" i="45"/>
  <c r="AN30" i="45"/>
  <c r="AL31" i="45"/>
  <c r="AM31" i="45"/>
  <c r="AN31" i="45"/>
  <c r="AL32" i="45"/>
  <c r="AM32" i="45"/>
  <c r="AN32" i="45"/>
  <c r="AL33" i="45"/>
  <c r="AM33" i="45"/>
  <c r="AN33" i="45"/>
  <c r="AL34" i="45"/>
  <c r="AM34" i="45"/>
  <c r="AN34" i="45"/>
  <c r="AM27" i="45"/>
  <c r="AM26" i="45"/>
  <c r="AM25" i="45"/>
  <c r="AM24" i="45"/>
  <c r="AM23" i="45"/>
  <c r="AM22" i="45"/>
  <c r="AM21" i="45"/>
  <c r="AM20" i="45"/>
  <c r="AM19" i="45"/>
  <c r="AM18" i="45"/>
  <c r="AM17" i="45"/>
  <c r="AM16" i="45"/>
  <c r="AM15" i="45"/>
  <c r="AM14" i="45"/>
  <c r="AN27" i="45"/>
  <c r="AN26" i="45"/>
  <c r="AN25" i="45"/>
  <c r="AN24" i="45"/>
  <c r="AN23" i="45"/>
  <c r="AN22" i="45"/>
  <c r="AN21" i="45"/>
  <c r="AN20" i="45"/>
  <c r="AN19" i="45"/>
  <c r="AN18" i="45"/>
  <c r="AN17" i="45"/>
  <c r="AN16" i="45"/>
  <c r="AN15" i="45"/>
  <c r="AN14" i="45"/>
  <c r="AL27" i="45"/>
  <c r="H40" i="9"/>
  <c r="GH30" i="3"/>
  <c r="GG31" i="3"/>
  <c r="GG32" i="3"/>
  <c r="GG33" i="3"/>
  <c r="GG34" i="3"/>
  <c r="GG35" i="3"/>
  <c r="GG36" i="3"/>
  <c r="GG37" i="3"/>
  <c r="GG38" i="3"/>
  <c r="GG39" i="3"/>
  <c r="GG40" i="3"/>
  <c r="GG41" i="3"/>
  <c r="GG42" i="3"/>
  <c r="GG43" i="3"/>
  <c r="GG44" i="3"/>
  <c r="GG45" i="3"/>
  <c r="GG46" i="3"/>
  <c r="GG47" i="3"/>
  <c r="GG48" i="3"/>
  <c r="GG49" i="3"/>
  <c r="GG50" i="3"/>
  <c r="GG51" i="3"/>
  <c r="GG52" i="3"/>
  <c r="GG53" i="3"/>
  <c r="GG54" i="3"/>
  <c r="GG55" i="3"/>
  <c r="GG56" i="3"/>
  <c r="GG57" i="3"/>
  <c r="GG58" i="3"/>
  <c r="GG59" i="3"/>
  <c r="GG60" i="3"/>
  <c r="GG61" i="3"/>
  <c r="GG62" i="3"/>
  <c r="GG63" i="3"/>
  <c r="GG64" i="3"/>
  <c r="GG65" i="3"/>
  <c r="GG66" i="3"/>
  <c r="GG67" i="3"/>
  <c r="GG68" i="3"/>
  <c r="GG30" i="3"/>
  <c r="GH36" i="3"/>
  <c r="GA30" i="3"/>
  <c r="AN35" i="45"/>
  <c r="AN36" i="45"/>
  <c r="AN37" i="45"/>
  <c r="AN38" i="45"/>
  <c r="AN39" i="45"/>
  <c r="AG32" i="45"/>
  <c r="AW32" i="45"/>
  <c r="AM35" i="45"/>
  <c r="AM36" i="45"/>
  <c r="AM37" i="45"/>
  <c r="AM38" i="45"/>
  <c r="AM39" i="45"/>
  <c r="AJ30" i="45"/>
  <c r="AZ30" i="45"/>
  <c r="AG45" i="45"/>
  <c r="AW45" i="45"/>
  <c r="AN41" i="45"/>
  <c r="AN42" i="45"/>
  <c r="AN43" i="45"/>
  <c r="AN44" i="45"/>
  <c r="AK28" i="45"/>
  <c r="BA28" i="45"/>
  <c r="AI48" i="45"/>
  <c r="AY48" i="45"/>
  <c r="AJ48" i="45"/>
  <c r="AZ48" i="45"/>
  <c r="AL26" i="45"/>
  <c r="AJ27" i="45"/>
  <c r="AZ27" i="45"/>
  <c r="AG27" i="45"/>
  <c r="AW27" i="45"/>
  <c r="AK27" i="45"/>
  <c r="BA27" i="45"/>
  <c r="AH33" i="45"/>
  <c r="AI33" i="45"/>
  <c r="AY33" i="45"/>
  <c r="AG33" i="45"/>
  <c r="AW33" i="45"/>
  <c r="AH29" i="45"/>
  <c r="AX29" i="45"/>
  <c r="AI29" i="45"/>
  <c r="AY29" i="45"/>
  <c r="AJ29" i="45"/>
  <c r="AZ29" i="45"/>
  <c r="AK29" i="45"/>
  <c r="BA29" i="45"/>
  <c r="AJ33" i="45"/>
  <c r="AZ33" i="45"/>
  <c r="AH27" i="45"/>
  <c r="AX27" i="45"/>
  <c r="AX33" i="45"/>
  <c r="AH32" i="45"/>
  <c r="AX32" i="45"/>
  <c r="AG29" i="45"/>
  <c r="AW29" i="45"/>
  <c r="AI31" i="45"/>
  <c r="AY31" i="45"/>
  <c r="AG48" i="45"/>
  <c r="AW48" i="45"/>
  <c r="AI40" i="45"/>
  <c r="AY40" i="45"/>
  <c r="AJ40" i="45"/>
  <c r="AZ40" i="45"/>
  <c r="AK40" i="45"/>
  <c r="BA40" i="45"/>
  <c r="AG40" i="45"/>
  <c r="AW40" i="45"/>
  <c r="AI30" i="45"/>
  <c r="AY30" i="45"/>
  <c r="AI32" i="45"/>
  <c r="AY32" i="45"/>
  <c r="AJ32" i="45"/>
  <c r="AZ32" i="45"/>
  <c r="AK32" i="45"/>
  <c r="BA32" i="45"/>
  <c r="AI28" i="45"/>
  <c r="AY28" i="45"/>
  <c r="AJ28" i="45"/>
  <c r="AZ28" i="45"/>
  <c r="AG28" i="45"/>
  <c r="AW28" i="45"/>
  <c r="AH28" i="45"/>
  <c r="AX28" i="45"/>
  <c r="AL47" i="45"/>
  <c r="AH45" i="45"/>
  <c r="AX45" i="45"/>
  <c r="AI45" i="45"/>
  <c r="AY45" i="45"/>
  <c r="AJ45" i="45"/>
  <c r="AZ45" i="45"/>
  <c r="AK45" i="45"/>
  <c r="BA45" i="45"/>
  <c r="AH40" i="45"/>
  <c r="AX40" i="45"/>
  <c r="AK33" i="45"/>
  <c r="BA33" i="45"/>
  <c r="AI27" i="45"/>
  <c r="AY27" i="45"/>
  <c r="AG34" i="45"/>
  <c r="AW34" i="45"/>
  <c r="AK34" i="45"/>
  <c r="BA34" i="45"/>
  <c r="AH34" i="45"/>
  <c r="AX34" i="45"/>
  <c r="AG30" i="45"/>
  <c r="AW30" i="45"/>
  <c r="AK30" i="45"/>
  <c r="BA30" i="45"/>
  <c r="AH30" i="45"/>
  <c r="AX30" i="45"/>
  <c r="AM41" i="45"/>
  <c r="AM42" i="45"/>
  <c r="AM43" i="45"/>
  <c r="AM44" i="45"/>
  <c r="AN47" i="45"/>
  <c r="AH48" i="45"/>
  <c r="AX48" i="45"/>
  <c r="AJ34" i="45"/>
  <c r="AZ34" i="45"/>
  <c r="AJ31" i="45"/>
  <c r="AZ31" i="45"/>
  <c r="AG31" i="45"/>
  <c r="AW31" i="45"/>
  <c r="AK31" i="45"/>
  <c r="BA31" i="45"/>
  <c r="AK48" i="45"/>
  <c r="BA48" i="45"/>
  <c r="AI34" i="45"/>
  <c r="AY34" i="45"/>
  <c r="AH31" i="45"/>
  <c r="AX31" i="45"/>
  <c r="AL41" i="45"/>
  <c r="AM47" i="45"/>
  <c r="AN46" i="45"/>
  <c r="AL46" i="45"/>
  <c r="AL35" i="45"/>
  <c r="AM46" i="45"/>
  <c r="GH37" i="3"/>
  <c r="GH65" i="3"/>
  <c r="GH53" i="3"/>
  <c r="GH33" i="3"/>
  <c r="GH55" i="3"/>
  <c r="GH38" i="3"/>
  <c r="GH34" i="3"/>
  <c r="GH57" i="3"/>
  <c r="GH45" i="3"/>
  <c r="GH31" i="3"/>
  <c r="GH32" i="3"/>
  <c r="GH64" i="3"/>
  <c r="GH56" i="3"/>
  <c r="GH40" i="3"/>
  <c r="GH43" i="3"/>
  <c r="GH67" i="3"/>
  <c r="GH63" i="3"/>
  <c r="GH59" i="3"/>
  <c r="GH51" i="3"/>
  <c r="GH47" i="3"/>
  <c r="GH39" i="3"/>
  <c r="GH61" i="3"/>
  <c r="GH49" i="3"/>
  <c r="GH41" i="3"/>
  <c r="GH48" i="3"/>
  <c r="GH68" i="3"/>
  <c r="GH60" i="3"/>
  <c r="GH52" i="3"/>
  <c r="GH44" i="3"/>
  <c r="GH66" i="3"/>
  <c r="GH35" i="3"/>
  <c r="GH62" i="3"/>
  <c r="GH58" i="3"/>
  <c r="GH54" i="3"/>
  <c r="GH50" i="3"/>
  <c r="GH46" i="3"/>
  <c r="GH42" i="3"/>
  <c r="AB67" i="3"/>
  <c r="AB68" i="3"/>
  <c r="AA66" i="3"/>
  <c r="AA67" i="3"/>
  <c r="AA68" i="3"/>
  <c r="AC66" i="3"/>
  <c r="AC67" i="3"/>
  <c r="AC68" i="3"/>
  <c r="R66" i="3"/>
  <c r="R67" i="3"/>
  <c r="R68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BB45" i="45"/>
  <c r="BB32" i="45"/>
  <c r="BB31" i="45"/>
  <c r="AL42" i="45"/>
  <c r="AH41" i="45"/>
  <c r="AX41" i="45"/>
  <c r="AI41" i="45"/>
  <c r="AY41" i="45"/>
  <c r="AG41" i="45"/>
  <c r="AW41" i="45"/>
  <c r="AJ41" i="45"/>
  <c r="AZ41" i="45"/>
  <c r="AK41" i="45"/>
  <c r="BA41" i="45"/>
  <c r="BB28" i="45"/>
  <c r="AL25" i="45"/>
  <c r="AH26" i="45"/>
  <c r="AX26" i="45"/>
  <c r="AK26" i="45"/>
  <c r="BA26" i="45"/>
  <c r="AG26" i="45"/>
  <c r="AW26" i="45"/>
  <c r="AI26" i="45"/>
  <c r="AY26" i="45"/>
  <c r="AJ26" i="45"/>
  <c r="AZ26" i="45"/>
  <c r="BB34" i="45"/>
  <c r="AL36" i="45"/>
  <c r="AJ35" i="45"/>
  <c r="AZ35" i="45"/>
  <c r="AG35" i="45"/>
  <c r="AW35" i="45"/>
  <c r="AK35" i="45"/>
  <c r="BA35" i="45"/>
  <c r="AH35" i="45"/>
  <c r="AX35" i="45"/>
  <c r="AI35" i="45"/>
  <c r="AY35" i="45"/>
  <c r="BB30" i="45"/>
  <c r="BB29" i="45"/>
  <c r="AI46" i="45"/>
  <c r="AY46" i="45"/>
  <c r="AJ46" i="45"/>
  <c r="AZ46" i="45"/>
  <c r="AH46" i="45"/>
  <c r="AX46" i="45"/>
  <c r="AG46" i="45"/>
  <c r="AW46" i="45"/>
  <c r="AK46" i="45"/>
  <c r="BA46" i="45"/>
  <c r="AH47" i="45"/>
  <c r="AX47" i="45"/>
  <c r="AI47" i="45"/>
  <c r="AY47" i="45"/>
  <c r="AK47" i="45"/>
  <c r="BA47" i="45"/>
  <c r="AG47" i="45"/>
  <c r="AW47" i="45"/>
  <c r="AJ47" i="45"/>
  <c r="AZ47" i="45"/>
  <c r="BB40" i="45"/>
  <c r="BB48" i="45"/>
  <c r="BB33" i="45"/>
  <c r="BB27" i="45"/>
  <c r="AB66" i="3"/>
  <c r="G24" i="37"/>
  <c r="H24" i="37"/>
  <c r="I24" i="37"/>
  <c r="G30" i="37"/>
  <c r="H30" i="37"/>
  <c r="I30" i="37"/>
  <c r="G31" i="37"/>
  <c r="H31" i="37"/>
  <c r="I31" i="37"/>
  <c r="G32" i="37"/>
  <c r="H32" i="37"/>
  <c r="I32" i="37"/>
  <c r="G33" i="37"/>
  <c r="H33" i="37"/>
  <c r="I33" i="37"/>
  <c r="BB41" i="45"/>
  <c r="AL24" i="45"/>
  <c r="AJ25" i="45"/>
  <c r="AZ25" i="45"/>
  <c r="AG25" i="45"/>
  <c r="AW25" i="45"/>
  <c r="AK25" i="45"/>
  <c r="BA25" i="45"/>
  <c r="AH25" i="45"/>
  <c r="AX25" i="45"/>
  <c r="AI25" i="45"/>
  <c r="AY25" i="45"/>
  <c r="BB47" i="45"/>
  <c r="AL37" i="45"/>
  <c r="AI36" i="45"/>
  <c r="AY36" i="45"/>
  <c r="AJ36" i="45"/>
  <c r="AZ36" i="45"/>
  <c r="AG36" i="45"/>
  <c r="AW36" i="45"/>
  <c r="AH36" i="45"/>
  <c r="AX36" i="45"/>
  <c r="AK36" i="45"/>
  <c r="BA36" i="45"/>
  <c r="BB26" i="45"/>
  <c r="BB46" i="45"/>
  <c r="BB35" i="45"/>
  <c r="AL43" i="45"/>
  <c r="AG42" i="45"/>
  <c r="AW42" i="45"/>
  <c r="AK42" i="45"/>
  <c r="BA42" i="45"/>
  <c r="AH42" i="45"/>
  <c r="AX42" i="45"/>
  <c r="AI42" i="45"/>
  <c r="AY42" i="45"/>
  <c r="AJ42" i="45"/>
  <c r="AZ42" i="45"/>
  <c r="K37" i="33"/>
  <c r="K36" i="33"/>
  <c r="J27" i="33"/>
  <c r="J29" i="33"/>
  <c r="J30" i="33"/>
  <c r="J31" i="33"/>
  <c r="J32" i="33"/>
  <c r="J33" i="33"/>
  <c r="J34" i="33"/>
  <c r="J35" i="33"/>
  <c r="J36" i="33"/>
  <c r="J37" i="33"/>
  <c r="H34" i="33"/>
  <c r="H35" i="33"/>
  <c r="H36" i="33"/>
  <c r="H37" i="33"/>
  <c r="I33" i="33"/>
  <c r="I34" i="33"/>
  <c r="I35" i="33"/>
  <c r="I36" i="33"/>
  <c r="I37" i="33"/>
  <c r="G34" i="33"/>
  <c r="G35" i="33"/>
  <c r="G36" i="33"/>
  <c r="G37" i="33"/>
  <c r="F16" i="33"/>
  <c r="F19" i="33"/>
  <c r="F20" i="33"/>
  <c r="F21" i="33"/>
  <c r="F22" i="33"/>
  <c r="F33" i="33"/>
  <c r="F34" i="33"/>
  <c r="F35" i="33"/>
  <c r="F36" i="33"/>
  <c r="F37" i="33"/>
  <c r="E28" i="33"/>
  <c r="E34" i="33"/>
  <c r="E35" i="33"/>
  <c r="E36" i="33"/>
  <c r="E37" i="33"/>
  <c r="BB42" i="45"/>
  <c r="AL44" i="45"/>
  <c r="AJ43" i="45"/>
  <c r="AZ43" i="45"/>
  <c r="AG43" i="45"/>
  <c r="AW43" i="45"/>
  <c r="AK43" i="45"/>
  <c r="BA43" i="45"/>
  <c r="AI43" i="45"/>
  <c r="AY43" i="45"/>
  <c r="AH43" i="45"/>
  <c r="AX43" i="45"/>
  <c r="BB36" i="45"/>
  <c r="AL38" i="45"/>
  <c r="AH37" i="45"/>
  <c r="AX37" i="45"/>
  <c r="AI37" i="45"/>
  <c r="AY37" i="45"/>
  <c r="AJ37" i="45"/>
  <c r="AZ37" i="45"/>
  <c r="AK37" i="45"/>
  <c r="BA37" i="45"/>
  <c r="AG37" i="45"/>
  <c r="AW37" i="45"/>
  <c r="AL23" i="45"/>
  <c r="AJ24" i="45"/>
  <c r="AZ24" i="45"/>
  <c r="AK24" i="45"/>
  <c r="BA24" i="45"/>
  <c r="AI24" i="45"/>
  <c r="AY24" i="45"/>
  <c r="AH24" i="45"/>
  <c r="AX24" i="45"/>
  <c r="AG24" i="45"/>
  <c r="AW24" i="45"/>
  <c r="BB25" i="45"/>
  <c r="B37" i="33"/>
  <c r="C37" i="33"/>
  <c r="B38" i="33"/>
  <c r="C38" i="33"/>
  <c r="D5" i="9"/>
  <c r="GE29" i="3"/>
  <c r="GC29" i="3"/>
  <c r="GC30" i="3"/>
  <c r="GC31" i="3"/>
  <c r="GC32" i="3"/>
  <c r="GC33" i="3"/>
  <c r="GC34" i="3"/>
  <c r="GC35" i="3"/>
  <c r="GC36" i="3"/>
  <c r="GC37" i="3"/>
  <c r="GC38" i="3"/>
  <c r="GC39" i="3"/>
  <c r="GC40" i="3"/>
  <c r="GC41" i="3"/>
  <c r="GC42" i="3"/>
  <c r="GC43" i="3"/>
  <c r="GC44" i="3"/>
  <c r="GC45" i="3"/>
  <c r="GC46" i="3"/>
  <c r="GC47" i="3"/>
  <c r="GC48" i="3"/>
  <c r="GC49" i="3"/>
  <c r="GC50" i="3"/>
  <c r="GC51" i="3"/>
  <c r="GC52" i="3"/>
  <c r="GC53" i="3"/>
  <c r="GC54" i="3"/>
  <c r="GC55" i="3"/>
  <c r="GC56" i="3"/>
  <c r="GC57" i="3"/>
  <c r="GC58" i="3"/>
  <c r="GC59" i="3"/>
  <c r="GC60" i="3"/>
  <c r="GC61" i="3"/>
  <c r="GC62" i="3"/>
  <c r="GC63" i="3"/>
  <c r="GC64" i="3"/>
  <c r="GC65" i="3"/>
  <c r="R22" i="26"/>
  <c r="S22" i="26"/>
  <c r="R23" i="26"/>
  <c r="S23" i="26"/>
  <c r="R24" i="26"/>
  <c r="S24" i="26"/>
  <c r="R26" i="26"/>
  <c r="S26" i="26"/>
  <c r="R27" i="26"/>
  <c r="S27" i="26"/>
  <c r="R28" i="26"/>
  <c r="S28" i="26"/>
  <c r="R29" i="26"/>
  <c r="S29" i="26"/>
  <c r="R30" i="26"/>
  <c r="S30" i="26"/>
  <c r="R31" i="26"/>
  <c r="S31" i="26"/>
  <c r="R32" i="26"/>
  <c r="S32" i="26"/>
  <c r="R33" i="26"/>
  <c r="S33" i="26"/>
  <c r="R34" i="26"/>
  <c r="S34" i="26"/>
  <c r="R35" i="26"/>
  <c r="S35" i="26"/>
  <c r="R36" i="26"/>
  <c r="S36" i="26"/>
  <c r="R37" i="26"/>
  <c r="S37" i="26"/>
  <c r="R38" i="26"/>
  <c r="S38" i="26"/>
  <c r="R39" i="26"/>
  <c r="S39" i="26"/>
  <c r="R40" i="26"/>
  <c r="S40" i="26"/>
  <c r="R41" i="26"/>
  <c r="S41" i="26"/>
  <c r="R42" i="26"/>
  <c r="S42" i="26"/>
  <c r="R43" i="26"/>
  <c r="S43" i="26"/>
  <c r="R44" i="26"/>
  <c r="S44" i="26"/>
  <c r="R45" i="26"/>
  <c r="S45" i="26"/>
  <c r="R46" i="26"/>
  <c r="S46" i="26"/>
  <c r="S21" i="26"/>
  <c r="R21" i="26"/>
  <c r="FI46" i="3"/>
  <c r="FH46" i="3"/>
  <c r="FG46" i="3"/>
  <c r="FC46" i="3"/>
  <c r="FD46" i="3"/>
  <c r="FB46" i="3"/>
  <c r="FA42" i="3"/>
  <c r="FA43" i="3"/>
  <c r="FA44" i="3"/>
  <c r="FA45" i="3"/>
  <c r="FA47" i="3"/>
  <c r="FA48" i="3"/>
  <c r="FA49" i="3"/>
  <c r="FA50" i="3"/>
  <c r="FA51" i="3"/>
  <c r="FA52" i="3"/>
  <c r="FA53" i="3"/>
  <c r="FA54" i="3"/>
  <c r="FA55" i="3"/>
  <c r="FA56" i="3"/>
  <c r="FA57" i="3"/>
  <c r="FA58" i="3"/>
  <c r="FA59" i="3"/>
  <c r="FA60" i="3"/>
  <c r="FA61" i="3"/>
  <c r="FA62" i="3"/>
  <c r="FF42" i="3"/>
  <c r="FF43" i="3"/>
  <c r="FF44" i="3"/>
  <c r="FF45" i="3"/>
  <c r="FF47" i="3"/>
  <c r="FF48" i="3"/>
  <c r="FF49" i="3"/>
  <c r="FF50" i="3"/>
  <c r="FF51" i="3"/>
  <c r="FF52" i="3"/>
  <c r="FF53" i="3"/>
  <c r="FF54" i="3"/>
  <c r="FF55" i="3"/>
  <c r="FF56" i="3"/>
  <c r="FF57" i="3"/>
  <c r="FF58" i="3"/>
  <c r="FF59" i="3"/>
  <c r="FF60" i="3"/>
  <c r="FF61" i="3"/>
  <c r="FF62" i="3"/>
  <c r="FF64" i="3"/>
  <c r="FF65" i="3"/>
  <c r="FF66" i="3"/>
  <c r="FF67" i="3"/>
  <c r="FF68" i="3"/>
  <c r="FF63" i="3"/>
  <c r="FA64" i="3"/>
  <c r="FA65" i="3"/>
  <c r="FA66" i="3"/>
  <c r="FA67" i="3"/>
  <c r="FA68" i="3"/>
  <c r="FA63" i="3"/>
  <c r="BB43" i="45"/>
  <c r="AL22" i="45"/>
  <c r="AJ23" i="45"/>
  <c r="AZ23" i="45"/>
  <c r="AK23" i="45"/>
  <c r="BA23" i="45"/>
  <c r="AH23" i="45"/>
  <c r="AX23" i="45"/>
  <c r="AG23" i="45"/>
  <c r="AW23" i="45"/>
  <c r="AI23" i="45"/>
  <c r="AY23" i="45"/>
  <c r="AL39" i="45"/>
  <c r="AG38" i="45"/>
  <c r="AW38" i="45"/>
  <c r="AK38" i="45"/>
  <c r="BA38" i="45"/>
  <c r="AH38" i="45"/>
  <c r="AX38" i="45"/>
  <c r="AI38" i="45"/>
  <c r="AY38" i="45"/>
  <c r="AJ38" i="45"/>
  <c r="AZ38" i="45"/>
  <c r="BB24" i="45"/>
  <c r="BB37" i="45"/>
  <c r="AI44" i="45"/>
  <c r="AY44" i="45"/>
  <c r="AJ44" i="45"/>
  <c r="AZ44" i="45"/>
  <c r="AG44" i="45"/>
  <c r="AW44" i="45"/>
  <c r="AH44" i="45"/>
  <c r="AX44" i="45"/>
  <c r="AK44" i="45"/>
  <c r="BA44" i="45"/>
  <c r="R25" i="26"/>
  <c r="S25" i="26"/>
  <c r="FF46" i="3"/>
  <c r="FA46" i="3"/>
  <c r="BB23" i="45"/>
  <c r="AL21" i="45"/>
  <c r="AJ22" i="45"/>
  <c r="AZ22" i="45"/>
  <c r="AK22" i="45"/>
  <c r="BA22" i="45"/>
  <c r="AG22" i="45"/>
  <c r="AW22" i="45"/>
  <c r="AI22" i="45"/>
  <c r="AY22" i="45"/>
  <c r="AH22" i="45"/>
  <c r="AX22" i="45"/>
  <c r="BB38" i="45"/>
  <c r="BB44" i="45"/>
  <c r="AJ39" i="45"/>
  <c r="AZ39" i="45"/>
  <c r="AG39" i="45"/>
  <c r="AW39" i="45"/>
  <c r="AK39" i="45"/>
  <c r="BA39" i="45"/>
  <c r="AH39" i="45"/>
  <c r="AX39" i="45"/>
  <c r="AI39" i="45"/>
  <c r="AY39" i="45"/>
  <c r="I14" i="32"/>
  <c r="I13" i="32"/>
  <c r="I12" i="32"/>
  <c r="I11" i="32"/>
  <c r="I10" i="32"/>
  <c r="I9" i="32"/>
  <c r="I8" i="32"/>
  <c r="I7" i="32"/>
  <c r="H14" i="32"/>
  <c r="H13" i="32"/>
  <c r="H12" i="32"/>
  <c r="H11" i="32"/>
  <c r="H10" i="32"/>
  <c r="H9" i="32"/>
  <c r="H8" i="32"/>
  <c r="H7" i="32"/>
  <c r="G14" i="32"/>
  <c r="G13" i="32"/>
  <c r="G12" i="32"/>
  <c r="G11" i="32"/>
  <c r="G10" i="32"/>
  <c r="G9" i="32"/>
  <c r="G8" i="32"/>
  <c r="G7" i="32"/>
  <c r="F14" i="32"/>
  <c r="F13" i="32"/>
  <c r="F12" i="32"/>
  <c r="F11" i="32"/>
  <c r="F10" i="32"/>
  <c r="F9" i="32"/>
  <c r="F8" i="32"/>
  <c r="F7" i="32"/>
  <c r="E14" i="32"/>
  <c r="E13" i="32"/>
  <c r="E12" i="32"/>
  <c r="E11" i="32"/>
  <c r="E10" i="32"/>
  <c r="E9" i="32"/>
  <c r="E8" i="32"/>
  <c r="E7" i="32"/>
  <c r="D14" i="32"/>
  <c r="D13" i="32"/>
  <c r="D12" i="32"/>
  <c r="D11" i="32"/>
  <c r="D10" i="32"/>
  <c r="D9" i="32"/>
  <c r="D8" i="32"/>
  <c r="D7" i="32"/>
  <c r="C14" i="32"/>
  <c r="C13" i="32"/>
  <c r="C12" i="32"/>
  <c r="C11" i="32"/>
  <c r="C10" i="32"/>
  <c r="C9" i="32"/>
  <c r="C8" i="32"/>
  <c r="C7" i="32"/>
  <c r="B14" i="32"/>
  <c r="B13" i="32"/>
  <c r="B12" i="32"/>
  <c r="B11" i="32"/>
  <c r="B10" i="32"/>
  <c r="B9" i="32"/>
  <c r="B8" i="32"/>
  <c r="B7" i="32"/>
  <c r="BB39" i="45"/>
  <c r="AL20" i="45"/>
  <c r="AJ21" i="45"/>
  <c r="AZ21" i="45"/>
  <c r="AG21" i="45"/>
  <c r="AW21" i="45"/>
  <c r="AK21" i="45"/>
  <c r="BA21" i="45"/>
  <c r="AH21" i="45"/>
  <c r="AX21" i="45"/>
  <c r="AI21" i="45"/>
  <c r="AY21" i="45"/>
  <c r="BB22" i="45"/>
  <c r="K14" i="27"/>
  <c r="K13" i="27"/>
  <c r="K12" i="27"/>
  <c r="K11" i="27"/>
  <c r="K10" i="27"/>
  <c r="K9" i="27"/>
  <c r="K8" i="27"/>
  <c r="K7" i="27"/>
  <c r="J14" i="27"/>
  <c r="J13" i="27"/>
  <c r="J12" i="27"/>
  <c r="J11" i="27"/>
  <c r="J10" i="27"/>
  <c r="J9" i="27"/>
  <c r="J8" i="27"/>
  <c r="J7" i="27"/>
  <c r="I14" i="27"/>
  <c r="I13" i="27"/>
  <c r="I12" i="27"/>
  <c r="I11" i="27"/>
  <c r="I10" i="27"/>
  <c r="I9" i="27"/>
  <c r="I8" i="27"/>
  <c r="I7" i="27"/>
  <c r="H14" i="27"/>
  <c r="H13" i="27"/>
  <c r="H12" i="27"/>
  <c r="H11" i="27"/>
  <c r="H10" i="27"/>
  <c r="H9" i="27"/>
  <c r="H8" i="27"/>
  <c r="H7" i="27"/>
  <c r="G14" i="27"/>
  <c r="G13" i="27"/>
  <c r="G12" i="27"/>
  <c r="G11" i="27"/>
  <c r="G10" i="27"/>
  <c r="G9" i="27"/>
  <c r="G8" i="27"/>
  <c r="G7" i="27"/>
  <c r="E14" i="27"/>
  <c r="D14" i="27"/>
  <c r="C14" i="27"/>
  <c r="E13" i="27"/>
  <c r="D13" i="27"/>
  <c r="C13" i="27"/>
  <c r="E12" i="27"/>
  <c r="D12" i="27"/>
  <c r="C12" i="27"/>
  <c r="E11" i="27"/>
  <c r="D11" i="27"/>
  <c r="C11" i="27"/>
  <c r="E10" i="27"/>
  <c r="D10" i="27"/>
  <c r="C10" i="27"/>
  <c r="E9" i="27"/>
  <c r="D9" i="27"/>
  <c r="C9" i="27"/>
  <c r="E8" i="27"/>
  <c r="D8" i="27"/>
  <c r="C8" i="27"/>
  <c r="E7" i="27"/>
  <c r="D7" i="27"/>
  <c r="C7" i="27"/>
  <c r="B14" i="27"/>
  <c r="B13" i="27"/>
  <c r="B12" i="27"/>
  <c r="B11" i="27"/>
  <c r="B10" i="27"/>
  <c r="B9" i="27"/>
  <c r="B8" i="27"/>
  <c r="B7" i="27"/>
  <c r="F11" i="27"/>
  <c r="AL19" i="45"/>
  <c r="AJ20" i="45"/>
  <c r="AZ20" i="45"/>
  <c r="AK20" i="45"/>
  <c r="BA20" i="45"/>
  <c r="AI20" i="45"/>
  <c r="AY20" i="45"/>
  <c r="AG20" i="45"/>
  <c r="AW20" i="45"/>
  <c r="AH20" i="45"/>
  <c r="AX20" i="45"/>
  <c r="BB21" i="45"/>
  <c r="F8" i="27"/>
  <c r="F12" i="27"/>
  <c r="F7" i="27"/>
  <c r="F9" i="27"/>
  <c r="F13" i="27"/>
  <c r="F10" i="27"/>
  <c r="F14" i="27"/>
  <c r="FY66" i="3"/>
  <c r="FY29" i="3"/>
  <c r="FY30" i="3"/>
  <c r="FY31" i="3"/>
  <c r="FY32" i="3"/>
  <c r="FY33" i="3"/>
  <c r="FY34" i="3"/>
  <c r="FY35" i="3"/>
  <c r="FY36" i="3"/>
  <c r="FY37" i="3"/>
  <c r="FY38" i="3"/>
  <c r="FY39" i="3"/>
  <c r="FY40" i="3"/>
  <c r="FY41" i="3"/>
  <c r="FY42" i="3"/>
  <c r="FY43" i="3"/>
  <c r="FY44" i="3"/>
  <c r="FY45" i="3"/>
  <c r="FY46" i="3"/>
  <c r="FY47" i="3"/>
  <c r="FY48" i="3"/>
  <c r="FY49" i="3"/>
  <c r="FY50" i="3"/>
  <c r="FY51" i="3"/>
  <c r="FY52" i="3"/>
  <c r="FY53" i="3"/>
  <c r="FY54" i="3"/>
  <c r="FY55" i="3"/>
  <c r="FY56" i="3"/>
  <c r="FY57" i="3"/>
  <c r="FY58" i="3"/>
  <c r="FY59" i="3"/>
  <c r="FY60" i="3"/>
  <c r="FY61" i="3"/>
  <c r="FY62" i="3"/>
  <c r="FY63" i="3"/>
  <c r="FY64" i="3"/>
  <c r="FY65" i="3"/>
  <c r="BB20" i="45"/>
  <c r="AL18" i="45"/>
  <c r="AJ19" i="45"/>
  <c r="AZ19" i="45"/>
  <c r="AK19" i="45"/>
  <c r="BA19" i="45"/>
  <c r="AG19" i="45"/>
  <c r="AW19" i="45"/>
  <c r="AH19" i="45"/>
  <c r="AX19" i="45"/>
  <c r="AI19" i="45"/>
  <c r="AY19" i="45"/>
  <c r="M46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9" i="26"/>
  <c r="M44" i="26"/>
  <c r="M45" i="26"/>
  <c r="J44" i="26"/>
  <c r="J39" i="26"/>
  <c r="J34" i="26"/>
  <c r="J29" i="26"/>
  <c r="J24" i="26"/>
  <c r="J19" i="26"/>
  <c r="J14" i="26"/>
  <c r="J9" i="26"/>
  <c r="G44" i="26"/>
  <c r="G39" i="26"/>
  <c r="G34" i="26"/>
  <c r="G29" i="26"/>
  <c r="G24" i="26"/>
  <c r="G19" i="26"/>
  <c r="G14" i="26"/>
  <c r="G9" i="26"/>
  <c r="E42" i="9"/>
  <c r="E43" i="9"/>
  <c r="E44" i="9"/>
  <c r="E41" i="9"/>
  <c r="EY68" i="3"/>
  <c r="EZ68" i="3"/>
  <c r="O66" i="3"/>
  <c r="O67" i="3"/>
  <c r="Q66" i="3"/>
  <c r="D45" i="7"/>
  <c r="Q67" i="3"/>
  <c r="D46" i="7"/>
  <c r="I68" i="3"/>
  <c r="K68" i="3"/>
  <c r="O68" i="3"/>
  <c r="FU67" i="3"/>
  <c r="FU68" i="3"/>
  <c r="AL17" i="45"/>
  <c r="AJ18" i="45"/>
  <c r="AZ18" i="45"/>
  <c r="AK18" i="45"/>
  <c r="BA18" i="45"/>
  <c r="AG18" i="45"/>
  <c r="AW18" i="45"/>
  <c r="AI18" i="45"/>
  <c r="AY18" i="45"/>
  <c r="AH18" i="45"/>
  <c r="AX18" i="45"/>
  <c r="BB19" i="45"/>
  <c r="O44" i="26"/>
  <c r="T44" i="26"/>
  <c r="T32" i="26"/>
  <c r="T28" i="26"/>
  <c r="T24" i="26"/>
  <c r="T39" i="26"/>
  <c r="T35" i="26"/>
  <c r="T31" i="26"/>
  <c r="T27" i="26"/>
  <c r="T23" i="26"/>
  <c r="T34" i="26"/>
  <c r="T30" i="26"/>
  <c r="T26" i="26"/>
  <c r="T22" i="26"/>
  <c r="T45" i="26"/>
  <c r="T33" i="26"/>
  <c r="T29" i="26"/>
  <c r="T25" i="26"/>
  <c r="T21" i="26"/>
  <c r="T46" i="26"/>
  <c r="O32" i="26"/>
  <c r="O24" i="26"/>
  <c r="O35" i="26"/>
  <c r="O27" i="26"/>
  <c r="O19" i="26"/>
  <c r="O34" i="26"/>
  <c r="O30" i="26"/>
  <c r="O26" i="26"/>
  <c r="O22" i="26"/>
  <c r="O28" i="26"/>
  <c r="O20" i="26"/>
  <c r="O39" i="26"/>
  <c r="O31" i="26"/>
  <c r="O23" i="26"/>
  <c r="O45" i="26"/>
  <c r="O33" i="26"/>
  <c r="O29" i="26"/>
  <c r="O25" i="26"/>
  <c r="O21" i="26"/>
  <c r="N46" i="26"/>
  <c r="P46" i="26"/>
  <c r="O46" i="26"/>
  <c r="Q68" i="3"/>
  <c r="D47" i="7"/>
  <c r="BB18" i="45"/>
  <c r="AL16" i="45"/>
  <c r="AJ17" i="45"/>
  <c r="AZ17" i="45"/>
  <c r="AG17" i="45"/>
  <c r="AW17" i="45"/>
  <c r="AK17" i="45"/>
  <c r="BA17" i="45"/>
  <c r="AH17" i="45"/>
  <c r="AX17" i="45"/>
  <c r="AI17" i="45"/>
  <c r="AY17" i="45"/>
  <c r="U46" i="26"/>
  <c r="B16" i="10"/>
  <c r="B17" i="10"/>
  <c r="B15" i="10"/>
  <c r="F44" i="9"/>
  <c r="F43" i="9"/>
  <c r="F42" i="9"/>
  <c r="F41" i="9"/>
  <c r="BB17" i="45"/>
  <c r="AL15" i="45"/>
  <c r="AJ16" i="45"/>
  <c r="AZ16" i="45"/>
  <c r="AK16" i="45"/>
  <c r="BA16" i="45"/>
  <c r="AI16" i="45"/>
  <c r="AY16" i="45"/>
  <c r="AH16" i="45"/>
  <c r="AX16" i="45"/>
  <c r="AG16" i="45"/>
  <c r="AW16" i="45"/>
  <c r="B26" i="10"/>
  <c r="B25" i="10"/>
  <c r="B24" i="10"/>
  <c r="B23" i="10"/>
  <c r="B22" i="10"/>
  <c r="B21" i="10"/>
  <c r="B20" i="25"/>
  <c r="B21" i="25"/>
  <c r="B22" i="25"/>
  <c r="B23" i="25"/>
  <c r="B24" i="25"/>
  <c r="B25" i="25"/>
  <c r="B26" i="25"/>
  <c r="B19" i="25"/>
  <c r="D8" i="25"/>
  <c r="D9" i="25"/>
  <c r="D10" i="25"/>
  <c r="D11" i="25"/>
  <c r="D12" i="25"/>
  <c r="D13" i="25"/>
  <c r="D14" i="25"/>
  <c r="D15" i="25"/>
  <c r="D7" i="25"/>
  <c r="B15" i="19"/>
  <c r="M18" i="26"/>
  <c r="O18" i="26"/>
  <c r="M19" i="8"/>
  <c r="M20" i="8"/>
  <c r="M21" i="8"/>
  <c r="M22" i="8"/>
  <c r="M23" i="8"/>
  <c r="M24" i="8"/>
  <c r="M25" i="8"/>
  <c r="M26" i="8"/>
  <c r="M27" i="8"/>
  <c r="M18" i="8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29" i="3"/>
  <c r="B38" i="19"/>
  <c r="M41" i="26"/>
  <c r="B37" i="19"/>
  <c r="M40" i="26"/>
  <c r="B33" i="19"/>
  <c r="O41" i="26"/>
  <c r="T41" i="26"/>
  <c r="B34" i="19"/>
  <c r="M37" i="26"/>
  <c r="M36" i="26"/>
  <c r="B14" i="19"/>
  <c r="M17" i="26"/>
  <c r="O17" i="26"/>
  <c r="O40" i="26"/>
  <c r="T40" i="26"/>
  <c r="B39" i="19"/>
  <c r="BB16" i="45"/>
  <c r="AL14" i="45"/>
  <c r="AJ15" i="45"/>
  <c r="AZ15" i="45"/>
  <c r="AK15" i="45"/>
  <c r="BA15" i="45"/>
  <c r="AH15" i="45"/>
  <c r="AX15" i="45"/>
  <c r="AG15" i="45"/>
  <c r="AW15" i="45"/>
  <c r="AI15" i="45"/>
  <c r="AY15" i="45"/>
  <c r="D28" i="25"/>
  <c r="D27" i="25"/>
  <c r="D29" i="25"/>
  <c r="D21" i="25"/>
  <c r="D19" i="25"/>
  <c r="D20" i="25"/>
  <c r="D24" i="25"/>
  <c r="D23" i="25"/>
  <c r="D26" i="25"/>
  <c r="D22" i="25"/>
  <c r="D25" i="25"/>
  <c r="B35" i="19"/>
  <c r="M38" i="26"/>
  <c r="N27" i="24"/>
  <c r="M27" i="24"/>
  <c r="O27" i="24"/>
  <c r="N26" i="24"/>
  <c r="M26" i="24"/>
  <c r="O26" i="24"/>
  <c r="N25" i="24"/>
  <c r="M25" i="24"/>
  <c r="O25" i="24"/>
  <c r="N24" i="24"/>
  <c r="M24" i="24"/>
  <c r="N23" i="24"/>
  <c r="M23" i="24"/>
  <c r="O23" i="24"/>
  <c r="N22" i="24"/>
  <c r="M22" i="24"/>
  <c r="O22" i="24"/>
  <c r="N21" i="24"/>
  <c r="M21" i="24"/>
  <c r="O21" i="24"/>
  <c r="N20" i="24"/>
  <c r="M20" i="24"/>
  <c r="O20" i="24"/>
  <c r="N19" i="24"/>
  <c r="M19" i="24"/>
  <c r="O19" i="24"/>
  <c r="N18" i="24"/>
  <c r="M18" i="24"/>
  <c r="O18" i="24"/>
  <c r="N17" i="24"/>
  <c r="M17" i="24"/>
  <c r="O17" i="24"/>
  <c r="N16" i="24"/>
  <c r="M16" i="24"/>
  <c r="N15" i="24"/>
  <c r="M15" i="24"/>
  <c r="N14" i="24"/>
  <c r="M14" i="24"/>
  <c r="N13" i="24"/>
  <c r="M13" i="24"/>
  <c r="N12" i="24"/>
  <c r="M12" i="24"/>
  <c r="N11" i="24"/>
  <c r="M11" i="24"/>
  <c r="N10" i="24"/>
  <c r="M10" i="24"/>
  <c r="N9" i="24"/>
  <c r="M9" i="24"/>
  <c r="O36" i="26"/>
  <c r="T36" i="26"/>
  <c r="B40" i="19"/>
  <c r="M43" i="26"/>
  <c r="M42" i="26"/>
  <c r="O38" i="26"/>
  <c r="T38" i="26"/>
  <c r="T37" i="26"/>
  <c r="O37" i="26"/>
  <c r="BB15" i="45"/>
  <c r="AI14" i="45"/>
  <c r="AY14" i="45"/>
  <c r="AH14" i="45"/>
  <c r="AX14" i="45"/>
  <c r="AG14" i="45"/>
  <c r="AW14" i="45"/>
  <c r="AJ14" i="45"/>
  <c r="AZ14" i="45"/>
  <c r="AK14" i="45"/>
  <c r="BA14" i="45"/>
  <c r="O13" i="24"/>
  <c r="O9" i="24"/>
  <c r="O10" i="24"/>
  <c r="O11" i="24"/>
  <c r="O12" i="24"/>
  <c r="O14" i="24"/>
  <c r="O15" i="24"/>
  <c r="O16" i="24"/>
  <c r="O24" i="24"/>
  <c r="T42" i="26"/>
  <c r="O42" i="26"/>
  <c r="O43" i="26"/>
  <c r="T43" i="26"/>
  <c r="BB14" i="45"/>
  <c r="AT8" i="16"/>
  <c r="AU12" i="16"/>
  <c r="AU11" i="16"/>
  <c r="O44" i="7"/>
  <c r="O39" i="7"/>
  <c r="O34" i="7"/>
  <c r="O29" i="7"/>
  <c r="O24" i="7"/>
  <c r="O19" i="7"/>
  <c r="O14" i="7"/>
  <c r="O9" i="7"/>
  <c r="M44" i="7"/>
  <c r="M39" i="7"/>
  <c r="M34" i="7"/>
  <c r="M29" i="7"/>
  <c r="M24" i="7"/>
  <c r="M19" i="7"/>
  <c r="M14" i="7"/>
  <c r="M9" i="7"/>
  <c r="H44" i="7"/>
  <c r="F44" i="7"/>
  <c r="H39" i="7"/>
  <c r="F39" i="7"/>
  <c r="H34" i="7"/>
  <c r="F34" i="7"/>
  <c r="H29" i="7"/>
  <c r="F29" i="7"/>
  <c r="H24" i="7"/>
  <c r="F24" i="7"/>
  <c r="H19" i="7"/>
  <c r="F19" i="7"/>
  <c r="H14" i="7"/>
  <c r="F14" i="7"/>
  <c r="H9" i="7"/>
  <c r="F9" i="7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27" i="4"/>
  <c r="J16" i="13"/>
  <c r="J15" i="13"/>
  <c r="J14" i="13"/>
  <c r="J13" i="13"/>
  <c r="J12" i="13"/>
  <c r="J11" i="13"/>
  <c r="J10" i="13"/>
  <c r="J9" i="13"/>
  <c r="H16" i="13"/>
  <c r="H15" i="13"/>
  <c r="H14" i="13"/>
  <c r="H13" i="13"/>
  <c r="H12" i="13"/>
  <c r="H11" i="13"/>
  <c r="H10" i="13"/>
  <c r="H9" i="13"/>
  <c r="F10" i="13"/>
  <c r="F11" i="13"/>
  <c r="F12" i="13"/>
  <c r="F13" i="13"/>
  <c r="F14" i="13"/>
  <c r="F15" i="13"/>
  <c r="F16" i="13"/>
  <c r="F9" i="13"/>
  <c r="I16" i="13"/>
  <c r="I15" i="13"/>
  <c r="I14" i="13"/>
  <c r="I13" i="13"/>
  <c r="I12" i="13"/>
  <c r="I11" i="13"/>
  <c r="I10" i="13"/>
  <c r="I9" i="13"/>
  <c r="AX15" i="16"/>
  <c r="AW15" i="16"/>
  <c r="AV15" i="16"/>
  <c r="AU15" i="16"/>
  <c r="AT15" i="16"/>
  <c r="AS15" i="16"/>
  <c r="AX14" i="16"/>
  <c r="AW14" i="16"/>
  <c r="AV14" i="16"/>
  <c r="AU14" i="16"/>
  <c r="AT14" i="16"/>
  <c r="AS14" i="16"/>
  <c r="AX13" i="16"/>
  <c r="AW13" i="16"/>
  <c r="AV13" i="16"/>
  <c r="AU13" i="16"/>
  <c r="AT13" i="16"/>
  <c r="AS13" i="16"/>
  <c r="AX12" i="16"/>
  <c r="AW12" i="16"/>
  <c r="AV12" i="16"/>
  <c r="AT12" i="16"/>
  <c r="AS12" i="16"/>
  <c r="AX11" i="16"/>
  <c r="AW11" i="16"/>
  <c r="AV11" i="16"/>
  <c r="AT11" i="16"/>
  <c r="AS11" i="16"/>
  <c r="AX10" i="16"/>
  <c r="AW10" i="16"/>
  <c r="AV10" i="16"/>
  <c r="AU10" i="16"/>
  <c r="AT10" i="16"/>
  <c r="AS10" i="16"/>
  <c r="AX9" i="16"/>
  <c r="AW9" i="16"/>
  <c r="AV9" i="16"/>
  <c r="AU9" i="16"/>
  <c r="AT9" i="16"/>
  <c r="AS9" i="16"/>
  <c r="AX8" i="16"/>
  <c r="AW8" i="16"/>
  <c r="AV8" i="16"/>
  <c r="AU8" i="16"/>
  <c r="AS8" i="16"/>
  <c r="AL8" i="16"/>
  <c r="AQ15" i="16"/>
  <c r="AP15" i="16"/>
  <c r="AO15" i="16"/>
  <c r="AN15" i="16"/>
  <c r="AM15" i="16"/>
  <c r="AL15" i="16"/>
  <c r="AQ14" i="16"/>
  <c r="AP14" i="16"/>
  <c r="AO14" i="16"/>
  <c r="AN14" i="16"/>
  <c r="AM14" i="16"/>
  <c r="AL14" i="16"/>
  <c r="AQ13" i="16"/>
  <c r="AP13" i="16"/>
  <c r="AO13" i="16"/>
  <c r="AN13" i="16"/>
  <c r="AM13" i="16"/>
  <c r="AL13" i="16"/>
  <c r="AQ12" i="16"/>
  <c r="AP12" i="16"/>
  <c r="AO12" i="16"/>
  <c r="AN12" i="16"/>
  <c r="AM12" i="16"/>
  <c r="AL12" i="16"/>
  <c r="AQ11" i="16"/>
  <c r="AP11" i="16"/>
  <c r="AO11" i="16"/>
  <c r="AN11" i="16"/>
  <c r="AM11" i="16"/>
  <c r="AL11" i="16"/>
  <c r="AQ10" i="16"/>
  <c r="AP10" i="16"/>
  <c r="AO10" i="16"/>
  <c r="AN10" i="16"/>
  <c r="AM10" i="16"/>
  <c r="AL10" i="16"/>
  <c r="AQ9" i="16"/>
  <c r="AP9" i="16"/>
  <c r="AO9" i="16"/>
  <c r="AN9" i="16"/>
  <c r="AM9" i="16"/>
  <c r="AL9" i="16"/>
  <c r="AQ8" i="16"/>
  <c r="AP8" i="16"/>
  <c r="AO8" i="16"/>
  <c r="AN8" i="16"/>
  <c r="AM8" i="16"/>
  <c r="AJ15" i="16"/>
  <c r="AI15" i="16"/>
  <c r="AH15" i="16"/>
  <c r="AG15" i="16"/>
  <c r="AF15" i="16"/>
  <c r="AE15" i="16"/>
  <c r="AJ14" i="16"/>
  <c r="AI14" i="16"/>
  <c r="AH14" i="16"/>
  <c r="AG14" i="16"/>
  <c r="AF14" i="16"/>
  <c r="AE14" i="16"/>
  <c r="AJ13" i="16"/>
  <c r="AI13" i="16"/>
  <c r="AH13" i="16"/>
  <c r="AG13" i="16"/>
  <c r="AF13" i="16"/>
  <c r="AE13" i="16"/>
  <c r="AJ12" i="16"/>
  <c r="AI12" i="16"/>
  <c r="AH12" i="16"/>
  <c r="AG12" i="16"/>
  <c r="AF12" i="16"/>
  <c r="AE12" i="16"/>
  <c r="AJ11" i="16"/>
  <c r="AI11" i="16"/>
  <c r="AH11" i="16"/>
  <c r="AG11" i="16"/>
  <c r="AF11" i="16"/>
  <c r="AE11" i="16"/>
  <c r="AJ10" i="16"/>
  <c r="AI10" i="16"/>
  <c r="AH10" i="16"/>
  <c r="AG10" i="16"/>
  <c r="AF10" i="16"/>
  <c r="AE10" i="16"/>
  <c r="AJ9" i="16"/>
  <c r="AI9" i="16"/>
  <c r="AH9" i="16"/>
  <c r="AG9" i="16"/>
  <c r="AF9" i="16"/>
  <c r="AE9" i="16"/>
  <c r="AJ8" i="16"/>
  <c r="AI8" i="16"/>
  <c r="AH8" i="16"/>
  <c r="AG8" i="16"/>
  <c r="AF8" i="16"/>
  <c r="AE8" i="16"/>
  <c r="AA15" i="16"/>
  <c r="AB15" i="16"/>
  <c r="Y15" i="16"/>
  <c r="Z15" i="16"/>
  <c r="W15" i="16"/>
  <c r="X15" i="16"/>
  <c r="U15" i="16"/>
  <c r="V15" i="16"/>
  <c r="S15" i="16"/>
  <c r="T15" i="16"/>
  <c r="Q15" i="16"/>
  <c r="R15" i="16"/>
  <c r="AA14" i="16"/>
  <c r="Y14" i="16"/>
  <c r="W14" i="16"/>
  <c r="U14" i="16"/>
  <c r="S14" i="16"/>
  <c r="Q14" i="16"/>
  <c r="AA13" i="16"/>
  <c r="Y13" i="16"/>
  <c r="W13" i="16"/>
  <c r="U13" i="16"/>
  <c r="S13" i="16"/>
  <c r="Q13" i="16"/>
  <c r="AA12" i="16"/>
  <c r="Y12" i="16"/>
  <c r="W12" i="16"/>
  <c r="U12" i="16"/>
  <c r="S12" i="16"/>
  <c r="Q12" i="16"/>
  <c r="AA11" i="16"/>
  <c r="Y11" i="16"/>
  <c r="W11" i="16"/>
  <c r="U11" i="16"/>
  <c r="S11" i="16"/>
  <c r="Q11" i="16"/>
  <c r="AA10" i="16"/>
  <c r="Y10" i="16"/>
  <c r="W10" i="16"/>
  <c r="U10" i="16"/>
  <c r="S10" i="16"/>
  <c r="Q10" i="16"/>
  <c r="AA9" i="16"/>
  <c r="Y9" i="16"/>
  <c r="W9" i="16"/>
  <c r="U9" i="16"/>
  <c r="S9" i="16"/>
  <c r="Q9" i="16"/>
  <c r="AA8" i="16"/>
  <c r="Y8" i="16"/>
  <c r="W8" i="16"/>
  <c r="U8" i="16"/>
  <c r="S8" i="16"/>
  <c r="Q8" i="16"/>
  <c r="O15" i="16"/>
  <c r="N15" i="16"/>
  <c r="M15" i="16"/>
  <c r="L15" i="16"/>
  <c r="K15" i="16"/>
  <c r="J15" i="16"/>
  <c r="O14" i="16"/>
  <c r="N14" i="16"/>
  <c r="M14" i="16"/>
  <c r="L14" i="16"/>
  <c r="K14" i="16"/>
  <c r="J14" i="16"/>
  <c r="O13" i="16"/>
  <c r="N13" i="16"/>
  <c r="M13" i="16"/>
  <c r="L13" i="16"/>
  <c r="K13" i="16"/>
  <c r="J13" i="16"/>
  <c r="O12" i="16"/>
  <c r="N12" i="16"/>
  <c r="M12" i="16"/>
  <c r="L12" i="16"/>
  <c r="K12" i="16"/>
  <c r="J12" i="16"/>
  <c r="O11" i="16"/>
  <c r="N11" i="16"/>
  <c r="M11" i="16"/>
  <c r="L11" i="16"/>
  <c r="K11" i="16"/>
  <c r="J11" i="16"/>
  <c r="O10" i="16"/>
  <c r="N10" i="16"/>
  <c r="M10" i="16"/>
  <c r="L10" i="16"/>
  <c r="K10" i="16"/>
  <c r="J10" i="16"/>
  <c r="O9" i="16"/>
  <c r="N9" i="16"/>
  <c r="M9" i="16"/>
  <c r="L9" i="16"/>
  <c r="K9" i="16"/>
  <c r="J9" i="16"/>
  <c r="O8" i="16"/>
  <c r="N8" i="16"/>
  <c r="M8" i="16"/>
  <c r="L8" i="16"/>
  <c r="K8" i="16"/>
  <c r="J8" i="16"/>
  <c r="H15" i="16"/>
  <c r="G15" i="16"/>
  <c r="F15" i="16"/>
  <c r="E15" i="16"/>
  <c r="D15" i="16"/>
  <c r="C15" i="16"/>
  <c r="H14" i="16"/>
  <c r="G14" i="16"/>
  <c r="F14" i="16"/>
  <c r="E14" i="16"/>
  <c r="D14" i="16"/>
  <c r="C14" i="16"/>
  <c r="H13" i="16"/>
  <c r="G13" i="16"/>
  <c r="F13" i="16"/>
  <c r="E13" i="16"/>
  <c r="D13" i="16"/>
  <c r="C13" i="16"/>
  <c r="H12" i="16"/>
  <c r="G12" i="16"/>
  <c r="F12" i="16"/>
  <c r="E12" i="16"/>
  <c r="D12" i="16"/>
  <c r="C12" i="16"/>
  <c r="H11" i="16"/>
  <c r="G11" i="16"/>
  <c r="F11" i="16"/>
  <c r="E11" i="16"/>
  <c r="D11" i="16"/>
  <c r="C11" i="16"/>
  <c r="H10" i="16"/>
  <c r="G10" i="16"/>
  <c r="F10" i="16"/>
  <c r="E10" i="16"/>
  <c r="D10" i="16"/>
  <c r="C10" i="16"/>
  <c r="H9" i="16"/>
  <c r="G9" i="16"/>
  <c r="F9" i="16"/>
  <c r="E9" i="16"/>
  <c r="D9" i="16"/>
  <c r="C9" i="16"/>
  <c r="H8" i="16"/>
  <c r="G8" i="16"/>
  <c r="F8" i="16"/>
  <c r="E8" i="16"/>
  <c r="D8" i="16"/>
  <c r="C8" i="16"/>
  <c r="D16" i="13"/>
  <c r="D15" i="13"/>
  <c r="D14" i="13"/>
  <c r="D13" i="13"/>
  <c r="D12" i="13"/>
  <c r="D11" i="13"/>
  <c r="D10" i="13"/>
  <c r="D9" i="13"/>
  <c r="G16" i="13"/>
  <c r="E16" i="13"/>
  <c r="G15" i="13"/>
  <c r="E15" i="13"/>
  <c r="G14" i="13"/>
  <c r="E14" i="13"/>
  <c r="G13" i="13"/>
  <c r="E13" i="13"/>
  <c r="G12" i="13"/>
  <c r="E12" i="13"/>
  <c r="G11" i="13"/>
  <c r="E11" i="13"/>
  <c r="G10" i="13"/>
  <c r="E10" i="13"/>
  <c r="G9" i="13"/>
  <c r="E9" i="13"/>
  <c r="H15" i="7"/>
  <c r="H16" i="7"/>
  <c r="H17" i="7"/>
  <c r="H18" i="7"/>
  <c r="B9" i="10"/>
  <c r="FU30" i="3"/>
  <c r="GD30" i="3"/>
  <c r="FU31" i="3"/>
  <c r="GD31" i="3"/>
  <c r="FU32" i="3"/>
  <c r="GD32" i="3"/>
  <c r="FU33" i="3"/>
  <c r="GD33" i="3"/>
  <c r="FU34" i="3"/>
  <c r="GD34" i="3"/>
  <c r="FU35" i="3"/>
  <c r="GD35" i="3"/>
  <c r="FU36" i="3"/>
  <c r="GD36" i="3"/>
  <c r="FU37" i="3"/>
  <c r="FU38" i="3"/>
  <c r="GD38" i="3"/>
  <c r="FU39" i="3"/>
  <c r="GD39" i="3"/>
  <c r="FU40" i="3"/>
  <c r="FU41" i="3"/>
  <c r="FU42" i="3"/>
  <c r="GD42" i="3"/>
  <c r="FU43" i="3"/>
  <c r="GD43" i="3"/>
  <c r="FU44" i="3"/>
  <c r="GD44" i="3"/>
  <c r="FU45" i="3"/>
  <c r="GD45" i="3"/>
  <c r="FU46" i="3"/>
  <c r="GD46" i="3"/>
  <c r="FU47" i="3"/>
  <c r="GD47" i="3"/>
  <c r="FU48" i="3"/>
  <c r="GD48" i="3"/>
  <c r="FU49" i="3"/>
  <c r="GD49" i="3"/>
  <c r="FU50" i="3"/>
  <c r="GD50" i="3"/>
  <c r="FU51" i="3"/>
  <c r="GD51" i="3"/>
  <c r="FU52" i="3"/>
  <c r="GD52" i="3"/>
  <c r="FU53" i="3"/>
  <c r="GD53" i="3"/>
  <c r="FU54" i="3"/>
  <c r="GD54" i="3"/>
  <c r="FU55" i="3"/>
  <c r="GD55" i="3"/>
  <c r="FU56" i="3"/>
  <c r="GD56" i="3"/>
  <c r="FU57" i="3"/>
  <c r="GD57" i="3"/>
  <c r="FU58" i="3"/>
  <c r="GD58" i="3"/>
  <c r="FU59" i="3"/>
  <c r="GD59" i="3"/>
  <c r="FU60" i="3"/>
  <c r="GD60" i="3"/>
  <c r="FU61" i="3"/>
  <c r="GD61" i="3"/>
  <c r="FU62" i="3"/>
  <c r="GD62" i="3"/>
  <c r="FU63" i="3"/>
  <c r="GD63" i="3"/>
  <c r="FU64" i="3"/>
  <c r="GD64" i="3"/>
  <c r="FU65" i="3"/>
  <c r="GD65" i="3"/>
  <c r="FU66" i="3"/>
  <c r="FU29" i="3"/>
  <c r="GD29" i="3"/>
  <c r="B14" i="10"/>
  <c r="B13" i="10"/>
  <c r="B12" i="10"/>
  <c r="B11" i="10"/>
  <c r="B10" i="10"/>
  <c r="GD37" i="3"/>
  <c r="FZ37" i="3"/>
  <c r="GE65" i="3"/>
  <c r="GE57" i="3"/>
  <c r="GE53" i="3"/>
  <c r="GE61" i="3"/>
  <c r="GE64" i="3"/>
  <c r="GE49" i="3"/>
  <c r="GE60" i="3"/>
  <c r="GE45" i="3"/>
  <c r="GE56" i="3"/>
  <c r="FV41" i="3"/>
  <c r="GD41" i="3"/>
  <c r="GE41" i="3"/>
  <c r="GE37" i="3"/>
  <c r="GE33" i="3"/>
  <c r="GE52" i="3"/>
  <c r="GE48" i="3"/>
  <c r="GE44" i="3"/>
  <c r="FV40" i="3"/>
  <c r="GD40" i="3"/>
  <c r="GE40" i="3"/>
  <c r="GE36" i="3"/>
  <c r="GE32" i="3"/>
  <c r="GE59" i="3"/>
  <c r="GE51" i="3"/>
  <c r="GE47" i="3"/>
  <c r="GE43" i="3"/>
  <c r="GE39" i="3"/>
  <c r="GE35" i="3"/>
  <c r="GE31" i="3"/>
  <c r="GE63" i="3"/>
  <c r="GE55" i="3"/>
  <c r="GE62" i="3"/>
  <c r="GE58" i="3"/>
  <c r="GE54" i="3"/>
  <c r="GE50" i="3"/>
  <c r="GE46" i="3"/>
  <c r="GE42" i="3"/>
  <c r="GE38" i="3"/>
  <c r="GE34" i="3"/>
  <c r="GE30" i="3"/>
  <c r="U44" i="26"/>
  <c r="FV65" i="3"/>
  <c r="U40" i="26"/>
  <c r="FV61" i="3"/>
  <c r="U36" i="26"/>
  <c r="FV57" i="3"/>
  <c r="U32" i="26"/>
  <c r="FV53" i="3"/>
  <c r="U28" i="26"/>
  <c r="FV49" i="3"/>
  <c r="U24" i="26"/>
  <c r="FV45" i="3"/>
  <c r="FV37" i="3"/>
  <c r="FZ33" i="3"/>
  <c r="FV33" i="3"/>
  <c r="U43" i="26"/>
  <c r="FV64" i="3"/>
  <c r="U39" i="26"/>
  <c r="FV60" i="3"/>
  <c r="U35" i="26"/>
  <c r="FV56" i="3"/>
  <c r="U31" i="26"/>
  <c r="FV52" i="3"/>
  <c r="U27" i="26"/>
  <c r="FV48" i="3"/>
  <c r="U23" i="26"/>
  <c r="FV44" i="3"/>
  <c r="FZ36" i="3"/>
  <c r="FV36" i="3"/>
  <c r="FZ32" i="3"/>
  <c r="FV32" i="3"/>
  <c r="FZ29" i="3"/>
  <c r="FV67" i="3"/>
  <c r="FV68" i="3"/>
  <c r="U42" i="26"/>
  <c r="FV63" i="3"/>
  <c r="FW63" i="3"/>
  <c r="GM63" i="3"/>
  <c r="U38" i="26"/>
  <c r="FV59" i="3"/>
  <c r="U34" i="26"/>
  <c r="FV55" i="3"/>
  <c r="FW55" i="3"/>
  <c r="GM55" i="3"/>
  <c r="U30" i="26"/>
  <c r="FV51" i="3"/>
  <c r="U26" i="26"/>
  <c r="FV47" i="3"/>
  <c r="FW47" i="3"/>
  <c r="GM47" i="3"/>
  <c r="U22" i="26"/>
  <c r="FV43" i="3"/>
  <c r="FV39" i="3"/>
  <c r="FV35" i="3"/>
  <c r="FZ31" i="3"/>
  <c r="FV31" i="3"/>
  <c r="U45" i="26"/>
  <c r="FV66" i="3"/>
  <c r="U41" i="26"/>
  <c r="FV62" i="3"/>
  <c r="U37" i="26"/>
  <c r="FV58" i="3"/>
  <c r="U33" i="26"/>
  <c r="FV54" i="3"/>
  <c r="U29" i="26"/>
  <c r="FV50" i="3"/>
  <c r="U25" i="26"/>
  <c r="FV46" i="3"/>
  <c r="U21" i="26"/>
  <c r="FV42" i="3"/>
  <c r="FW42" i="3"/>
  <c r="GM42" i="3"/>
  <c r="FV38" i="3"/>
  <c r="FW38" i="3"/>
  <c r="GM38" i="3"/>
  <c r="FZ34" i="3"/>
  <c r="FV34" i="3"/>
  <c r="FW34" i="3"/>
  <c r="GM34" i="3"/>
  <c r="FV30" i="3"/>
  <c r="FW30" i="3"/>
  <c r="C11" i="10"/>
  <c r="FZ60" i="3"/>
  <c r="H39" i="26"/>
  <c r="N39" i="26"/>
  <c r="K39" i="26"/>
  <c r="FZ52" i="3"/>
  <c r="N31" i="26"/>
  <c r="P31" i="26"/>
  <c r="FZ63" i="3"/>
  <c r="N42" i="26"/>
  <c r="P42" i="26"/>
  <c r="FZ55" i="3"/>
  <c r="N34" i="26"/>
  <c r="P34" i="26"/>
  <c r="H34" i="26"/>
  <c r="K34" i="26"/>
  <c r="FZ47" i="3"/>
  <c r="N26" i="26"/>
  <c r="P26" i="26"/>
  <c r="FZ39" i="3"/>
  <c r="N18" i="26"/>
  <c r="P18" i="26"/>
  <c r="FZ66" i="3"/>
  <c r="N45" i="26"/>
  <c r="P45" i="26"/>
  <c r="FZ62" i="3"/>
  <c r="N41" i="26"/>
  <c r="P41" i="26"/>
  <c r="FZ54" i="3"/>
  <c r="N33" i="26"/>
  <c r="P33" i="26"/>
  <c r="FZ50" i="3"/>
  <c r="K29" i="26"/>
  <c r="N29" i="26"/>
  <c r="H29" i="26"/>
  <c r="FZ42" i="3"/>
  <c r="N21" i="26"/>
  <c r="P21" i="26"/>
  <c r="C13" i="10"/>
  <c r="FZ65" i="3"/>
  <c r="N44" i="26"/>
  <c r="H44" i="26"/>
  <c r="K44" i="26"/>
  <c r="FZ61" i="3"/>
  <c r="N40" i="26"/>
  <c r="P40" i="26"/>
  <c r="FZ57" i="3"/>
  <c r="N36" i="26"/>
  <c r="P36" i="26"/>
  <c r="FZ53" i="3"/>
  <c r="N32" i="26"/>
  <c r="P32" i="26"/>
  <c r="FZ49" i="3"/>
  <c r="N28" i="26"/>
  <c r="P28" i="26"/>
  <c r="FZ45" i="3"/>
  <c r="K24" i="26"/>
  <c r="N24" i="26"/>
  <c r="H24" i="26"/>
  <c r="FZ41" i="3"/>
  <c r="N20" i="26"/>
  <c r="P20" i="26"/>
  <c r="FZ44" i="3"/>
  <c r="N23" i="26"/>
  <c r="P23" i="26"/>
  <c r="FZ64" i="3"/>
  <c r="N43" i="26"/>
  <c r="P43" i="26"/>
  <c r="FZ56" i="3"/>
  <c r="N35" i="26"/>
  <c r="P35" i="26"/>
  <c r="FZ48" i="3"/>
  <c r="N27" i="26"/>
  <c r="P27" i="26"/>
  <c r="FZ40" i="3"/>
  <c r="GA40" i="3"/>
  <c r="N19" i="26"/>
  <c r="P19" i="26"/>
  <c r="H19" i="26"/>
  <c r="K19" i="26"/>
  <c r="FZ59" i="3"/>
  <c r="GA59" i="3"/>
  <c r="N38" i="26"/>
  <c r="P38" i="26"/>
  <c r="FZ51" i="3"/>
  <c r="N30" i="26"/>
  <c r="P30" i="26"/>
  <c r="FZ43" i="3"/>
  <c r="GA43" i="3"/>
  <c r="N22" i="26"/>
  <c r="P22" i="26"/>
  <c r="FZ35" i="3"/>
  <c r="H14" i="26"/>
  <c r="K14" i="26"/>
  <c r="FZ58" i="3"/>
  <c r="GA58" i="3"/>
  <c r="N37" i="26"/>
  <c r="P37" i="26"/>
  <c r="FZ46" i="3"/>
  <c r="N25" i="26"/>
  <c r="P25" i="26"/>
  <c r="FZ38" i="3"/>
  <c r="GA38" i="3"/>
  <c r="N17" i="26"/>
  <c r="P17" i="26"/>
  <c r="FZ30" i="3"/>
  <c r="K9" i="26"/>
  <c r="H9" i="26"/>
  <c r="C11" i="25"/>
  <c r="C15" i="25"/>
  <c r="C13" i="25"/>
  <c r="C14" i="25"/>
  <c r="C8" i="25"/>
  <c r="C12" i="25"/>
  <c r="C7" i="25"/>
  <c r="C9" i="25"/>
  <c r="C10" i="25"/>
  <c r="F14" i="25"/>
  <c r="F12" i="25"/>
  <c r="F15" i="25"/>
  <c r="F13" i="25"/>
  <c r="F10" i="25"/>
  <c r="F8" i="25"/>
  <c r="F11" i="25"/>
  <c r="F9" i="25"/>
  <c r="F7" i="25"/>
  <c r="C12" i="10"/>
  <c r="C17" i="10"/>
  <c r="C15" i="10"/>
  <c r="C16" i="10"/>
  <c r="C14" i="10"/>
  <c r="N39" i="7"/>
  <c r="P39" i="7"/>
  <c r="C9" i="10"/>
  <c r="N19" i="7"/>
  <c r="P19" i="7"/>
  <c r="P24" i="7"/>
  <c r="N24" i="7"/>
  <c r="P34" i="7"/>
  <c r="N34" i="7"/>
  <c r="P14" i="7"/>
  <c r="N14" i="7"/>
  <c r="N44" i="7"/>
  <c r="P44" i="7"/>
  <c r="C10" i="10"/>
  <c r="N29" i="7"/>
  <c r="P29" i="7"/>
  <c r="P9" i="7"/>
  <c r="N9" i="7"/>
  <c r="GR65" i="3"/>
  <c r="GR66" i="3"/>
  <c r="GA35" i="3"/>
  <c r="GA51" i="3"/>
  <c r="GA48" i="3"/>
  <c r="GA64" i="3"/>
  <c r="GA41" i="3"/>
  <c r="GA45" i="3"/>
  <c r="GA53" i="3"/>
  <c r="GA42" i="3"/>
  <c r="FW62" i="3"/>
  <c r="GM62" i="3"/>
  <c r="FW32" i="3"/>
  <c r="GM32" i="3"/>
  <c r="FW44" i="3"/>
  <c r="GM44" i="3"/>
  <c r="FW52" i="3"/>
  <c r="GM52" i="3"/>
  <c r="FW60" i="3"/>
  <c r="GM60" i="3"/>
  <c r="GR45" i="3"/>
  <c r="GR46" i="3"/>
  <c r="FW41" i="3"/>
  <c r="GM41" i="3"/>
  <c r="FW67" i="3"/>
  <c r="FW36" i="3"/>
  <c r="GM36" i="3"/>
  <c r="FW48" i="3"/>
  <c r="GM48" i="3"/>
  <c r="FW56" i="3"/>
  <c r="GM56" i="3"/>
  <c r="FW64" i="3"/>
  <c r="GM64" i="3"/>
  <c r="FW35" i="3"/>
  <c r="GM35" i="3"/>
  <c r="FW37" i="3"/>
  <c r="GM37" i="3"/>
  <c r="FW57" i="3"/>
  <c r="GM57" i="3"/>
  <c r="FW50" i="3"/>
  <c r="GM50" i="3"/>
  <c r="FW58" i="3"/>
  <c r="GM58" i="3"/>
  <c r="FW66" i="3"/>
  <c r="GM66" i="3"/>
  <c r="FW65" i="3"/>
  <c r="GM65" i="3"/>
  <c r="FW45" i="3"/>
  <c r="GM45" i="3"/>
  <c r="FW53" i="3"/>
  <c r="GM53" i="3"/>
  <c r="FW61" i="3"/>
  <c r="GM61" i="3"/>
  <c r="FW49" i="3"/>
  <c r="GM49" i="3"/>
  <c r="FW39" i="3"/>
  <c r="GM39" i="3"/>
  <c r="FW33" i="3"/>
  <c r="GM33" i="3"/>
  <c r="FW46" i="3"/>
  <c r="GM46" i="3"/>
  <c r="FW54" i="3"/>
  <c r="GM54" i="3"/>
  <c r="FW31" i="3"/>
  <c r="GM31" i="3"/>
  <c r="GN31" i="3"/>
  <c r="FW43" i="3"/>
  <c r="GM43" i="3"/>
  <c r="FW51" i="3"/>
  <c r="GM51" i="3"/>
  <c r="FW59" i="3"/>
  <c r="GM59" i="3"/>
  <c r="FW68" i="3"/>
  <c r="FW40" i="3"/>
  <c r="GM40" i="3"/>
  <c r="GA50" i="3"/>
  <c r="GA62" i="3"/>
  <c r="GA31" i="3"/>
  <c r="GA61" i="3"/>
  <c r="GA65" i="3"/>
  <c r="GA39" i="3"/>
  <c r="GA63" i="3"/>
  <c r="GA36" i="3"/>
  <c r="GA37" i="3"/>
  <c r="GA56" i="3"/>
  <c r="GA44" i="3"/>
  <c r="GA49" i="3"/>
  <c r="GA57" i="3"/>
  <c r="GA54" i="3"/>
  <c r="GA66" i="3"/>
  <c r="GA46" i="3"/>
  <c r="GA47" i="3"/>
  <c r="GA55" i="3"/>
  <c r="GA52" i="3"/>
  <c r="GA60" i="3"/>
  <c r="GA34" i="3"/>
  <c r="GA32" i="3"/>
  <c r="GA33" i="3"/>
  <c r="U56" i="26"/>
  <c r="C23" i="10"/>
  <c r="C28" i="10"/>
  <c r="C29" i="10"/>
  <c r="C24" i="10"/>
  <c r="K56" i="26"/>
  <c r="N56" i="26"/>
  <c r="H56" i="26"/>
  <c r="C20" i="25"/>
  <c r="C25" i="25"/>
  <c r="H51" i="26"/>
  <c r="K55" i="26"/>
  <c r="C23" i="25"/>
  <c r="H50" i="26"/>
  <c r="P44" i="26"/>
  <c r="N55" i="26"/>
  <c r="K53" i="26"/>
  <c r="K54" i="26"/>
  <c r="H52" i="26"/>
  <c r="H53" i="26"/>
  <c r="N54" i="26"/>
  <c r="P39" i="26"/>
  <c r="K49" i="26"/>
  <c r="P24" i="26"/>
  <c r="N51" i="26"/>
  <c r="N53" i="26"/>
  <c r="N52" i="26"/>
  <c r="P29" i="26"/>
  <c r="H54" i="26"/>
  <c r="H49" i="26"/>
  <c r="K50" i="26"/>
  <c r="K51" i="26"/>
  <c r="H55" i="26"/>
  <c r="K52" i="26"/>
  <c r="C24" i="25"/>
  <c r="C25" i="10"/>
  <c r="AR13" i="17"/>
  <c r="AN13" i="17"/>
  <c r="AP12" i="17"/>
  <c r="AQ13" i="17"/>
  <c r="AM13" i="17"/>
  <c r="AO12" i="17"/>
  <c r="AP13" i="17"/>
  <c r="AN12" i="17"/>
  <c r="AO13" i="17"/>
  <c r="AM12" i="17"/>
  <c r="AR12" i="17"/>
  <c r="AQ12" i="17"/>
  <c r="AB8" i="17"/>
  <c r="AA8" i="17"/>
  <c r="AD8" i="17"/>
  <c r="AC8" i="17"/>
  <c r="Z8" i="17"/>
  <c r="Y8" i="17"/>
  <c r="AR11" i="17"/>
  <c r="AN11" i="17"/>
  <c r="AQ11" i="17"/>
  <c r="AM11" i="17"/>
  <c r="AP11" i="17"/>
  <c r="AO11" i="17"/>
  <c r="AD13" i="17"/>
  <c r="Z13" i="17"/>
  <c r="AB12" i="17"/>
  <c r="AC13" i="17"/>
  <c r="Y13" i="17"/>
  <c r="AA12" i="17"/>
  <c r="AB13" i="17"/>
  <c r="Z12" i="17"/>
  <c r="AA13" i="17"/>
  <c r="Y12" i="17"/>
  <c r="AD12" i="17"/>
  <c r="AC12" i="17"/>
  <c r="AD11" i="17"/>
  <c r="Z11" i="17"/>
  <c r="AC11" i="17"/>
  <c r="Y11" i="17"/>
  <c r="AB11" i="17"/>
  <c r="AA11" i="17"/>
  <c r="AP8" i="17"/>
  <c r="AO8" i="17"/>
  <c r="AR8" i="17"/>
  <c r="AQ8" i="17"/>
  <c r="AN8" i="17"/>
  <c r="AM8" i="17"/>
  <c r="F22" i="25"/>
  <c r="G11" i="25"/>
  <c r="J15" i="25"/>
  <c r="F27" i="25"/>
  <c r="F29" i="25"/>
  <c r="F26" i="25"/>
  <c r="G15" i="25"/>
  <c r="F19" i="25"/>
  <c r="G8" i="25"/>
  <c r="F23" i="25"/>
  <c r="G12" i="25"/>
  <c r="G7" i="25"/>
  <c r="J10" i="25"/>
  <c r="F21" i="25"/>
  <c r="G10" i="25"/>
  <c r="F28" i="25"/>
  <c r="G14" i="25"/>
  <c r="F25" i="25"/>
  <c r="C26" i="25"/>
  <c r="C29" i="25"/>
  <c r="C27" i="25"/>
  <c r="F20" i="25"/>
  <c r="G9" i="25"/>
  <c r="F24" i="25"/>
  <c r="G13" i="25"/>
  <c r="C28" i="25"/>
  <c r="C21" i="25"/>
  <c r="C19" i="25"/>
  <c r="C22" i="25"/>
  <c r="C26" i="10"/>
  <c r="C22" i="10"/>
  <c r="G44" i="7"/>
  <c r="G39" i="7"/>
  <c r="G34" i="7"/>
  <c r="G29" i="7"/>
  <c r="G24" i="7"/>
  <c r="I19" i="7"/>
  <c r="G19" i="7"/>
  <c r="I14" i="7"/>
  <c r="G14" i="7"/>
  <c r="I9" i="7"/>
  <c r="G9" i="7"/>
  <c r="D40" i="9"/>
  <c r="B36" i="33"/>
  <c r="C36" i="33"/>
  <c r="G40" i="9"/>
  <c r="D39" i="9"/>
  <c r="B35" i="33"/>
  <c r="C35" i="33"/>
  <c r="G39" i="9"/>
  <c r="D38" i="9"/>
  <c r="B34" i="33"/>
  <c r="C34" i="33"/>
  <c r="G38" i="9"/>
  <c r="D37" i="9"/>
  <c r="B33" i="33"/>
  <c r="C33" i="33"/>
  <c r="G37" i="9"/>
  <c r="D36" i="9"/>
  <c r="B32" i="33"/>
  <c r="C32" i="33"/>
  <c r="G36" i="9"/>
  <c r="D35" i="9"/>
  <c r="B31" i="33"/>
  <c r="C31" i="33"/>
  <c r="G35" i="9"/>
  <c r="D34" i="9"/>
  <c r="B30" i="33"/>
  <c r="C30" i="33"/>
  <c r="G34" i="9"/>
  <c r="D33" i="9"/>
  <c r="B29" i="33"/>
  <c r="C29" i="33"/>
  <c r="G33" i="9"/>
  <c r="D32" i="9"/>
  <c r="B28" i="33"/>
  <c r="C28" i="33"/>
  <c r="G32" i="9"/>
  <c r="D31" i="9"/>
  <c r="G31" i="9"/>
  <c r="D30" i="9"/>
  <c r="G30" i="9"/>
  <c r="D29" i="9"/>
  <c r="G29" i="9"/>
  <c r="D28" i="9"/>
  <c r="G28" i="9"/>
  <c r="D27" i="9"/>
  <c r="G27" i="9"/>
  <c r="D26" i="9"/>
  <c r="G26" i="9"/>
  <c r="D25" i="9"/>
  <c r="G25" i="9"/>
  <c r="D24" i="9"/>
  <c r="G24" i="9"/>
  <c r="D23" i="9"/>
  <c r="G23" i="9"/>
  <c r="D22" i="9"/>
  <c r="G22" i="9"/>
  <c r="D21" i="9"/>
  <c r="G21" i="9"/>
  <c r="D20" i="9"/>
  <c r="G20" i="9"/>
  <c r="D19" i="9"/>
  <c r="G19" i="9"/>
  <c r="D18" i="9"/>
  <c r="G18" i="9"/>
  <c r="D17" i="9"/>
  <c r="G17" i="9"/>
  <c r="D16" i="9"/>
  <c r="G16" i="9"/>
  <c r="D15" i="9"/>
  <c r="B11" i="33"/>
  <c r="C11" i="33"/>
  <c r="G15" i="9"/>
  <c r="D14" i="9"/>
  <c r="G14" i="9"/>
  <c r="D13" i="9"/>
  <c r="G13" i="9"/>
  <c r="D12" i="9"/>
  <c r="G12" i="9"/>
  <c r="D11" i="9"/>
  <c r="F11" i="9"/>
  <c r="G11" i="9"/>
  <c r="G10" i="9"/>
  <c r="F5" i="9"/>
  <c r="G5" i="9"/>
  <c r="H28" i="8"/>
  <c r="F28" i="8"/>
  <c r="H29" i="8"/>
  <c r="F29" i="8"/>
  <c r="D7" i="8"/>
  <c r="H7" i="8"/>
  <c r="F7" i="8"/>
  <c r="D8" i="8"/>
  <c r="H8" i="8"/>
  <c r="F8" i="8"/>
  <c r="D9" i="8"/>
  <c r="H9" i="8"/>
  <c r="F9" i="8"/>
  <c r="D10" i="8"/>
  <c r="H10" i="8"/>
  <c r="F10" i="8"/>
  <c r="D11" i="8"/>
  <c r="H11" i="8"/>
  <c r="F11" i="8"/>
  <c r="D12" i="8"/>
  <c r="H12" i="8"/>
  <c r="F12" i="8"/>
  <c r="D13" i="8"/>
  <c r="H13" i="8"/>
  <c r="F13" i="8"/>
  <c r="D14" i="8"/>
  <c r="H14" i="8"/>
  <c r="F14" i="8"/>
  <c r="D15" i="8"/>
  <c r="H15" i="8"/>
  <c r="F15" i="8"/>
  <c r="D16" i="8"/>
  <c r="H16" i="8"/>
  <c r="F16" i="8"/>
  <c r="D17" i="8"/>
  <c r="H17" i="8"/>
  <c r="F17" i="8"/>
  <c r="H18" i="8"/>
  <c r="F18" i="8"/>
  <c r="H19" i="8"/>
  <c r="F19" i="8"/>
  <c r="H20" i="8"/>
  <c r="F20" i="8"/>
  <c r="H21" i="8"/>
  <c r="F21" i="8"/>
  <c r="H22" i="8"/>
  <c r="F22" i="8"/>
  <c r="H23" i="8"/>
  <c r="F23" i="8"/>
  <c r="H24" i="8"/>
  <c r="F24" i="8"/>
  <c r="H25" i="8"/>
  <c r="F25" i="8"/>
  <c r="H26" i="8"/>
  <c r="F26" i="8"/>
  <c r="D6" i="8"/>
  <c r="H6" i="8"/>
  <c r="F6" i="8"/>
  <c r="D24" i="8"/>
  <c r="C24" i="8"/>
  <c r="C23" i="8"/>
  <c r="D23" i="8"/>
  <c r="C22" i="8"/>
  <c r="D22" i="8"/>
  <c r="C21" i="8"/>
  <c r="D21" i="8"/>
  <c r="C20" i="8"/>
  <c r="D20" i="8"/>
  <c r="C19" i="8"/>
  <c r="D19" i="8"/>
  <c r="D18" i="8"/>
  <c r="C17" i="8"/>
  <c r="G17" i="8"/>
  <c r="C16" i="8"/>
  <c r="G16" i="8"/>
  <c r="C15" i="8"/>
  <c r="G15" i="8"/>
  <c r="C14" i="8"/>
  <c r="G14" i="8"/>
  <c r="C13" i="8"/>
  <c r="G13" i="8"/>
  <c r="C12" i="8"/>
  <c r="G12" i="8"/>
  <c r="C11" i="8"/>
  <c r="G11" i="8"/>
  <c r="C10" i="8"/>
  <c r="G10" i="8"/>
  <c r="C9" i="8"/>
  <c r="G9" i="8"/>
  <c r="C8" i="8"/>
  <c r="G8" i="8"/>
  <c r="C7" i="8"/>
  <c r="G7" i="8"/>
  <c r="C6" i="8"/>
  <c r="G6" i="8"/>
  <c r="AB26" i="4"/>
  <c r="AA26" i="4"/>
  <c r="M26" i="4"/>
  <c r="N26" i="4"/>
  <c r="AB25" i="4"/>
  <c r="AA25" i="4"/>
  <c r="M25" i="4"/>
  <c r="N25" i="4"/>
  <c r="AB24" i="4"/>
  <c r="AA24" i="4"/>
  <c r="M24" i="4"/>
  <c r="N24" i="4"/>
  <c r="AB23" i="4"/>
  <c r="AA23" i="4"/>
  <c r="M23" i="4"/>
  <c r="N23" i="4"/>
  <c r="AB22" i="4"/>
  <c r="AA22" i="4"/>
  <c r="M22" i="4"/>
  <c r="N22" i="4"/>
  <c r="AB21" i="4"/>
  <c r="AA21" i="4"/>
  <c r="M21" i="4"/>
  <c r="N21" i="4"/>
  <c r="AB20" i="4"/>
  <c r="AA20" i="4"/>
  <c r="M20" i="4"/>
  <c r="N20" i="4"/>
  <c r="AB19" i="4"/>
  <c r="AA19" i="4"/>
  <c r="M19" i="4"/>
  <c r="N19" i="4"/>
  <c r="AB18" i="4"/>
  <c r="AA18" i="4"/>
  <c r="M18" i="4"/>
  <c r="N18" i="4"/>
  <c r="AB17" i="4"/>
  <c r="AA17" i="4"/>
  <c r="M17" i="4"/>
  <c r="N17" i="4"/>
  <c r="AB16" i="4"/>
  <c r="AA16" i="4"/>
  <c r="M16" i="4"/>
  <c r="N16" i="4"/>
  <c r="AB15" i="4"/>
  <c r="AA15" i="4"/>
  <c r="M15" i="4"/>
  <c r="N15" i="4"/>
  <c r="AB14" i="4"/>
  <c r="AA14" i="4"/>
  <c r="M14" i="4"/>
  <c r="N14" i="4"/>
  <c r="AB13" i="4"/>
  <c r="AA13" i="4"/>
  <c r="M13" i="4"/>
  <c r="N13" i="4"/>
  <c r="AB12" i="4"/>
  <c r="AA12" i="4"/>
  <c r="M12" i="4"/>
  <c r="N12" i="4"/>
  <c r="AB11" i="4"/>
  <c r="AA11" i="4"/>
  <c r="M11" i="4"/>
  <c r="N11" i="4"/>
  <c r="AB10" i="4"/>
  <c r="AA10" i="4"/>
  <c r="M10" i="4"/>
  <c r="N10" i="4"/>
  <c r="AB9" i="4"/>
  <c r="AA9" i="4"/>
  <c r="M9" i="4"/>
  <c r="N9" i="4"/>
  <c r="AB8" i="4"/>
  <c r="AA8" i="4"/>
  <c r="M8" i="4"/>
  <c r="N8" i="4"/>
  <c r="EV10" i="3"/>
  <c r="EW10" i="3"/>
  <c r="EV11" i="3"/>
  <c r="EW11" i="3"/>
  <c r="EV12" i="3"/>
  <c r="EW12" i="3"/>
  <c r="EV13" i="3"/>
  <c r="EW13" i="3"/>
  <c r="EV14" i="3"/>
  <c r="EW14" i="3"/>
  <c r="EV15" i="3"/>
  <c r="EW15" i="3"/>
  <c r="EV16" i="3"/>
  <c r="EW16" i="3"/>
  <c r="EV17" i="3"/>
  <c r="EW17" i="3"/>
  <c r="EV18" i="3"/>
  <c r="EW18" i="3"/>
  <c r="EV19" i="3"/>
  <c r="EW19" i="3"/>
  <c r="EV20" i="3"/>
  <c r="EW20" i="3"/>
  <c r="EV21" i="3"/>
  <c r="EW21" i="3"/>
  <c r="EV22" i="3"/>
  <c r="EW22" i="3"/>
  <c r="EV23" i="3"/>
  <c r="EW23" i="3"/>
  <c r="EV24" i="3"/>
  <c r="EW24" i="3"/>
  <c r="EV25" i="3"/>
  <c r="EW25" i="3"/>
  <c r="EV26" i="3"/>
  <c r="EW26" i="3"/>
  <c r="EV27" i="3"/>
  <c r="EW27" i="3"/>
  <c r="EV28" i="3"/>
  <c r="EW28" i="3"/>
  <c r="EV29" i="3"/>
  <c r="EW29" i="3"/>
  <c r="EV30" i="3"/>
  <c r="EW30" i="3"/>
  <c r="EV31" i="3"/>
  <c r="EW31" i="3"/>
  <c r="EV32" i="3"/>
  <c r="EW32" i="3"/>
  <c r="EV33" i="3"/>
  <c r="EW33" i="3"/>
  <c r="EV34" i="3"/>
  <c r="EW34" i="3"/>
  <c r="EV35" i="3"/>
  <c r="EW35" i="3"/>
  <c r="EV36" i="3"/>
  <c r="EW36" i="3"/>
  <c r="EV37" i="3"/>
  <c r="EW37" i="3"/>
  <c r="EV38" i="3"/>
  <c r="EW38" i="3"/>
  <c r="EV39" i="3"/>
  <c r="EW39" i="3"/>
  <c r="EV40" i="3"/>
  <c r="EW40" i="3"/>
  <c r="EV41" i="3"/>
  <c r="EW41" i="3"/>
  <c r="EV42" i="3"/>
  <c r="EW42" i="3"/>
  <c r="EY42" i="3"/>
  <c r="EZ42" i="3"/>
  <c r="FK42" i="3"/>
  <c r="FL42" i="3"/>
  <c r="EV43" i="3"/>
  <c r="EW43" i="3"/>
  <c r="EY43" i="3"/>
  <c r="EZ43" i="3"/>
  <c r="FK43" i="3"/>
  <c r="FL43" i="3"/>
  <c r="EV45" i="3"/>
  <c r="EW45" i="3"/>
  <c r="EY45" i="3"/>
  <c r="EZ45" i="3"/>
  <c r="FK45" i="3"/>
  <c r="FL45" i="3"/>
  <c r="EV46" i="3"/>
  <c r="EW46" i="3"/>
  <c r="EY46" i="3"/>
  <c r="EZ46" i="3"/>
  <c r="FK46" i="3"/>
  <c r="FL46" i="3"/>
  <c r="EV47" i="3"/>
  <c r="EW47" i="3"/>
  <c r="EY47" i="3"/>
  <c r="EZ47" i="3"/>
  <c r="FK47" i="3"/>
  <c r="FL47" i="3"/>
  <c r="EV48" i="3"/>
  <c r="EW48" i="3"/>
  <c r="EY48" i="3"/>
  <c r="EZ48" i="3"/>
  <c r="FK48" i="3"/>
  <c r="FL48" i="3"/>
  <c r="EV49" i="3"/>
  <c r="EW49" i="3"/>
  <c r="EY49" i="3"/>
  <c r="EZ49" i="3"/>
  <c r="FK49" i="3"/>
  <c r="FL49" i="3"/>
  <c r="EV50" i="3"/>
  <c r="EW50" i="3"/>
  <c r="EY50" i="3"/>
  <c r="EZ50" i="3"/>
  <c r="FK50" i="3"/>
  <c r="FL50" i="3"/>
  <c r="EV51" i="3"/>
  <c r="EW51" i="3"/>
  <c r="EY51" i="3"/>
  <c r="EZ51" i="3"/>
  <c r="FK51" i="3"/>
  <c r="FL51" i="3"/>
  <c r="EV52" i="3"/>
  <c r="EW52" i="3"/>
  <c r="EY52" i="3"/>
  <c r="EZ52" i="3"/>
  <c r="FK52" i="3"/>
  <c r="FL52" i="3"/>
  <c r="EV53" i="3"/>
  <c r="EW53" i="3"/>
  <c r="EY53" i="3"/>
  <c r="EZ53" i="3"/>
  <c r="FK53" i="3"/>
  <c r="FL53" i="3"/>
  <c r="EV54" i="3"/>
  <c r="EW54" i="3"/>
  <c r="EY54" i="3"/>
  <c r="EZ54" i="3"/>
  <c r="FK54" i="3"/>
  <c r="FL54" i="3"/>
  <c r="EV55" i="3"/>
  <c r="EW55" i="3"/>
  <c r="EY55" i="3"/>
  <c r="EZ55" i="3"/>
  <c r="FK55" i="3"/>
  <c r="FL55" i="3"/>
  <c r="EV56" i="3"/>
  <c r="EW56" i="3"/>
  <c r="EY56" i="3"/>
  <c r="EZ56" i="3"/>
  <c r="FK56" i="3"/>
  <c r="FL56" i="3"/>
  <c r="EV57" i="3"/>
  <c r="EW57" i="3"/>
  <c r="EY57" i="3"/>
  <c r="EZ57" i="3"/>
  <c r="FK57" i="3"/>
  <c r="FL57" i="3"/>
  <c r="EV58" i="3"/>
  <c r="EW58" i="3"/>
  <c r="EY58" i="3"/>
  <c r="EZ58" i="3"/>
  <c r="FK58" i="3"/>
  <c r="FL58" i="3"/>
  <c r="EV59" i="3"/>
  <c r="EW59" i="3"/>
  <c r="EY59" i="3"/>
  <c r="EZ59" i="3"/>
  <c r="FK59" i="3"/>
  <c r="FL59" i="3"/>
  <c r="EV60" i="3"/>
  <c r="EW60" i="3"/>
  <c r="EY60" i="3"/>
  <c r="EZ60" i="3"/>
  <c r="FK60" i="3"/>
  <c r="FL60" i="3"/>
  <c r="EV61" i="3"/>
  <c r="EW61" i="3"/>
  <c r="EY61" i="3"/>
  <c r="EZ61" i="3"/>
  <c r="FK61" i="3"/>
  <c r="FL61" i="3"/>
  <c r="EV62" i="3"/>
  <c r="EW62" i="3"/>
  <c r="EY62" i="3"/>
  <c r="EZ62" i="3"/>
  <c r="FK62" i="3"/>
  <c r="FL62" i="3"/>
  <c r="EV63" i="3"/>
  <c r="EW63" i="3"/>
  <c r="EY63" i="3"/>
  <c r="EZ63" i="3"/>
  <c r="FK63" i="3"/>
  <c r="FL63" i="3"/>
  <c r="EV64" i="3"/>
  <c r="EW64" i="3"/>
  <c r="EY64" i="3"/>
  <c r="EZ64" i="3"/>
  <c r="FK64" i="3"/>
  <c r="FL64" i="3"/>
  <c r="EV65" i="3"/>
  <c r="EW65" i="3"/>
  <c r="EY65" i="3"/>
  <c r="EZ65" i="3"/>
  <c r="FK65" i="3"/>
  <c r="FL65" i="3"/>
  <c r="FL44" i="3"/>
  <c r="FK44" i="3"/>
  <c r="EZ44" i="3"/>
  <c r="EY44" i="3"/>
  <c r="EW44" i="3"/>
  <c r="EV44" i="3"/>
  <c r="X10" i="3"/>
  <c r="CJ10" i="3"/>
  <c r="Y10" i="3"/>
  <c r="X11" i="3"/>
  <c r="CJ11" i="3"/>
  <c r="Y11" i="3"/>
  <c r="X12" i="3"/>
  <c r="CJ12" i="3"/>
  <c r="Y12" i="3"/>
  <c r="X13" i="3"/>
  <c r="CJ13" i="3"/>
  <c r="Y13" i="3"/>
  <c r="X14" i="3"/>
  <c r="CJ14" i="3"/>
  <c r="Y14" i="3"/>
  <c r="X15" i="3"/>
  <c r="CJ15" i="3"/>
  <c r="Y15" i="3"/>
  <c r="X16" i="3"/>
  <c r="CJ16" i="3"/>
  <c r="Y16" i="3"/>
  <c r="X17" i="3"/>
  <c r="CJ17" i="3"/>
  <c r="Y17" i="3"/>
  <c r="X18" i="3"/>
  <c r="CJ18" i="3"/>
  <c r="Y18" i="3"/>
  <c r="X19" i="3"/>
  <c r="CJ19" i="3"/>
  <c r="Y19" i="3"/>
  <c r="X20" i="3"/>
  <c r="CJ20" i="3"/>
  <c r="Y20" i="3"/>
  <c r="X21" i="3"/>
  <c r="CJ21" i="3"/>
  <c r="Y21" i="3"/>
  <c r="X22" i="3"/>
  <c r="CJ22" i="3"/>
  <c r="Y22" i="3"/>
  <c r="X23" i="3"/>
  <c r="CJ23" i="3"/>
  <c r="Y23" i="3"/>
  <c r="X24" i="3"/>
  <c r="CJ24" i="3"/>
  <c r="Y24" i="3"/>
  <c r="X25" i="3"/>
  <c r="CJ25" i="3"/>
  <c r="Y25" i="3"/>
  <c r="X26" i="3"/>
  <c r="CJ26" i="3"/>
  <c r="Y26" i="3"/>
  <c r="X27" i="3"/>
  <c r="CJ27" i="3"/>
  <c r="Y27" i="3"/>
  <c r="X28" i="3"/>
  <c r="CJ28" i="3"/>
  <c r="Y28" i="3"/>
  <c r="CJ29" i="3"/>
  <c r="Y29" i="3"/>
  <c r="X29" i="3"/>
  <c r="CJ30" i="3"/>
  <c r="Y30" i="3"/>
  <c r="X30" i="3"/>
  <c r="CJ31" i="3"/>
  <c r="Y31" i="3"/>
  <c r="CJ32" i="3"/>
  <c r="Y32" i="3"/>
  <c r="CJ33" i="3"/>
  <c r="Y33" i="3"/>
  <c r="X33" i="3"/>
  <c r="CJ34" i="3"/>
  <c r="Y34" i="3"/>
  <c r="CJ35" i="3"/>
  <c r="Y35" i="3"/>
  <c r="CJ36" i="3"/>
  <c r="Y36" i="3"/>
  <c r="CJ37" i="3"/>
  <c r="Y37" i="3"/>
  <c r="X37" i="3"/>
  <c r="CJ38" i="3"/>
  <c r="Y38" i="3"/>
  <c r="X38" i="3"/>
  <c r="CJ39" i="3"/>
  <c r="Y39" i="3"/>
  <c r="CJ40" i="3"/>
  <c r="Y40" i="3"/>
  <c r="CJ41" i="3"/>
  <c r="Y41" i="3"/>
  <c r="CJ42" i="3"/>
  <c r="Y42" i="3"/>
  <c r="CJ43" i="3"/>
  <c r="Y43" i="3"/>
  <c r="CJ44" i="3"/>
  <c r="Y44" i="3"/>
  <c r="CJ45" i="3"/>
  <c r="Y45" i="3"/>
  <c r="X45" i="3"/>
  <c r="CJ46" i="3"/>
  <c r="Y46" i="3"/>
  <c r="CJ47" i="3"/>
  <c r="Y47" i="3"/>
  <c r="CJ48" i="3"/>
  <c r="Y48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BL45" i="3"/>
  <c r="BL46" i="3"/>
  <c r="BL47" i="3"/>
  <c r="BL48" i="3"/>
  <c r="AF29" i="3"/>
  <c r="AK29" i="3"/>
  <c r="C29" i="3"/>
  <c r="D29" i="3"/>
  <c r="J29" i="3"/>
  <c r="R29" i="3"/>
  <c r="I29" i="3"/>
  <c r="Q29" i="3"/>
  <c r="T29" i="3"/>
  <c r="U29" i="3"/>
  <c r="AL29" i="3"/>
  <c r="AM29" i="3"/>
  <c r="AF30" i="3"/>
  <c r="AK30" i="3"/>
  <c r="C30" i="3"/>
  <c r="D30" i="3"/>
  <c r="J30" i="3"/>
  <c r="R30" i="3"/>
  <c r="I30" i="3"/>
  <c r="Q30" i="3"/>
  <c r="D9" i="7"/>
  <c r="T30" i="3"/>
  <c r="U30" i="3"/>
  <c r="AL30" i="3"/>
  <c r="AM30" i="3"/>
  <c r="AF31" i="3"/>
  <c r="AK31" i="3"/>
  <c r="C31" i="3"/>
  <c r="D31" i="3"/>
  <c r="J31" i="3"/>
  <c r="R31" i="3"/>
  <c r="I31" i="3"/>
  <c r="Q31" i="3"/>
  <c r="T31" i="3"/>
  <c r="U31" i="3"/>
  <c r="X31" i="3"/>
  <c r="AL31" i="3"/>
  <c r="AM31" i="3"/>
  <c r="AF32" i="3"/>
  <c r="AK32" i="3"/>
  <c r="C32" i="3"/>
  <c r="D32" i="3"/>
  <c r="J32" i="3"/>
  <c r="R32" i="3"/>
  <c r="I32" i="3"/>
  <c r="Q32" i="3"/>
  <c r="T32" i="3"/>
  <c r="U32" i="3"/>
  <c r="X32" i="3"/>
  <c r="AL32" i="3"/>
  <c r="AM32" i="3"/>
  <c r="AF33" i="3"/>
  <c r="AK33" i="3"/>
  <c r="C33" i="3"/>
  <c r="D33" i="3"/>
  <c r="J33" i="3"/>
  <c r="R33" i="3"/>
  <c r="I33" i="3"/>
  <c r="Q33" i="3"/>
  <c r="T33" i="3"/>
  <c r="U33" i="3"/>
  <c r="AL33" i="3"/>
  <c r="AM33" i="3"/>
  <c r="AF34" i="3"/>
  <c r="AK34" i="3"/>
  <c r="C34" i="3"/>
  <c r="D34" i="3"/>
  <c r="J34" i="3"/>
  <c r="R34" i="3"/>
  <c r="I34" i="3"/>
  <c r="Q34" i="3"/>
  <c r="D13" i="7"/>
  <c r="T34" i="3"/>
  <c r="U34" i="3"/>
  <c r="X34" i="3"/>
  <c r="AL34" i="3"/>
  <c r="AM34" i="3"/>
  <c r="AF35" i="3"/>
  <c r="AK35" i="3"/>
  <c r="C35" i="3"/>
  <c r="D35" i="3"/>
  <c r="J35" i="3"/>
  <c r="R35" i="3"/>
  <c r="I35" i="3"/>
  <c r="Q35" i="3"/>
  <c r="T35" i="3"/>
  <c r="U35" i="3"/>
  <c r="X35" i="3"/>
  <c r="AL35" i="3"/>
  <c r="AM35" i="3"/>
  <c r="AF36" i="3"/>
  <c r="AK36" i="3"/>
  <c r="C36" i="3"/>
  <c r="D36" i="3"/>
  <c r="J36" i="3"/>
  <c r="R36" i="3"/>
  <c r="I36" i="3"/>
  <c r="Q36" i="3"/>
  <c r="T36" i="3"/>
  <c r="U36" i="3"/>
  <c r="X36" i="3"/>
  <c r="AL36" i="3"/>
  <c r="AM36" i="3"/>
  <c r="AF37" i="3"/>
  <c r="AK37" i="3"/>
  <c r="C37" i="3"/>
  <c r="D37" i="3"/>
  <c r="J37" i="3"/>
  <c r="R37" i="3"/>
  <c r="I37" i="3"/>
  <c r="Q37" i="3"/>
  <c r="T37" i="3"/>
  <c r="U37" i="3"/>
  <c r="AL37" i="3"/>
  <c r="AM37" i="3"/>
  <c r="AF38" i="3"/>
  <c r="AK38" i="3"/>
  <c r="C38" i="3"/>
  <c r="D38" i="3"/>
  <c r="J38" i="3"/>
  <c r="R38" i="3"/>
  <c r="I38" i="3"/>
  <c r="Q38" i="3"/>
  <c r="D17" i="7"/>
  <c r="T38" i="3"/>
  <c r="U38" i="3"/>
  <c r="AL38" i="3"/>
  <c r="AM38" i="3"/>
  <c r="AF39" i="3"/>
  <c r="AK39" i="3"/>
  <c r="C39" i="3"/>
  <c r="D39" i="3"/>
  <c r="J39" i="3"/>
  <c r="R39" i="3"/>
  <c r="I39" i="3"/>
  <c r="Q39" i="3"/>
  <c r="T39" i="3"/>
  <c r="U39" i="3"/>
  <c r="X39" i="3"/>
  <c r="AL39" i="3"/>
  <c r="AM39" i="3"/>
  <c r="AF40" i="3"/>
  <c r="AK40" i="3"/>
  <c r="C40" i="3"/>
  <c r="D40" i="3"/>
  <c r="J40" i="3"/>
  <c r="R40" i="3"/>
  <c r="I40" i="3"/>
  <c r="Q40" i="3"/>
  <c r="T40" i="3"/>
  <c r="U40" i="3"/>
  <c r="X40" i="3"/>
  <c r="AL40" i="3"/>
  <c r="AM40" i="3"/>
  <c r="AF41" i="3"/>
  <c r="AK41" i="3"/>
  <c r="C41" i="3"/>
  <c r="D41" i="3"/>
  <c r="J41" i="3"/>
  <c r="R41" i="3"/>
  <c r="I41" i="3"/>
  <c r="Q41" i="3"/>
  <c r="T41" i="3"/>
  <c r="U41" i="3"/>
  <c r="X41" i="3"/>
  <c r="AL41" i="3"/>
  <c r="AM41" i="3"/>
  <c r="AF42" i="3"/>
  <c r="AK42" i="3"/>
  <c r="C42" i="3"/>
  <c r="D42" i="3"/>
  <c r="J42" i="3"/>
  <c r="R42" i="3"/>
  <c r="I42" i="3"/>
  <c r="T42" i="3"/>
  <c r="U42" i="3"/>
  <c r="X42" i="3"/>
  <c r="AL42" i="3"/>
  <c r="AM42" i="3"/>
  <c r="AF43" i="3"/>
  <c r="AK43" i="3"/>
  <c r="C43" i="3"/>
  <c r="D43" i="3"/>
  <c r="J43" i="3"/>
  <c r="R43" i="3"/>
  <c r="I43" i="3"/>
  <c r="T43" i="3"/>
  <c r="U43" i="3"/>
  <c r="X43" i="3"/>
  <c r="AL43" i="3"/>
  <c r="AM43" i="3"/>
  <c r="AF44" i="3"/>
  <c r="AK44" i="3"/>
  <c r="C44" i="3"/>
  <c r="D44" i="3"/>
  <c r="J44" i="3"/>
  <c r="R44" i="3"/>
  <c r="I44" i="3"/>
  <c r="T44" i="3"/>
  <c r="U44" i="3"/>
  <c r="X44" i="3"/>
  <c r="AL44" i="3"/>
  <c r="AM44" i="3"/>
  <c r="AF45" i="3"/>
  <c r="AK45" i="3"/>
  <c r="C45" i="3"/>
  <c r="D45" i="3"/>
  <c r="J45" i="3"/>
  <c r="R45" i="3"/>
  <c r="I45" i="3"/>
  <c r="T45" i="3"/>
  <c r="U45" i="3"/>
  <c r="AL45" i="3"/>
  <c r="AM45" i="3"/>
  <c r="AF46" i="3"/>
  <c r="AK46" i="3"/>
  <c r="C46" i="3"/>
  <c r="D46" i="3"/>
  <c r="J46" i="3"/>
  <c r="R46" i="3"/>
  <c r="I46" i="3"/>
  <c r="T46" i="3"/>
  <c r="U46" i="3"/>
  <c r="X46" i="3"/>
  <c r="AL46" i="3"/>
  <c r="AM46" i="3"/>
  <c r="AF47" i="3"/>
  <c r="AK47" i="3"/>
  <c r="C47" i="3"/>
  <c r="D47" i="3"/>
  <c r="J47" i="3"/>
  <c r="R47" i="3"/>
  <c r="I47" i="3"/>
  <c r="T47" i="3"/>
  <c r="U47" i="3"/>
  <c r="X47" i="3"/>
  <c r="AL47" i="3"/>
  <c r="AM47" i="3"/>
  <c r="AF48" i="3"/>
  <c r="AK48" i="3"/>
  <c r="C48" i="3"/>
  <c r="D48" i="3"/>
  <c r="J48" i="3"/>
  <c r="R48" i="3"/>
  <c r="I48" i="3"/>
  <c r="T48" i="3"/>
  <c r="U48" i="3"/>
  <c r="X48" i="3"/>
  <c r="AL48" i="3"/>
  <c r="AM48" i="3"/>
  <c r="C49" i="3"/>
  <c r="D49" i="3"/>
  <c r="J49" i="3"/>
  <c r="R49" i="3"/>
  <c r="I49" i="3"/>
  <c r="T49" i="3"/>
  <c r="U49" i="3"/>
  <c r="X49" i="3"/>
  <c r="CJ49" i="3"/>
  <c r="Y49" i="3"/>
  <c r="AF49" i="3"/>
  <c r="AK49" i="3"/>
  <c r="AL49" i="3"/>
  <c r="AM49" i="3"/>
  <c r="BL49" i="3"/>
  <c r="C50" i="3"/>
  <c r="D50" i="3"/>
  <c r="J50" i="3"/>
  <c r="R50" i="3"/>
  <c r="I50" i="3"/>
  <c r="T50" i="3"/>
  <c r="U50" i="3"/>
  <c r="X50" i="3"/>
  <c r="AF50" i="3"/>
  <c r="AK50" i="3"/>
  <c r="AL50" i="3"/>
  <c r="AM50" i="3"/>
  <c r="BL50" i="3"/>
  <c r="CJ50" i="3"/>
  <c r="Y50" i="3"/>
  <c r="C51" i="3"/>
  <c r="D51" i="3"/>
  <c r="I51" i="3"/>
  <c r="T51" i="3"/>
  <c r="U51" i="3"/>
  <c r="X51" i="3"/>
  <c r="AF51" i="3"/>
  <c r="AK51" i="3"/>
  <c r="AL51" i="3"/>
  <c r="AM51" i="3"/>
  <c r="BL51" i="3"/>
  <c r="CJ51" i="3"/>
  <c r="Y51" i="3"/>
  <c r="C52" i="3"/>
  <c r="D52" i="3"/>
  <c r="I52" i="3"/>
  <c r="T52" i="3"/>
  <c r="U52" i="3"/>
  <c r="X52" i="3"/>
  <c r="AF52" i="3"/>
  <c r="AK52" i="3"/>
  <c r="AL52" i="3"/>
  <c r="AM52" i="3"/>
  <c r="BL52" i="3"/>
  <c r="CJ52" i="3"/>
  <c r="Y52" i="3"/>
  <c r="C53" i="3"/>
  <c r="D53" i="3"/>
  <c r="I53" i="3"/>
  <c r="T53" i="3"/>
  <c r="U53" i="3"/>
  <c r="X53" i="3"/>
  <c r="AF53" i="3"/>
  <c r="AK53" i="3"/>
  <c r="AL53" i="3"/>
  <c r="AM53" i="3"/>
  <c r="BL53" i="3"/>
  <c r="CJ53" i="3"/>
  <c r="Y53" i="3"/>
  <c r="C54" i="3"/>
  <c r="D54" i="3"/>
  <c r="I54" i="3"/>
  <c r="T54" i="3"/>
  <c r="U54" i="3"/>
  <c r="X54" i="3"/>
  <c r="AF54" i="3"/>
  <c r="AK54" i="3"/>
  <c r="AL54" i="3"/>
  <c r="AM54" i="3"/>
  <c r="BL54" i="3"/>
  <c r="CJ54" i="3"/>
  <c r="Y54" i="3"/>
  <c r="C55" i="3"/>
  <c r="D55" i="3"/>
  <c r="I55" i="3"/>
  <c r="T55" i="3"/>
  <c r="U55" i="3"/>
  <c r="X55" i="3"/>
  <c r="AF55" i="3"/>
  <c r="AK55" i="3"/>
  <c r="AL55" i="3"/>
  <c r="AM55" i="3"/>
  <c r="BL55" i="3"/>
  <c r="CJ55" i="3"/>
  <c r="Y55" i="3"/>
  <c r="C56" i="3"/>
  <c r="D56" i="3"/>
  <c r="I56" i="3"/>
  <c r="T56" i="3"/>
  <c r="U56" i="3"/>
  <c r="X56" i="3"/>
  <c r="AF56" i="3"/>
  <c r="AK56" i="3"/>
  <c r="AL56" i="3"/>
  <c r="AM56" i="3"/>
  <c r="BL56" i="3"/>
  <c r="CJ56" i="3"/>
  <c r="Y56" i="3"/>
  <c r="C57" i="3"/>
  <c r="D57" i="3"/>
  <c r="I57" i="3"/>
  <c r="T57" i="3"/>
  <c r="U57" i="3"/>
  <c r="X57" i="3"/>
  <c r="AF57" i="3"/>
  <c r="AK57" i="3"/>
  <c r="AL57" i="3"/>
  <c r="AM57" i="3"/>
  <c r="BL57" i="3"/>
  <c r="CJ57" i="3"/>
  <c r="Y57" i="3"/>
  <c r="C58" i="3"/>
  <c r="D58" i="3"/>
  <c r="I58" i="3"/>
  <c r="T58" i="3"/>
  <c r="U58" i="3"/>
  <c r="X58" i="3"/>
  <c r="AF58" i="3"/>
  <c r="AK58" i="3"/>
  <c r="AL58" i="3"/>
  <c r="AM58" i="3"/>
  <c r="BL58" i="3"/>
  <c r="CJ58" i="3"/>
  <c r="Y58" i="3"/>
  <c r="C59" i="3"/>
  <c r="D59" i="3"/>
  <c r="I59" i="3"/>
  <c r="T59" i="3"/>
  <c r="U59" i="3"/>
  <c r="X59" i="3"/>
  <c r="AF59" i="3"/>
  <c r="AK59" i="3"/>
  <c r="AL59" i="3"/>
  <c r="AM59" i="3"/>
  <c r="BL59" i="3"/>
  <c r="CJ59" i="3"/>
  <c r="Y59" i="3"/>
  <c r="C60" i="3"/>
  <c r="D60" i="3"/>
  <c r="I60" i="3"/>
  <c r="T60" i="3"/>
  <c r="U60" i="3"/>
  <c r="X60" i="3"/>
  <c r="AF60" i="3"/>
  <c r="AK60" i="3"/>
  <c r="AL60" i="3"/>
  <c r="AM60" i="3"/>
  <c r="BL60" i="3"/>
  <c r="CJ60" i="3"/>
  <c r="Y60" i="3"/>
  <c r="C61" i="3"/>
  <c r="D61" i="3"/>
  <c r="I61" i="3"/>
  <c r="T61" i="3"/>
  <c r="U61" i="3"/>
  <c r="X61" i="3"/>
  <c r="AF61" i="3"/>
  <c r="AK61" i="3"/>
  <c r="AL61" i="3"/>
  <c r="AM61" i="3"/>
  <c r="BL61" i="3"/>
  <c r="CJ61" i="3"/>
  <c r="Y61" i="3"/>
  <c r="C62" i="3"/>
  <c r="D62" i="3"/>
  <c r="I62" i="3"/>
  <c r="T62" i="3"/>
  <c r="U62" i="3"/>
  <c r="X62" i="3"/>
  <c r="AF62" i="3"/>
  <c r="AK62" i="3"/>
  <c r="AL62" i="3"/>
  <c r="AM62" i="3"/>
  <c r="BL62" i="3"/>
  <c r="CJ62" i="3"/>
  <c r="Y62" i="3"/>
  <c r="C63" i="3"/>
  <c r="D63" i="3"/>
  <c r="I63" i="3"/>
  <c r="T63" i="3"/>
  <c r="U63" i="3"/>
  <c r="X63" i="3"/>
  <c r="CJ63" i="3"/>
  <c r="Y63" i="3"/>
  <c r="AF63" i="3"/>
  <c r="AK63" i="3"/>
  <c r="AL63" i="3"/>
  <c r="AM63" i="3"/>
  <c r="BL63" i="3"/>
  <c r="C64" i="3"/>
  <c r="D64" i="3"/>
  <c r="I64" i="3"/>
  <c r="T64" i="3"/>
  <c r="U64" i="3"/>
  <c r="X64" i="3"/>
  <c r="AF64" i="3"/>
  <c r="AK64" i="3"/>
  <c r="AL64" i="3"/>
  <c r="AM64" i="3"/>
  <c r="BL64" i="3"/>
  <c r="CJ64" i="3"/>
  <c r="Y64" i="3"/>
  <c r="C65" i="3"/>
  <c r="D65" i="3"/>
  <c r="T65" i="3"/>
  <c r="U65" i="3"/>
  <c r="X65" i="3"/>
  <c r="AF65" i="3"/>
  <c r="AK65" i="3"/>
  <c r="AL65" i="3"/>
  <c r="AM65" i="3"/>
  <c r="BL65" i="3"/>
  <c r="CJ65" i="3"/>
  <c r="Y65" i="3"/>
  <c r="F16" i="9"/>
  <c r="B12" i="33"/>
  <c r="F30" i="9"/>
  <c r="B26" i="33"/>
  <c r="C26" i="33"/>
  <c r="F12" i="9"/>
  <c r="B8" i="33"/>
  <c r="C8" i="33"/>
  <c r="F14" i="9"/>
  <c r="B10" i="33"/>
  <c r="F18" i="9"/>
  <c r="B14" i="33"/>
  <c r="F20" i="9"/>
  <c r="B16" i="33"/>
  <c r="C16" i="33"/>
  <c r="F22" i="9"/>
  <c r="B18" i="33"/>
  <c r="F24" i="9"/>
  <c r="B20" i="33"/>
  <c r="C20" i="33"/>
  <c r="F26" i="9"/>
  <c r="B22" i="33"/>
  <c r="C22" i="33"/>
  <c r="F28" i="9"/>
  <c r="B24" i="33"/>
  <c r="C24" i="33"/>
  <c r="F17" i="9"/>
  <c r="B13" i="33"/>
  <c r="F19" i="9"/>
  <c r="B15" i="33"/>
  <c r="F21" i="9"/>
  <c r="B17" i="33"/>
  <c r="F23" i="9"/>
  <c r="B19" i="33"/>
  <c r="C19" i="33"/>
  <c r="F25" i="9"/>
  <c r="B21" i="33"/>
  <c r="C21" i="33"/>
  <c r="F27" i="9"/>
  <c r="B23" i="33"/>
  <c r="C23" i="33"/>
  <c r="F29" i="9"/>
  <c r="B25" i="33"/>
  <c r="C25" i="33"/>
  <c r="F31" i="9"/>
  <c r="B27" i="33"/>
  <c r="C27" i="33"/>
  <c r="F6" i="9"/>
  <c r="D6" i="9"/>
  <c r="F7" i="9"/>
  <c r="F13" i="9"/>
  <c r="B9" i="33"/>
  <c r="GN32" i="3"/>
  <c r="GN33" i="3"/>
  <c r="GN34" i="3"/>
  <c r="GN35" i="3"/>
  <c r="GN36" i="3"/>
  <c r="GN37" i="3"/>
  <c r="GN38" i="3"/>
  <c r="GN39" i="3"/>
  <c r="GN40" i="3"/>
  <c r="GN41" i="3"/>
  <c r="GN42" i="3"/>
  <c r="GN43" i="3"/>
  <c r="GN44" i="3"/>
  <c r="GN45" i="3"/>
  <c r="AR10" i="17"/>
  <c r="F9" i="10"/>
  <c r="Q47" i="3"/>
  <c r="D26" i="7"/>
  <c r="AC14" i="4"/>
  <c r="Q65" i="3"/>
  <c r="D44" i="7"/>
  <c r="Q63" i="3"/>
  <c r="D42" i="7"/>
  <c r="Q61" i="3"/>
  <c r="D40" i="7"/>
  <c r="Q59" i="3"/>
  <c r="D38" i="7"/>
  <c r="Q57" i="3"/>
  <c r="D36" i="7"/>
  <c r="Q55" i="3"/>
  <c r="D34" i="7"/>
  <c r="Q53" i="3"/>
  <c r="D32" i="7"/>
  <c r="Q51" i="3"/>
  <c r="D30" i="7"/>
  <c r="Q49" i="3"/>
  <c r="D28" i="7"/>
  <c r="Q48" i="3"/>
  <c r="D27" i="7"/>
  <c r="Z47" i="3"/>
  <c r="Q43" i="3"/>
  <c r="D22" i="7"/>
  <c r="Z55" i="3"/>
  <c r="Z41" i="3"/>
  <c r="F32" i="9"/>
  <c r="E7" i="25"/>
  <c r="F34" i="9"/>
  <c r="E9" i="25"/>
  <c r="F36" i="9"/>
  <c r="E11" i="25"/>
  <c r="F38" i="9"/>
  <c r="E13" i="25"/>
  <c r="F40" i="9"/>
  <c r="E15" i="25"/>
  <c r="F33" i="9"/>
  <c r="E8" i="25"/>
  <c r="F35" i="9"/>
  <c r="E10" i="25"/>
  <c r="F37" i="9"/>
  <c r="E12" i="25"/>
  <c r="F39" i="9"/>
  <c r="E14" i="25"/>
  <c r="Q64" i="3"/>
  <c r="Q62" i="3"/>
  <c r="D41" i="7"/>
  <c r="Q60" i="3"/>
  <c r="D39" i="7"/>
  <c r="Q58" i="3"/>
  <c r="D37" i="7"/>
  <c r="Q56" i="3"/>
  <c r="D35" i="7"/>
  <c r="Q54" i="3"/>
  <c r="D33" i="7"/>
  <c r="Q52" i="3"/>
  <c r="D31" i="7"/>
  <c r="Q50" i="3"/>
  <c r="D29" i="7"/>
  <c r="K29" i="7"/>
  <c r="Q46" i="3"/>
  <c r="D25" i="7"/>
  <c r="Q45" i="3"/>
  <c r="D24" i="7"/>
  <c r="Q42" i="3"/>
  <c r="D21" i="7"/>
  <c r="Q44" i="3"/>
  <c r="D23" i="7"/>
  <c r="EX43" i="3"/>
  <c r="EX38" i="3"/>
  <c r="EX30" i="3"/>
  <c r="EX24" i="3"/>
  <c r="EX22" i="3"/>
  <c r="EX20" i="3"/>
  <c r="EX18" i="3"/>
  <c r="AO10" i="17"/>
  <c r="AN10" i="17"/>
  <c r="AB10" i="17"/>
  <c r="AA10" i="17"/>
  <c r="AP10" i="17"/>
  <c r="G22" i="25"/>
  <c r="Z10" i="17"/>
  <c r="G19" i="25"/>
  <c r="AD10" i="17"/>
  <c r="Y10" i="17"/>
  <c r="E58" i="3"/>
  <c r="AG56" i="3"/>
  <c r="Z44" i="3"/>
  <c r="G25" i="25"/>
  <c r="AM10" i="17"/>
  <c r="E42" i="3"/>
  <c r="H42" i="3"/>
  <c r="L42" i="3"/>
  <c r="AC10" i="17"/>
  <c r="AG51" i="3"/>
  <c r="AG47" i="3"/>
  <c r="AG46" i="3"/>
  <c r="EX13" i="3"/>
  <c r="G23" i="25"/>
  <c r="AQ10" i="17"/>
  <c r="E46" i="3"/>
  <c r="H46" i="3"/>
  <c r="L46" i="3"/>
  <c r="AG34" i="3"/>
  <c r="AG63" i="3"/>
  <c r="AG58" i="3"/>
  <c r="AG53" i="3"/>
  <c r="Z31" i="3"/>
  <c r="Z32" i="3"/>
  <c r="G20" i="25"/>
  <c r="Z28" i="3"/>
  <c r="G24" i="25"/>
  <c r="G28" i="25"/>
  <c r="G21" i="25"/>
  <c r="G29" i="25"/>
  <c r="G26" i="25"/>
  <c r="G27" i="25"/>
  <c r="O26" i="4"/>
  <c r="AC18" i="4"/>
  <c r="AC22" i="4"/>
  <c r="O9" i="4"/>
  <c r="O11" i="4"/>
  <c r="O13" i="4"/>
  <c r="O15" i="4"/>
  <c r="O18" i="4"/>
  <c r="O19" i="4"/>
  <c r="O20" i="4"/>
  <c r="O22" i="4"/>
  <c r="O23" i="4"/>
  <c r="O24" i="4"/>
  <c r="E52" i="3"/>
  <c r="AG40" i="3"/>
  <c r="E39" i="3"/>
  <c r="H39" i="3"/>
  <c r="L39" i="3"/>
  <c r="E36" i="3"/>
  <c r="K36" i="3"/>
  <c r="O36" i="3"/>
  <c r="M36" i="3"/>
  <c r="G36" i="3"/>
  <c r="E54" i="3"/>
  <c r="Z36" i="3"/>
  <c r="E60" i="3"/>
  <c r="Z14" i="3"/>
  <c r="EX62" i="3"/>
  <c r="EX58" i="3"/>
  <c r="EX57" i="3"/>
  <c r="EX54" i="3"/>
  <c r="EX50" i="3"/>
  <c r="EX48" i="3"/>
  <c r="EX47" i="3"/>
  <c r="EX25" i="3"/>
  <c r="EX21" i="3"/>
  <c r="EX17" i="3"/>
  <c r="AG57" i="3"/>
  <c r="E50" i="3"/>
  <c r="AG43" i="3"/>
  <c r="E33" i="3"/>
  <c r="K33" i="3"/>
  <c r="O33" i="3"/>
  <c r="M33" i="3"/>
  <c r="G33" i="3"/>
  <c r="E30" i="3"/>
  <c r="K30" i="3"/>
  <c r="O30" i="3"/>
  <c r="AG55" i="3"/>
  <c r="AG44" i="3"/>
  <c r="AG39" i="3"/>
  <c r="AG37" i="3"/>
  <c r="E34" i="3"/>
  <c r="K34" i="3"/>
  <c r="O34" i="3"/>
  <c r="M34" i="3"/>
  <c r="G34" i="3"/>
  <c r="Z23" i="3"/>
  <c r="Z13" i="3"/>
  <c r="E45" i="3"/>
  <c r="H45" i="3"/>
  <c r="L45" i="3"/>
  <c r="AG31" i="3"/>
  <c r="AG29" i="3"/>
  <c r="Z12" i="3"/>
  <c r="K58" i="3"/>
  <c r="O58" i="3"/>
  <c r="Z58" i="3"/>
  <c r="E56" i="3"/>
  <c r="E55" i="3"/>
  <c r="EX41" i="3"/>
  <c r="EX33" i="3"/>
  <c r="Z63" i="3"/>
  <c r="Z61" i="3"/>
  <c r="AG50" i="3"/>
  <c r="AG48" i="3"/>
  <c r="E43" i="3"/>
  <c r="H43" i="3"/>
  <c r="L43" i="3"/>
  <c r="E37" i="3"/>
  <c r="H37" i="3"/>
  <c r="L37" i="3"/>
  <c r="E32" i="3"/>
  <c r="Z42" i="3"/>
  <c r="Z19" i="3"/>
  <c r="Z17" i="3"/>
  <c r="EX65" i="3"/>
  <c r="EX42" i="3"/>
  <c r="EX37" i="3"/>
  <c r="EX26" i="3"/>
  <c r="EX23" i="3"/>
  <c r="EX19" i="3"/>
  <c r="AG60" i="3"/>
  <c r="Z51" i="3"/>
  <c r="Z15" i="3"/>
  <c r="EX61" i="3"/>
  <c r="EX34" i="3"/>
  <c r="EX29" i="3"/>
  <c r="EX27" i="3"/>
  <c r="Z45" i="3"/>
  <c r="Z43" i="3"/>
  <c r="Z39" i="3"/>
  <c r="Z48" i="3"/>
  <c r="Z20" i="3"/>
  <c r="Z18" i="3"/>
  <c r="Z16" i="3"/>
  <c r="E63" i="3"/>
  <c r="E61" i="3"/>
  <c r="Z59" i="3"/>
  <c r="E59" i="3"/>
  <c r="Z26" i="3"/>
  <c r="EX15" i="3"/>
  <c r="AC10" i="4"/>
  <c r="E57" i="3"/>
  <c r="AG52" i="3"/>
  <c r="E49" i="3"/>
  <c r="E47" i="3"/>
  <c r="E44" i="3"/>
  <c r="H44" i="3"/>
  <c r="L44" i="3"/>
  <c r="E41" i="3"/>
  <c r="E29" i="3"/>
  <c r="K29" i="3"/>
  <c r="O29" i="3"/>
  <c r="M29" i="3"/>
  <c r="G29" i="3"/>
  <c r="Z27" i="3"/>
  <c r="Z25" i="3"/>
  <c r="Z22" i="3"/>
  <c r="EX53" i="3"/>
  <c r="EX12" i="3"/>
  <c r="EX10" i="3"/>
  <c r="Z65" i="3"/>
  <c r="E65" i="3"/>
  <c r="E53" i="3"/>
  <c r="AC53" i="3"/>
  <c r="AD53" i="3"/>
  <c r="E48" i="3"/>
  <c r="E31" i="3"/>
  <c r="H31" i="3"/>
  <c r="L31" i="3"/>
  <c r="Z24" i="3"/>
  <c r="AC26" i="4"/>
  <c r="Z40" i="3"/>
  <c r="E40" i="3"/>
  <c r="H40" i="3"/>
  <c r="L40" i="3"/>
  <c r="Z21" i="3"/>
  <c r="EX28" i="3"/>
  <c r="EX16" i="3"/>
  <c r="EX14" i="3"/>
  <c r="EX11" i="3"/>
  <c r="AC12" i="4"/>
  <c r="AC20" i="4"/>
  <c r="AC21" i="4"/>
  <c r="AC8" i="4"/>
  <c r="AC16" i="4"/>
  <c r="AC17" i="4"/>
  <c r="AC24" i="4"/>
  <c r="AC25" i="4"/>
  <c r="M12" i="17"/>
  <c r="L12" i="17"/>
  <c r="F12" i="17"/>
  <c r="J12" i="17"/>
  <c r="C12" i="17"/>
  <c r="AK12" i="17"/>
  <c r="O12" i="17"/>
  <c r="K12" i="17"/>
  <c r="E12" i="17"/>
  <c r="H12" i="17"/>
  <c r="N12" i="17"/>
  <c r="D12" i="17"/>
  <c r="G12" i="17"/>
  <c r="AJ12" i="17"/>
  <c r="AG12" i="17"/>
  <c r="AI12" i="17"/>
  <c r="AH12" i="17"/>
  <c r="AF12" i="17"/>
  <c r="O11" i="17"/>
  <c r="O10" i="17"/>
  <c r="K11" i="17"/>
  <c r="K10" i="17"/>
  <c r="F11" i="17"/>
  <c r="AK11" i="17"/>
  <c r="AK10" i="17"/>
  <c r="G11" i="17"/>
  <c r="N11" i="17"/>
  <c r="J11" i="17"/>
  <c r="E11" i="17"/>
  <c r="C11" i="17"/>
  <c r="M11" i="17"/>
  <c r="D11" i="17"/>
  <c r="H11" i="17"/>
  <c r="H10" i="17"/>
  <c r="L11" i="17"/>
  <c r="AF11" i="17"/>
  <c r="AH11" i="17"/>
  <c r="AH10" i="17"/>
  <c r="AI11" i="17"/>
  <c r="AJ11" i="17"/>
  <c r="AG11" i="17"/>
  <c r="J8" i="17"/>
  <c r="K13" i="17"/>
  <c r="C13" i="17"/>
  <c r="H8" i="17"/>
  <c r="J13" i="17"/>
  <c r="F13" i="17"/>
  <c r="H13" i="17"/>
  <c r="N13" i="17"/>
  <c r="M13" i="17"/>
  <c r="O8" i="17"/>
  <c r="K8" i="17"/>
  <c r="E13" i="17"/>
  <c r="D8" i="17"/>
  <c r="AK8" i="17"/>
  <c r="L13" i="17"/>
  <c r="N8" i="17"/>
  <c r="D13" i="17"/>
  <c r="G8" i="17"/>
  <c r="C8" i="17"/>
  <c r="AK13" i="17"/>
  <c r="O13" i="17"/>
  <c r="M8" i="17"/>
  <c r="G13" i="17"/>
  <c r="F8" i="17"/>
  <c r="L8" i="17"/>
  <c r="E8" i="17"/>
  <c r="AJ13" i="17"/>
  <c r="AG13" i="17"/>
  <c r="AJ8" i="17"/>
  <c r="AH8" i="17"/>
  <c r="AH13" i="17"/>
  <c r="AG8" i="17"/>
  <c r="AF8" i="17"/>
  <c r="AF13" i="17"/>
  <c r="AI8" i="17"/>
  <c r="AI13" i="17"/>
  <c r="O8" i="4"/>
  <c r="O12" i="4"/>
  <c r="O17" i="4"/>
  <c r="AC19" i="4"/>
  <c r="O21" i="4"/>
  <c r="AC23" i="4"/>
  <c r="O25" i="4"/>
  <c r="AC9" i="4"/>
  <c r="AC13" i="4"/>
  <c r="O16" i="4"/>
  <c r="O10" i="4"/>
  <c r="AC11" i="4"/>
  <c r="O14" i="4"/>
  <c r="AC15" i="4"/>
  <c r="F15" i="9"/>
  <c r="E12" i="9"/>
  <c r="B8" i="10"/>
  <c r="C8" i="10"/>
  <c r="I20" i="7"/>
  <c r="G15" i="7"/>
  <c r="G35" i="7"/>
  <c r="I39" i="7"/>
  <c r="I15" i="7"/>
  <c r="I24" i="7"/>
  <c r="I34" i="7"/>
  <c r="I44" i="7"/>
  <c r="I29" i="7"/>
  <c r="G25" i="7"/>
  <c r="G20" i="7"/>
  <c r="G30" i="7"/>
  <c r="G40" i="7"/>
  <c r="AG65" i="3"/>
  <c r="D43" i="7"/>
  <c r="E64" i="3"/>
  <c r="AC64" i="3"/>
  <c r="AD64" i="3"/>
  <c r="E62" i="3"/>
  <c r="AC62" i="3"/>
  <c r="AD62" i="3"/>
  <c r="Z57" i="3"/>
  <c r="Z50" i="3"/>
  <c r="D18" i="7"/>
  <c r="Z46" i="3"/>
  <c r="AG45" i="3"/>
  <c r="Z64" i="3"/>
  <c r="Z62" i="3"/>
  <c r="Z60" i="3"/>
  <c r="AG54" i="3"/>
  <c r="Z53" i="3"/>
  <c r="E51" i="3"/>
  <c r="AC51" i="3"/>
  <c r="AD51" i="3"/>
  <c r="AG49" i="3"/>
  <c r="Z35" i="3"/>
  <c r="AG32" i="3"/>
  <c r="Z56" i="3"/>
  <c r="AG59" i="3"/>
  <c r="Z54" i="3"/>
  <c r="Z49" i="3"/>
  <c r="Z37" i="3"/>
  <c r="Z34" i="3"/>
  <c r="Z29" i="3"/>
  <c r="EX64" i="3"/>
  <c r="EX59" i="3"/>
  <c r="AG38" i="3"/>
  <c r="D16" i="7"/>
  <c r="AG35" i="3"/>
  <c r="Z38" i="3"/>
  <c r="Z30" i="3"/>
  <c r="Z11" i="3"/>
  <c r="EX44" i="3"/>
  <c r="EX60" i="3"/>
  <c r="EX55" i="3"/>
  <c r="AG41" i="3"/>
  <c r="Z33" i="3"/>
  <c r="EX56" i="3"/>
  <c r="EX51" i="3"/>
  <c r="EX39" i="3"/>
  <c r="EX31" i="3"/>
  <c r="AG64" i="3"/>
  <c r="AG62" i="3"/>
  <c r="AG61" i="3"/>
  <c r="Z52" i="3"/>
  <c r="E38" i="3"/>
  <c r="E35" i="3"/>
  <c r="Z10" i="3"/>
  <c r="EX63" i="3"/>
  <c r="EX52" i="3"/>
  <c r="D19" i="7"/>
  <c r="D10" i="7"/>
  <c r="D8" i="7"/>
  <c r="EX49" i="3"/>
  <c r="EX40" i="3"/>
  <c r="EX32" i="3"/>
  <c r="D20" i="7"/>
  <c r="D14" i="7"/>
  <c r="D11" i="7"/>
  <c r="EX45" i="3"/>
  <c r="EX35" i="3"/>
  <c r="AG42" i="3"/>
  <c r="D15" i="7"/>
  <c r="AG36" i="3"/>
  <c r="D12" i="7"/>
  <c r="AG33" i="3"/>
  <c r="J9" i="7"/>
  <c r="K9" i="7"/>
  <c r="AG30" i="3"/>
  <c r="EX46" i="3"/>
  <c r="EX36" i="3"/>
  <c r="R9" i="17"/>
  <c r="V9" i="17"/>
  <c r="T9" i="17"/>
  <c r="U9" i="17"/>
  <c r="Q9" i="17"/>
  <c r="S9" i="17"/>
  <c r="F8" i="9"/>
  <c r="D7" i="9"/>
  <c r="GN46" i="3"/>
  <c r="GN47" i="3"/>
  <c r="GN48" i="3"/>
  <c r="GN49" i="3"/>
  <c r="GN50" i="3"/>
  <c r="GN51" i="3"/>
  <c r="GN52" i="3"/>
  <c r="GN53" i="3"/>
  <c r="GN54" i="3"/>
  <c r="GN55" i="3"/>
  <c r="GN56" i="3"/>
  <c r="GN57" i="3"/>
  <c r="GN58" i="3"/>
  <c r="GN59" i="3"/>
  <c r="GN60" i="3"/>
  <c r="GN61" i="3"/>
  <c r="GN62" i="3"/>
  <c r="GN63" i="3"/>
  <c r="GN64" i="3"/>
  <c r="GN65" i="3"/>
  <c r="K61" i="3"/>
  <c r="O61" i="3"/>
  <c r="M61" i="3"/>
  <c r="G61" i="3"/>
  <c r="AC61" i="3"/>
  <c r="AD61" i="3"/>
  <c r="H63" i="3"/>
  <c r="L63" i="3"/>
  <c r="AC63" i="3"/>
  <c r="AD63" i="3"/>
  <c r="K60" i="3"/>
  <c r="O60" i="3"/>
  <c r="M60" i="3"/>
  <c r="G60" i="3"/>
  <c r="AC60" i="3"/>
  <c r="AD60" i="3"/>
  <c r="H58" i="3"/>
  <c r="L58" i="3"/>
  <c r="AC58" i="3"/>
  <c r="AD58" i="3"/>
  <c r="H65" i="3"/>
  <c r="L65" i="3"/>
  <c r="AC65" i="3"/>
  <c r="AD65" i="3"/>
  <c r="H50" i="3"/>
  <c r="L50" i="3"/>
  <c r="AC50" i="3"/>
  <c r="AD50" i="3"/>
  <c r="K48" i="3"/>
  <c r="O48" i="3"/>
  <c r="P48" i="3"/>
  <c r="D27" i="26"/>
  <c r="AC48" i="3"/>
  <c r="AD48" i="3"/>
  <c r="H57" i="3"/>
  <c r="L57" i="3"/>
  <c r="AC57" i="3"/>
  <c r="AD57" i="3"/>
  <c r="K59" i="3"/>
  <c r="O59" i="3"/>
  <c r="M59" i="3"/>
  <c r="G59" i="3"/>
  <c r="AC59" i="3"/>
  <c r="AD59" i="3"/>
  <c r="H55" i="3"/>
  <c r="L55" i="3"/>
  <c r="AC55" i="3"/>
  <c r="AD55" i="3"/>
  <c r="K49" i="3"/>
  <c r="O49" i="3"/>
  <c r="M49" i="3"/>
  <c r="AC49" i="3"/>
  <c r="AD49" i="3"/>
  <c r="K47" i="3"/>
  <c r="O47" i="3"/>
  <c r="M47" i="3"/>
  <c r="G47" i="3"/>
  <c r="AC47" i="3"/>
  <c r="AD47" i="3"/>
  <c r="H56" i="3"/>
  <c r="L56" i="3"/>
  <c r="AC56" i="3"/>
  <c r="AD56" i="3"/>
  <c r="K54" i="3"/>
  <c r="O54" i="3"/>
  <c r="M54" i="3"/>
  <c r="G54" i="3"/>
  <c r="AC54" i="3"/>
  <c r="AD54" i="3"/>
  <c r="H52" i="3"/>
  <c r="L52" i="3"/>
  <c r="AC52" i="3"/>
  <c r="AD52" i="3"/>
  <c r="H60" i="3"/>
  <c r="L60" i="3"/>
  <c r="K39" i="3"/>
  <c r="O39" i="3"/>
  <c r="M39" i="3"/>
  <c r="G39" i="3"/>
  <c r="K42" i="3"/>
  <c r="O42" i="3"/>
  <c r="M42" i="3"/>
  <c r="G42" i="3"/>
  <c r="F14" i="10"/>
  <c r="F13" i="10"/>
  <c r="K55" i="3"/>
  <c r="O55" i="3"/>
  <c r="M55" i="3"/>
  <c r="G55" i="3"/>
  <c r="F12" i="10"/>
  <c r="F11" i="10"/>
  <c r="F10" i="10"/>
  <c r="F22" i="10"/>
  <c r="H33" i="3"/>
  <c r="L33" i="3"/>
  <c r="P33" i="3"/>
  <c r="D12" i="26"/>
  <c r="E12" i="26"/>
  <c r="J29" i="7"/>
  <c r="M48" i="3"/>
  <c r="G48" i="3"/>
  <c r="H48" i="3"/>
  <c r="L48" i="3"/>
  <c r="K44" i="3"/>
  <c r="O44" i="3"/>
  <c r="M44" i="3"/>
  <c r="G44" i="3"/>
  <c r="E19" i="25"/>
  <c r="E20" i="25"/>
  <c r="E25" i="25"/>
  <c r="E28" i="25"/>
  <c r="E21" i="25"/>
  <c r="E26" i="25"/>
  <c r="E27" i="25"/>
  <c r="E29" i="25"/>
  <c r="E22" i="25"/>
  <c r="E23" i="25"/>
  <c r="E24" i="25"/>
  <c r="AI10" i="17"/>
  <c r="J10" i="17"/>
  <c r="D10" i="17"/>
  <c r="H30" i="3"/>
  <c r="L30" i="3"/>
  <c r="M58" i="3"/>
  <c r="G58" i="3"/>
  <c r="M10" i="17"/>
  <c r="AJ10" i="17"/>
  <c r="L10" i="17"/>
  <c r="C10" i="17"/>
  <c r="G10" i="17"/>
  <c r="E10" i="17"/>
  <c r="H54" i="3"/>
  <c r="L54" i="3"/>
  <c r="H59" i="3"/>
  <c r="L59" i="3"/>
  <c r="K46" i="3"/>
  <c r="O46" i="3"/>
  <c r="M46" i="3"/>
  <c r="G46" i="3"/>
  <c r="F10" i="17"/>
  <c r="K37" i="3"/>
  <c r="O37" i="3"/>
  <c r="M37" i="3"/>
  <c r="G37" i="3"/>
  <c r="K52" i="3"/>
  <c r="O52" i="3"/>
  <c r="M52" i="3"/>
  <c r="G52" i="3"/>
  <c r="AG10" i="17"/>
  <c r="AF10" i="17"/>
  <c r="N10" i="17"/>
  <c r="V11" i="17"/>
  <c r="R11" i="17"/>
  <c r="U11" i="17"/>
  <c r="Q11" i="17"/>
  <c r="T11" i="17"/>
  <c r="S11" i="17"/>
  <c r="V13" i="17"/>
  <c r="R13" i="17"/>
  <c r="T12" i="17"/>
  <c r="U13" i="17"/>
  <c r="Q13" i="17"/>
  <c r="S12" i="17"/>
  <c r="T13" i="17"/>
  <c r="R12" i="17"/>
  <c r="S13" i="17"/>
  <c r="Q12" i="17"/>
  <c r="V12" i="17"/>
  <c r="U12" i="17"/>
  <c r="T8" i="17"/>
  <c r="S8" i="17"/>
  <c r="V8" i="17"/>
  <c r="U8" i="17"/>
  <c r="R8" i="17"/>
  <c r="Q8" i="17"/>
  <c r="M30" i="3"/>
  <c r="G30" i="3"/>
  <c r="P30" i="3"/>
  <c r="D9" i="26"/>
  <c r="E9" i="26"/>
  <c r="P58" i="3"/>
  <c r="D37" i="26"/>
  <c r="P29" i="3"/>
  <c r="D8" i="26"/>
  <c r="E8" i="26"/>
  <c r="V29" i="3"/>
  <c r="H34" i="3"/>
  <c r="L34" i="3"/>
  <c r="H36" i="3"/>
  <c r="L36" i="3"/>
  <c r="K50" i="3"/>
  <c r="O50" i="3"/>
  <c r="P49" i="3"/>
  <c r="D28" i="26"/>
  <c r="P34" i="3"/>
  <c r="D13" i="26"/>
  <c r="E13" i="26"/>
  <c r="P60" i="3"/>
  <c r="D39" i="26"/>
  <c r="K45" i="3"/>
  <c r="O45" i="3"/>
  <c r="M45" i="3"/>
  <c r="G45" i="3"/>
  <c r="V33" i="3"/>
  <c r="AA33" i="3"/>
  <c r="N33" i="3"/>
  <c r="K63" i="3"/>
  <c r="O63" i="3"/>
  <c r="M63" i="3"/>
  <c r="G63" i="3"/>
  <c r="H29" i="3"/>
  <c r="L29" i="3"/>
  <c r="K31" i="3"/>
  <c r="O31" i="3"/>
  <c r="M31" i="3"/>
  <c r="G31" i="3"/>
  <c r="K43" i="3"/>
  <c r="O43" i="3"/>
  <c r="M43" i="3"/>
  <c r="G43" i="3"/>
  <c r="K56" i="3"/>
  <c r="O56" i="3"/>
  <c r="M56" i="3"/>
  <c r="G56" i="3"/>
  <c r="H49" i="3"/>
  <c r="L49" i="3"/>
  <c r="K32" i="3"/>
  <c r="O32" i="3"/>
  <c r="M32" i="3"/>
  <c r="G32" i="3"/>
  <c r="H32" i="3"/>
  <c r="L32" i="3"/>
  <c r="K40" i="3"/>
  <c r="O40" i="3"/>
  <c r="M40" i="3"/>
  <c r="G40" i="3"/>
  <c r="H47" i="3"/>
  <c r="L47" i="3"/>
  <c r="K65" i="3"/>
  <c r="H41" i="3"/>
  <c r="L41" i="3"/>
  <c r="K41" i="3"/>
  <c r="O41" i="3"/>
  <c r="M41" i="3"/>
  <c r="G41" i="3"/>
  <c r="H61" i="3"/>
  <c r="L61" i="3"/>
  <c r="K57" i="3"/>
  <c r="O57" i="3"/>
  <c r="M57" i="3"/>
  <c r="G57" i="3"/>
  <c r="K53" i="3"/>
  <c r="O53" i="3"/>
  <c r="M53" i="3"/>
  <c r="G53" i="3"/>
  <c r="H53" i="3"/>
  <c r="L53" i="3"/>
  <c r="C27" i="10"/>
  <c r="C21" i="10"/>
  <c r="I35" i="7"/>
  <c r="I40" i="7"/>
  <c r="I30" i="7"/>
  <c r="I25" i="7"/>
  <c r="K35" i="3"/>
  <c r="O35" i="3"/>
  <c r="M35" i="3"/>
  <c r="G35" i="3"/>
  <c r="H35" i="3"/>
  <c r="L35" i="3"/>
  <c r="P36" i="3"/>
  <c r="D15" i="26"/>
  <c r="E15" i="26"/>
  <c r="P59" i="3"/>
  <c r="D38" i="26"/>
  <c r="K24" i="7"/>
  <c r="J24" i="7"/>
  <c r="J19" i="7"/>
  <c r="K19" i="7"/>
  <c r="N29" i="3"/>
  <c r="V34" i="3"/>
  <c r="N34" i="3"/>
  <c r="BD14" i="45"/>
  <c r="H62" i="3"/>
  <c r="L62" i="3"/>
  <c r="K62" i="3"/>
  <c r="O62" i="3"/>
  <c r="M62" i="3"/>
  <c r="G62" i="3"/>
  <c r="J39" i="7"/>
  <c r="K39" i="7"/>
  <c r="K14" i="7"/>
  <c r="J14" i="7"/>
  <c r="K64" i="3"/>
  <c r="O64" i="3"/>
  <c r="M64" i="3"/>
  <c r="G64" i="3"/>
  <c r="H64" i="3"/>
  <c r="L64" i="3"/>
  <c r="K44" i="7"/>
  <c r="J44" i="7"/>
  <c r="K38" i="3"/>
  <c r="O38" i="3"/>
  <c r="M38" i="3"/>
  <c r="G38" i="3"/>
  <c r="H38" i="3"/>
  <c r="L38" i="3"/>
  <c r="H51" i="3"/>
  <c r="L51" i="3"/>
  <c r="K51" i="3"/>
  <c r="O51" i="3"/>
  <c r="M51" i="3"/>
  <c r="G51" i="3"/>
  <c r="K34" i="7"/>
  <c r="J34" i="7"/>
  <c r="F9" i="9"/>
  <c r="D8" i="9"/>
  <c r="P47" i="3"/>
  <c r="D26" i="26"/>
  <c r="GN66" i="3"/>
  <c r="GN67" i="3"/>
  <c r="GN68" i="3"/>
  <c r="N61" i="3"/>
  <c r="FN61" i="3"/>
  <c r="P61" i="3"/>
  <c r="D40" i="26"/>
  <c r="E40" i="26"/>
  <c r="P39" i="3"/>
  <c r="D18" i="26"/>
  <c r="E18" i="26"/>
  <c r="P54" i="3"/>
  <c r="D33" i="26"/>
  <c r="E33" i="26"/>
  <c r="P44" i="3"/>
  <c r="D23" i="26"/>
  <c r="E23" i="26"/>
  <c r="G49" i="3"/>
  <c r="V49" i="3"/>
  <c r="AA49" i="3"/>
  <c r="N54" i="3"/>
  <c r="V42" i="3"/>
  <c r="AA42" i="3"/>
  <c r="V60" i="3"/>
  <c r="AA60" i="3"/>
  <c r="AN60" i="3"/>
  <c r="P46" i="3"/>
  <c r="D25" i="26"/>
  <c r="E25" i="26"/>
  <c r="AN33" i="3"/>
  <c r="Z31" i="4"/>
  <c r="V31" i="4"/>
  <c r="B8" i="26"/>
  <c r="C8" i="26"/>
  <c r="P52" i="3"/>
  <c r="D31" i="26"/>
  <c r="E31" i="26"/>
  <c r="N58" i="3"/>
  <c r="P42" i="3"/>
  <c r="D21" i="26"/>
  <c r="E21" i="26"/>
  <c r="V58" i="3"/>
  <c r="AA58" i="3"/>
  <c r="P55" i="3"/>
  <c r="D34" i="26"/>
  <c r="E34" i="26"/>
  <c r="N42" i="3"/>
  <c r="F29" i="10"/>
  <c r="F24" i="10"/>
  <c r="F23" i="10"/>
  <c r="F28" i="10"/>
  <c r="F26" i="10"/>
  <c r="F25" i="10"/>
  <c r="V48" i="3"/>
  <c r="AA48" i="3"/>
  <c r="N48" i="3"/>
  <c r="E28" i="26"/>
  <c r="E26" i="26"/>
  <c r="E38" i="26"/>
  <c r="E37" i="26"/>
  <c r="V30" i="3"/>
  <c r="AA30" i="3"/>
  <c r="E39" i="26"/>
  <c r="E27" i="26"/>
  <c r="V54" i="3"/>
  <c r="P40" i="3"/>
  <c r="D19" i="26"/>
  <c r="E19" i="26"/>
  <c r="N46" i="3"/>
  <c r="BD26" i="45"/>
  <c r="V46" i="3"/>
  <c r="AA46" i="3"/>
  <c r="N30" i="3"/>
  <c r="N37" i="3"/>
  <c r="BD17" i="45"/>
  <c r="FM61" i="3"/>
  <c r="P37" i="3"/>
  <c r="D16" i="26"/>
  <c r="E16" i="26"/>
  <c r="V37" i="3"/>
  <c r="AA37" i="3"/>
  <c r="P43" i="3"/>
  <c r="D22" i="26"/>
  <c r="U31" i="4"/>
  <c r="B12" i="26"/>
  <c r="U10" i="17"/>
  <c r="O65" i="3"/>
  <c r="P65" i="3"/>
  <c r="D44" i="26"/>
  <c r="S10" i="17"/>
  <c r="R10" i="17"/>
  <c r="T10" i="17"/>
  <c r="V10" i="17"/>
  <c r="O32" i="4"/>
  <c r="B13" i="26"/>
  <c r="Q10" i="17"/>
  <c r="U59" i="4"/>
  <c r="M50" i="3"/>
  <c r="G50" i="3"/>
  <c r="P56" i="3"/>
  <c r="D35" i="26"/>
  <c r="D31" i="4"/>
  <c r="AC31" i="4"/>
  <c r="F31" i="4"/>
  <c r="K31" i="4"/>
  <c r="AA31" i="4"/>
  <c r="P57" i="3"/>
  <c r="D36" i="26"/>
  <c r="P63" i="3"/>
  <c r="D42" i="26"/>
  <c r="N60" i="3"/>
  <c r="BD40" i="45"/>
  <c r="P50" i="3"/>
  <c r="D29" i="26"/>
  <c r="W31" i="4"/>
  <c r="G31" i="4"/>
  <c r="P31" i="4"/>
  <c r="Y31" i="4"/>
  <c r="P45" i="3"/>
  <c r="D24" i="26"/>
  <c r="N49" i="3"/>
  <c r="BD29" i="45"/>
  <c r="W33" i="3"/>
  <c r="AB33" i="3"/>
  <c r="O31" i="4"/>
  <c r="C31" i="4"/>
  <c r="I31" i="4"/>
  <c r="M31" i="4"/>
  <c r="B12" i="7"/>
  <c r="N31" i="4"/>
  <c r="H31" i="4"/>
  <c r="X31" i="4"/>
  <c r="T31" i="4"/>
  <c r="P31" i="3"/>
  <c r="D10" i="26"/>
  <c r="E10" i="26"/>
  <c r="J31" i="4"/>
  <c r="AB31" i="4"/>
  <c r="V61" i="3"/>
  <c r="P32" i="3"/>
  <c r="D11" i="26"/>
  <c r="E11" i="26"/>
  <c r="D32" i="4"/>
  <c r="P53" i="3"/>
  <c r="D32" i="26"/>
  <c r="Q51" i="24"/>
  <c r="N51" i="24"/>
  <c r="E51" i="24"/>
  <c r="E59" i="4"/>
  <c r="D51" i="24"/>
  <c r="P41" i="3"/>
  <c r="D20" i="26"/>
  <c r="E20" i="26"/>
  <c r="F21" i="10"/>
  <c r="P38" i="3"/>
  <c r="D17" i="26"/>
  <c r="E17" i="26"/>
  <c r="P64" i="3"/>
  <c r="D43" i="26"/>
  <c r="B8" i="7"/>
  <c r="W29" i="3"/>
  <c r="W27" i="4"/>
  <c r="C27" i="4"/>
  <c r="AC27" i="4"/>
  <c r="X27" i="4"/>
  <c r="U27" i="4"/>
  <c r="H27" i="4"/>
  <c r="AB27" i="4"/>
  <c r="M27" i="4"/>
  <c r="T27" i="4"/>
  <c r="D27" i="4"/>
  <c r="G27" i="4"/>
  <c r="I27" i="4"/>
  <c r="V27" i="4"/>
  <c r="AA27" i="4"/>
  <c r="Y27" i="4"/>
  <c r="J27" i="4"/>
  <c r="F27" i="4"/>
  <c r="N27" i="4"/>
  <c r="N55" i="3"/>
  <c r="BD35" i="45"/>
  <c r="V55" i="3"/>
  <c r="I59" i="4"/>
  <c r="AA59" i="4"/>
  <c r="F59" i="4"/>
  <c r="AB59" i="4"/>
  <c r="G59" i="4"/>
  <c r="N59" i="4"/>
  <c r="K27" i="4"/>
  <c r="AA29" i="3"/>
  <c r="N57" i="3"/>
  <c r="BD37" i="45"/>
  <c r="V57" i="3"/>
  <c r="P62" i="3"/>
  <c r="D41" i="26"/>
  <c r="B13" i="7"/>
  <c r="F32" i="4"/>
  <c r="W34" i="3"/>
  <c r="N32" i="4"/>
  <c r="G32" i="4"/>
  <c r="C32" i="4"/>
  <c r="M32" i="4"/>
  <c r="AC32" i="4"/>
  <c r="AA32" i="4"/>
  <c r="T32" i="4"/>
  <c r="AB32" i="4"/>
  <c r="X32" i="4"/>
  <c r="I32" i="4"/>
  <c r="W32" i="4"/>
  <c r="Y32" i="4"/>
  <c r="H32" i="4"/>
  <c r="V32" i="4"/>
  <c r="J32" i="4"/>
  <c r="U32" i="4"/>
  <c r="N59" i="3"/>
  <c r="BD39" i="45"/>
  <c r="V59" i="3"/>
  <c r="V36" i="3"/>
  <c r="N36" i="3"/>
  <c r="BD16" i="45"/>
  <c r="V39" i="3"/>
  <c r="N39" i="3"/>
  <c r="BD19" i="45"/>
  <c r="V40" i="3"/>
  <c r="N40" i="3"/>
  <c r="BD20" i="45"/>
  <c r="O27" i="4"/>
  <c r="V52" i="3"/>
  <c r="N52" i="3"/>
  <c r="BD32" i="45"/>
  <c r="V63" i="3"/>
  <c r="N63" i="3"/>
  <c r="BD43" i="45"/>
  <c r="P51" i="3"/>
  <c r="D30" i="26"/>
  <c r="V44" i="3"/>
  <c r="N44" i="3"/>
  <c r="BD24" i="45"/>
  <c r="N56" i="3"/>
  <c r="BD36" i="45"/>
  <c r="V56" i="3"/>
  <c r="V31" i="3"/>
  <c r="N31" i="3"/>
  <c r="N47" i="3"/>
  <c r="BD27" i="45"/>
  <c r="V47" i="3"/>
  <c r="K32" i="4"/>
  <c r="AA34" i="3"/>
  <c r="V43" i="3"/>
  <c r="N43" i="3"/>
  <c r="BD23" i="45"/>
  <c r="P35" i="3"/>
  <c r="D14" i="26"/>
  <c r="E14" i="26"/>
  <c r="E49" i="26"/>
  <c r="F10" i="9"/>
  <c r="D10" i="9"/>
  <c r="D9" i="9"/>
  <c r="V59" i="4"/>
  <c r="H59" i="4"/>
  <c r="AD59" i="4"/>
  <c r="AC59" i="4"/>
  <c r="AF59" i="4"/>
  <c r="C59" i="4"/>
  <c r="F51" i="24"/>
  <c r="I51" i="24"/>
  <c r="P51" i="24"/>
  <c r="J51" i="24"/>
  <c r="K59" i="4"/>
  <c r="J59" i="4"/>
  <c r="Y59" i="4"/>
  <c r="M59" i="4"/>
  <c r="O59" i="4"/>
  <c r="AH59" i="4"/>
  <c r="W61" i="3"/>
  <c r="H51" i="24"/>
  <c r="M51" i="24"/>
  <c r="L51" i="24"/>
  <c r="R51" i="24"/>
  <c r="AE59" i="4"/>
  <c r="AI59" i="4"/>
  <c r="W59" i="4"/>
  <c r="T59" i="4"/>
  <c r="AG59" i="4"/>
  <c r="X59" i="4"/>
  <c r="B40" i="7"/>
  <c r="D32" i="33"/>
  <c r="G51" i="24"/>
  <c r="C51" i="24"/>
  <c r="O51" i="24"/>
  <c r="K51" i="24"/>
  <c r="D38" i="24"/>
  <c r="BD28" i="45"/>
  <c r="R32" i="24"/>
  <c r="BD22" i="45"/>
  <c r="AD56" i="4"/>
  <c r="BD38" i="45"/>
  <c r="FN54" i="3"/>
  <c r="BD34" i="45"/>
  <c r="N22" i="8"/>
  <c r="BD41" i="45"/>
  <c r="AG46" i="4"/>
  <c r="D59" i="4"/>
  <c r="C46" i="4"/>
  <c r="W54" i="3"/>
  <c r="L52" i="4"/>
  <c r="N44" i="24"/>
  <c r="V46" i="4"/>
  <c r="E38" i="24"/>
  <c r="E46" i="4"/>
  <c r="AD52" i="4"/>
  <c r="V52" i="4"/>
  <c r="M52" i="4"/>
  <c r="K44" i="24"/>
  <c r="B40" i="26"/>
  <c r="Q40" i="26"/>
  <c r="F52" i="4"/>
  <c r="W52" i="4"/>
  <c r="AA40" i="4"/>
  <c r="H44" i="24"/>
  <c r="E44" i="24"/>
  <c r="E52" i="4"/>
  <c r="H40" i="4"/>
  <c r="Q32" i="24"/>
  <c r="FN42" i="3"/>
  <c r="AF56" i="4"/>
  <c r="C56" i="4"/>
  <c r="AI40" i="4"/>
  <c r="I56" i="4"/>
  <c r="M40" i="4"/>
  <c r="N48" i="24"/>
  <c r="W28" i="4"/>
  <c r="M28" i="4"/>
  <c r="U46" i="4"/>
  <c r="I46" i="4"/>
  <c r="X46" i="4"/>
  <c r="G38" i="24"/>
  <c r="K38" i="24"/>
  <c r="N46" i="4"/>
  <c r="AA46" i="4"/>
  <c r="O46" i="4"/>
  <c r="W48" i="3"/>
  <c r="AB48" i="3"/>
  <c r="I38" i="24"/>
  <c r="F38" i="24"/>
  <c r="G46" i="4"/>
  <c r="AC46" i="4"/>
  <c r="AI46" i="4"/>
  <c r="H38" i="24"/>
  <c r="N38" i="24"/>
  <c r="AC52" i="4"/>
  <c r="B33" i="7"/>
  <c r="C33" i="7"/>
  <c r="P44" i="24"/>
  <c r="J44" i="24"/>
  <c r="FM54" i="3"/>
  <c r="AA52" i="4"/>
  <c r="AE52" i="4"/>
  <c r="J52" i="4"/>
  <c r="T52" i="4"/>
  <c r="AH52" i="4"/>
  <c r="N52" i="4"/>
  <c r="O52" i="4"/>
  <c r="F44" i="24"/>
  <c r="I44" i="24"/>
  <c r="G44" i="24"/>
  <c r="O44" i="24"/>
  <c r="D52" i="4"/>
  <c r="B33" i="26"/>
  <c r="Q33" i="26"/>
  <c r="G52" i="4"/>
  <c r="AI52" i="4"/>
  <c r="Y52" i="4"/>
  <c r="H52" i="4"/>
  <c r="L44" i="24"/>
  <c r="R44" i="24"/>
  <c r="U52" i="4"/>
  <c r="AF52" i="4"/>
  <c r="X52" i="4"/>
  <c r="AG52" i="4"/>
  <c r="I52" i="4"/>
  <c r="AB52" i="4"/>
  <c r="C52" i="4"/>
  <c r="D44" i="24"/>
  <c r="C44" i="24"/>
  <c r="Q44" i="24"/>
  <c r="M44" i="24"/>
  <c r="K52" i="4"/>
  <c r="W40" i="4"/>
  <c r="G32" i="24"/>
  <c r="N19" i="8"/>
  <c r="W56" i="4"/>
  <c r="AE56" i="4"/>
  <c r="V40" i="4"/>
  <c r="J32" i="24"/>
  <c r="Q48" i="24"/>
  <c r="D56" i="4"/>
  <c r="AA56" i="4"/>
  <c r="AI56" i="4"/>
  <c r="AG56" i="4"/>
  <c r="W58" i="3"/>
  <c r="L56" i="4"/>
  <c r="AG40" i="4"/>
  <c r="AB40" i="4"/>
  <c r="AC40" i="4"/>
  <c r="O32" i="24"/>
  <c r="L32" i="24"/>
  <c r="L48" i="24"/>
  <c r="C48" i="24"/>
  <c r="B21" i="26"/>
  <c r="Q21" i="26"/>
  <c r="AB56" i="4"/>
  <c r="B27" i="7"/>
  <c r="C27" i="7"/>
  <c r="U40" i="4"/>
  <c r="J56" i="4"/>
  <c r="G56" i="4"/>
  <c r="F56" i="4"/>
  <c r="O40" i="4"/>
  <c r="AE40" i="4"/>
  <c r="N40" i="4"/>
  <c r="K32" i="24"/>
  <c r="E32" i="24"/>
  <c r="E40" i="4"/>
  <c r="R48" i="24"/>
  <c r="FM58" i="3"/>
  <c r="X56" i="4"/>
  <c r="H56" i="4"/>
  <c r="U56" i="4"/>
  <c r="O56" i="4"/>
  <c r="M56" i="4"/>
  <c r="B37" i="7"/>
  <c r="H8" i="25"/>
  <c r="AD46" i="4"/>
  <c r="AH46" i="4"/>
  <c r="AB46" i="4"/>
  <c r="M46" i="4"/>
  <c r="J46" i="4"/>
  <c r="H46" i="4"/>
  <c r="K40" i="4"/>
  <c r="L38" i="24"/>
  <c r="M38" i="24"/>
  <c r="P38" i="24"/>
  <c r="Q38" i="24"/>
  <c r="AH40" i="4"/>
  <c r="T40" i="4"/>
  <c r="I40" i="4"/>
  <c r="F40" i="4"/>
  <c r="AD40" i="4"/>
  <c r="W42" i="3"/>
  <c r="AB42" i="3"/>
  <c r="C32" i="24"/>
  <c r="H32" i="24"/>
  <c r="I32" i="24"/>
  <c r="P32" i="24"/>
  <c r="P48" i="24"/>
  <c r="K48" i="24"/>
  <c r="K46" i="4"/>
  <c r="AC56" i="4"/>
  <c r="N56" i="4"/>
  <c r="V56" i="4"/>
  <c r="T56" i="4"/>
  <c r="AH56" i="4"/>
  <c r="Y56" i="4"/>
  <c r="Y46" i="4"/>
  <c r="W46" i="4"/>
  <c r="AE46" i="4"/>
  <c r="F46" i="4"/>
  <c r="AF46" i="4"/>
  <c r="T46" i="4"/>
  <c r="O38" i="24"/>
  <c r="C38" i="24"/>
  <c r="R38" i="24"/>
  <c r="J38" i="24"/>
  <c r="AF40" i="4"/>
  <c r="Y40" i="4"/>
  <c r="J40" i="4"/>
  <c r="X40" i="4"/>
  <c r="G40" i="4"/>
  <c r="D32" i="24"/>
  <c r="F32" i="24"/>
  <c r="N32" i="24"/>
  <c r="M32" i="24"/>
  <c r="B21" i="7"/>
  <c r="E21" i="7"/>
  <c r="D48" i="24"/>
  <c r="J48" i="24"/>
  <c r="B37" i="26"/>
  <c r="Q37" i="26"/>
  <c r="U28" i="4"/>
  <c r="I48" i="24"/>
  <c r="E48" i="24"/>
  <c r="E56" i="4"/>
  <c r="M48" i="24"/>
  <c r="C40" i="4"/>
  <c r="FM42" i="3"/>
  <c r="H48" i="24"/>
  <c r="G48" i="24"/>
  <c r="F48" i="24"/>
  <c r="O48" i="24"/>
  <c r="F8" i="26"/>
  <c r="FN58" i="3"/>
  <c r="K56" i="4"/>
  <c r="FM46" i="3"/>
  <c r="FM48" i="3"/>
  <c r="B15" i="26"/>
  <c r="F15" i="26"/>
  <c r="B9" i="26"/>
  <c r="C9" i="26"/>
  <c r="AF47" i="4"/>
  <c r="AA54" i="3"/>
  <c r="G28" i="4"/>
  <c r="W30" i="3"/>
  <c r="L28" i="4"/>
  <c r="V28" i="4"/>
  <c r="H28" i="4"/>
  <c r="N28" i="4"/>
  <c r="Y28" i="4"/>
  <c r="F28" i="4"/>
  <c r="D40" i="4"/>
  <c r="AG44" i="4"/>
  <c r="E8" i="7"/>
  <c r="C8" i="7"/>
  <c r="E12" i="7"/>
  <c r="C12" i="7"/>
  <c r="E13" i="7"/>
  <c r="C13" i="7"/>
  <c r="E33" i="7"/>
  <c r="Q36" i="24"/>
  <c r="AA44" i="4"/>
  <c r="B27" i="26"/>
  <c r="Q27" i="26"/>
  <c r="K28" i="4"/>
  <c r="T47" i="4"/>
  <c r="M44" i="4"/>
  <c r="AB47" i="4"/>
  <c r="AH44" i="4"/>
  <c r="R36" i="24"/>
  <c r="E54" i="26"/>
  <c r="AA35" i="4"/>
  <c r="L31" i="4"/>
  <c r="K35" i="4"/>
  <c r="X35" i="4"/>
  <c r="FN48" i="3"/>
  <c r="D46" i="4"/>
  <c r="E30" i="26"/>
  <c r="E41" i="26"/>
  <c r="X44" i="4"/>
  <c r="O36" i="24"/>
  <c r="O39" i="24"/>
  <c r="E35" i="26"/>
  <c r="E44" i="26"/>
  <c r="E55" i="26"/>
  <c r="E32" i="26"/>
  <c r="E42" i="26"/>
  <c r="E22" i="26"/>
  <c r="E24" i="26"/>
  <c r="E51" i="26"/>
  <c r="E36" i="26"/>
  <c r="D44" i="4"/>
  <c r="T44" i="4"/>
  <c r="E43" i="26"/>
  <c r="D36" i="24"/>
  <c r="G39" i="24"/>
  <c r="E29" i="26"/>
  <c r="E53" i="26"/>
  <c r="K44" i="4"/>
  <c r="I44" i="4"/>
  <c r="V44" i="4"/>
  <c r="H44" i="4"/>
  <c r="G44" i="4"/>
  <c r="AD44" i="4"/>
  <c r="W46" i="3"/>
  <c r="L44" i="4"/>
  <c r="K36" i="24"/>
  <c r="H36" i="24"/>
  <c r="E36" i="24"/>
  <c r="E44" i="4"/>
  <c r="L36" i="24"/>
  <c r="FN46" i="3"/>
  <c r="W37" i="3"/>
  <c r="AB37" i="3"/>
  <c r="AB35" i="4"/>
  <c r="B16" i="7"/>
  <c r="C16" i="7"/>
  <c r="U44" i="4"/>
  <c r="W44" i="4"/>
  <c r="F44" i="4"/>
  <c r="N44" i="4"/>
  <c r="AE44" i="4"/>
  <c r="B25" i="7"/>
  <c r="C36" i="24"/>
  <c r="J36" i="24"/>
  <c r="I36" i="24"/>
  <c r="P36" i="24"/>
  <c r="B25" i="26"/>
  <c r="Q25" i="26"/>
  <c r="Y35" i="4"/>
  <c r="AC44" i="4"/>
  <c r="H35" i="4"/>
  <c r="N35" i="4"/>
  <c r="AI44" i="4"/>
  <c r="AB44" i="4"/>
  <c r="AF44" i="4"/>
  <c r="J44" i="4"/>
  <c r="C44" i="4"/>
  <c r="Y44" i="4"/>
  <c r="G36" i="24"/>
  <c r="F36" i="24"/>
  <c r="N36" i="24"/>
  <c r="M36" i="24"/>
  <c r="O44" i="4"/>
  <c r="O47" i="4"/>
  <c r="N50" i="3"/>
  <c r="BD30" i="45"/>
  <c r="F40" i="26"/>
  <c r="E50" i="26"/>
  <c r="F12" i="26"/>
  <c r="C12" i="26"/>
  <c r="F13" i="26"/>
  <c r="C13" i="26"/>
  <c r="D28" i="4"/>
  <c r="I28" i="4"/>
  <c r="X28" i="4"/>
  <c r="C28" i="4"/>
  <c r="AB28" i="4"/>
  <c r="B9" i="7"/>
  <c r="O28" i="4"/>
  <c r="AC28" i="4"/>
  <c r="J28" i="4"/>
  <c r="AA28" i="4"/>
  <c r="T28" i="4"/>
  <c r="M35" i="4"/>
  <c r="F35" i="4"/>
  <c r="B16" i="26"/>
  <c r="FM44" i="3"/>
  <c r="FN44" i="3"/>
  <c r="T35" i="4"/>
  <c r="U35" i="4"/>
  <c r="J35" i="4"/>
  <c r="V35" i="4"/>
  <c r="O35" i="4"/>
  <c r="FN59" i="3"/>
  <c r="FM59" i="3"/>
  <c r="FN57" i="3"/>
  <c r="FM57" i="3"/>
  <c r="FM47" i="3"/>
  <c r="FN47" i="3"/>
  <c r="FM56" i="3"/>
  <c r="FN56" i="3"/>
  <c r="FM43" i="3"/>
  <c r="FN43" i="3"/>
  <c r="D35" i="4"/>
  <c r="FM63" i="3"/>
  <c r="FN63" i="3"/>
  <c r="FM52" i="3"/>
  <c r="FN52" i="3"/>
  <c r="D55" i="4"/>
  <c r="I35" i="4"/>
  <c r="C35" i="4"/>
  <c r="AC35" i="4"/>
  <c r="W35" i="4"/>
  <c r="G35" i="4"/>
  <c r="FN55" i="3"/>
  <c r="FM55" i="3"/>
  <c r="FM49" i="3"/>
  <c r="FN49" i="3"/>
  <c r="FM60" i="3"/>
  <c r="FN60" i="3"/>
  <c r="B31" i="26"/>
  <c r="Q31" i="26"/>
  <c r="D53" i="4"/>
  <c r="B34" i="26"/>
  <c r="Q34" i="26"/>
  <c r="B22" i="26"/>
  <c r="Q22" i="26"/>
  <c r="N24" i="8"/>
  <c r="B42" i="26"/>
  <c r="Q42" i="26"/>
  <c r="B23" i="26"/>
  <c r="Q23" i="26"/>
  <c r="B19" i="26"/>
  <c r="N20" i="8"/>
  <c r="B38" i="26"/>
  <c r="Q38" i="26"/>
  <c r="N18" i="8"/>
  <c r="B36" i="26"/>
  <c r="Q36" i="26"/>
  <c r="M65" i="3"/>
  <c r="G65" i="3"/>
  <c r="D45" i="4"/>
  <c r="B26" i="26"/>
  <c r="Q26" i="26"/>
  <c r="B35" i="26"/>
  <c r="Q35" i="26"/>
  <c r="B18" i="26"/>
  <c r="U47" i="4"/>
  <c r="B28" i="26"/>
  <c r="Q28" i="26"/>
  <c r="B39" i="26"/>
  <c r="Q39" i="26"/>
  <c r="B10" i="26"/>
  <c r="H47" i="4"/>
  <c r="AG47" i="4"/>
  <c r="V47" i="4"/>
  <c r="D39" i="24"/>
  <c r="V50" i="3"/>
  <c r="I50" i="24"/>
  <c r="N21" i="8"/>
  <c r="AD47" i="4"/>
  <c r="I47" i="4"/>
  <c r="C47" i="4"/>
  <c r="J47" i="4"/>
  <c r="W47" i="4"/>
  <c r="W49" i="3"/>
  <c r="AB49" i="3"/>
  <c r="B28" i="7"/>
  <c r="C28" i="7"/>
  <c r="K47" i="4"/>
  <c r="C39" i="24"/>
  <c r="I39" i="24"/>
  <c r="M39" i="24"/>
  <c r="T58" i="4"/>
  <c r="N47" i="4"/>
  <c r="AH47" i="4"/>
  <c r="Y47" i="4"/>
  <c r="X47" i="4"/>
  <c r="F47" i="4"/>
  <c r="F39" i="24"/>
  <c r="H39" i="24"/>
  <c r="K39" i="24"/>
  <c r="R39" i="24"/>
  <c r="H58" i="4"/>
  <c r="AE47" i="4"/>
  <c r="AA47" i="4"/>
  <c r="G47" i="4"/>
  <c r="AI47" i="4"/>
  <c r="D47" i="4"/>
  <c r="M47" i="4"/>
  <c r="L39" i="24"/>
  <c r="P39" i="24"/>
  <c r="J39" i="24"/>
  <c r="AC47" i="4"/>
  <c r="Q39" i="24"/>
  <c r="E39" i="24"/>
  <c r="E47" i="4"/>
  <c r="N39" i="24"/>
  <c r="H50" i="24"/>
  <c r="E50" i="24"/>
  <c r="E58" i="4"/>
  <c r="G58" i="4"/>
  <c r="M58" i="4"/>
  <c r="J50" i="24"/>
  <c r="K58" i="4"/>
  <c r="F58" i="4"/>
  <c r="M50" i="24"/>
  <c r="AA58" i="4"/>
  <c r="D58" i="4"/>
  <c r="AB58" i="4"/>
  <c r="P50" i="24"/>
  <c r="N50" i="24"/>
  <c r="AH58" i="4"/>
  <c r="N45" i="3"/>
  <c r="BD25" i="45"/>
  <c r="V45" i="3"/>
  <c r="K50" i="24"/>
  <c r="O50" i="24"/>
  <c r="W60" i="3"/>
  <c r="V58" i="4"/>
  <c r="N58" i="4"/>
  <c r="AC58" i="4"/>
  <c r="J58" i="4"/>
  <c r="X58" i="4"/>
  <c r="W58" i="4"/>
  <c r="AD58" i="4"/>
  <c r="R50" i="24"/>
  <c r="O58" i="4"/>
  <c r="P58" i="4"/>
  <c r="C50" i="24"/>
  <c r="B39" i="7"/>
  <c r="D50" i="24"/>
  <c r="AF58" i="4"/>
  <c r="L50" i="24"/>
  <c r="U58" i="4"/>
  <c r="C58" i="4"/>
  <c r="AG58" i="4"/>
  <c r="Z58" i="4"/>
  <c r="AI58" i="4"/>
  <c r="G50" i="24"/>
  <c r="I58" i="4"/>
  <c r="F50" i="24"/>
  <c r="Y58" i="4"/>
  <c r="AE58" i="4"/>
  <c r="Q50" i="24"/>
  <c r="AA61" i="3"/>
  <c r="V32" i="3"/>
  <c r="N32" i="3"/>
  <c r="R33" i="24"/>
  <c r="N33" i="24"/>
  <c r="K33" i="24"/>
  <c r="P33" i="24"/>
  <c r="O33" i="24"/>
  <c r="L33" i="24"/>
  <c r="E33" i="24"/>
  <c r="E41" i="4"/>
  <c r="I33" i="24"/>
  <c r="D33" i="24"/>
  <c r="H33" i="24"/>
  <c r="F33" i="24"/>
  <c r="M33" i="24"/>
  <c r="G33" i="24"/>
  <c r="Q33" i="24"/>
  <c r="J33" i="24"/>
  <c r="C33" i="24"/>
  <c r="R42" i="24"/>
  <c r="N42" i="24"/>
  <c r="K42" i="24"/>
  <c r="P42" i="24"/>
  <c r="O42" i="24"/>
  <c r="L42" i="24"/>
  <c r="E42" i="24"/>
  <c r="E50" i="4"/>
  <c r="D42" i="24"/>
  <c r="I42" i="24"/>
  <c r="F42" i="24"/>
  <c r="M42" i="24"/>
  <c r="G42" i="24"/>
  <c r="Q42" i="24"/>
  <c r="J42" i="24"/>
  <c r="C42" i="24"/>
  <c r="H42" i="24"/>
  <c r="J34" i="24"/>
  <c r="Q34" i="24"/>
  <c r="K34" i="24"/>
  <c r="E34" i="24"/>
  <c r="E42" i="4"/>
  <c r="R34" i="24"/>
  <c r="P34" i="24"/>
  <c r="N34" i="24"/>
  <c r="O34" i="24"/>
  <c r="L34" i="24"/>
  <c r="F34" i="24"/>
  <c r="C34" i="24"/>
  <c r="I34" i="24"/>
  <c r="G34" i="24"/>
  <c r="D34" i="24"/>
  <c r="M34" i="24"/>
  <c r="H34" i="24"/>
  <c r="R29" i="24"/>
  <c r="N29" i="24"/>
  <c r="K29" i="24"/>
  <c r="P29" i="24"/>
  <c r="O29" i="24"/>
  <c r="L29" i="24"/>
  <c r="E29" i="24"/>
  <c r="E37" i="4"/>
  <c r="M29" i="24"/>
  <c r="D29" i="24"/>
  <c r="H29" i="24"/>
  <c r="Q29" i="24"/>
  <c r="J29" i="24"/>
  <c r="F29" i="24"/>
  <c r="I29" i="24"/>
  <c r="G29" i="24"/>
  <c r="C29" i="24"/>
  <c r="P49" i="24"/>
  <c r="L49" i="24"/>
  <c r="Q49" i="24"/>
  <c r="M49" i="24"/>
  <c r="I49" i="24"/>
  <c r="R49" i="24"/>
  <c r="N49" i="24"/>
  <c r="E49" i="24"/>
  <c r="E57" i="4"/>
  <c r="K49" i="24"/>
  <c r="F49" i="24"/>
  <c r="J49" i="24"/>
  <c r="G49" i="24"/>
  <c r="C49" i="24"/>
  <c r="O49" i="24"/>
  <c r="H49" i="24"/>
  <c r="D49" i="24"/>
  <c r="R46" i="24"/>
  <c r="N46" i="24"/>
  <c r="K46" i="24"/>
  <c r="P46" i="24"/>
  <c r="O46" i="24"/>
  <c r="L46" i="24"/>
  <c r="E46" i="24"/>
  <c r="E54" i="4"/>
  <c r="M46" i="24"/>
  <c r="I46" i="24"/>
  <c r="D46" i="24"/>
  <c r="Q46" i="24"/>
  <c r="J46" i="24"/>
  <c r="F46" i="24"/>
  <c r="G46" i="24"/>
  <c r="C46" i="24"/>
  <c r="H46" i="24"/>
  <c r="J30" i="24"/>
  <c r="Q30" i="24"/>
  <c r="K30" i="24"/>
  <c r="E30" i="24"/>
  <c r="E38" i="4"/>
  <c r="R30" i="24"/>
  <c r="P30" i="24"/>
  <c r="N30" i="24"/>
  <c r="F30" i="24"/>
  <c r="C30" i="24"/>
  <c r="I30" i="24"/>
  <c r="M30" i="24"/>
  <c r="G30" i="24"/>
  <c r="D30" i="24"/>
  <c r="O30" i="24"/>
  <c r="L30" i="24"/>
  <c r="H30" i="24"/>
  <c r="D54" i="4"/>
  <c r="J47" i="24"/>
  <c r="Q47" i="24"/>
  <c r="K47" i="24"/>
  <c r="R47" i="24"/>
  <c r="P47" i="24"/>
  <c r="N47" i="24"/>
  <c r="E47" i="24"/>
  <c r="E55" i="4"/>
  <c r="C47" i="24"/>
  <c r="M47" i="24"/>
  <c r="I47" i="24"/>
  <c r="F47" i="24"/>
  <c r="D47" i="24"/>
  <c r="O47" i="24"/>
  <c r="L47" i="24"/>
  <c r="G47" i="24"/>
  <c r="H47" i="24"/>
  <c r="V53" i="3"/>
  <c r="N53" i="3"/>
  <c r="BD33" i="45"/>
  <c r="P53" i="24"/>
  <c r="L53" i="24"/>
  <c r="Q53" i="24"/>
  <c r="M53" i="24"/>
  <c r="I53" i="24"/>
  <c r="R53" i="24"/>
  <c r="N53" i="24"/>
  <c r="J53" i="24"/>
  <c r="E53" i="24"/>
  <c r="E61" i="4"/>
  <c r="O53" i="24"/>
  <c r="F53" i="24"/>
  <c r="K53" i="24"/>
  <c r="G53" i="24"/>
  <c r="C53" i="24"/>
  <c r="H53" i="24"/>
  <c r="D53" i="24"/>
  <c r="P45" i="24"/>
  <c r="L45" i="24"/>
  <c r="Q45" i="24"/>
  <c r="M45" i="24"/>
  <c r="I45" i="24"/>
  <c r="E45" i="24"/>
  <c r="E53" i="4"/>
  <c r="R45" i="24"/>
  <c r="N45" i="24"/>
  <c r="J45" i="24"/>
  <c r="H45" i="24"/>
  <c r="K45" i="24"/>
  <c r="O45" i="24"/>
  <c r="F45" i="24"/>
  <c r="C45" i="24"/>
  <c r="G45" i="24"/>
  <c r="D45" i="24"/>
  <c r="R37" i="24"/>
  <c r="N37" i="24"/>
  <c r="K37" i="24"/>
  <c r="P37" i="24"/>
  <c r="O37" i="24"/>
  <c r="L37" i="24"/>
  <c r="E37" i="24"/>
  <c r="E45" i="4"/>
  <c r="M37" i="24"/>
  <c r="D37" i="24"/>
  <c r="Q37" i="24"/>
  <c r="J37" i="24"/>
  <c r="F37" i="24"/>
  <c r="I37" i="24"/>
  <c r="G37" i="24"/>
  <c r="C37" i="24"/>
  <c r="H37" i="24"/>
  <c r="V41" i="3"/>
  <c r="N41" i="3"/>
  <c r="BD21" i="45"/>
  <c r="P40" i="4"/>
  <c r="AN42" i="3"/>
  <c r="Z40" i="4"/>
  <c r="K41" i="4"/>
  <c r="AA43" i="3"/>
  <c r="P46" i="4"/>
  <c r="AN48" i="3"/>
  <c r="Z46" i="4"/>
  <c r="K54" i="4"/>
  <c r="AA56" i="3"/>
  <c r="N51" i="3"/>
  <c r="BD31" i="45"/>
  <c r="V51" i="3"/>
  <c r="B19" i="7"/>
  <c r="H38" i="4"/>
  <c r="W40" i="3"/>
  <c r="X38" i="4"/>
  <c r="J38" i="4"/>
  <c r="I38" i="4"/>
  <c r="AB38" i="4"/>
  <c r="W38" i="4"/>
  <c r="AA38" i="4"/>
  <c r="O38" i="4"/>
  <c r="G38" i="4"/>
  <c r="T38" i="4"/>
  <c r="F38" i="4"/>
  <c r="Y38" i="4"/>
  <c r="N38" i="4"/>
  <c r="M38" i="4"/>
  <c r="U38" i="4"/>
  <c r="V38" i="4"/>
  <c r="C38" i="4"/>
  <c r="AC38" i="4"/>
  <c r="B18" i="7"/>
  <c r="W39" i="3"/>
  <c r="AA37" i="4"/>
  <c r="M37" i="4"/>
  <c r="X37" i="4"/>
  <c r="U37" i="4"/>
  <c r="O37" i="4"/>
  <c r="N37" i="4"/>
  <c r="I37" i="4"/>
  <c r="W37" i="4"/>
  <c r="Y37" i="4"/>
  <c r="J37" i="4"/>
  <c r="AB37" i="4"/>
  <c r="F37" i="4"/>
  <c r="H37" i="4"/>
  <c r="G37" i="4"/>
  <c r="T37" i="4"/>
  <c r="V37" i="4"/>
  <c r="C37" i="4"/>
  <c r="AC37" i="4"/>
  <c r="B38" i="7"/>
  <c r="W59" i="3"/>
  <c r="AB57" i="4"/>
  <c r="H57" i="4"/>
  <c r="G57" i="4"/>
  <c r="AD57" i="4"/>
  <c r="O57" i="4"/>
  <c r="W57" i="4"/>
  <c r="Y57" i="4"/>
  <c r="X57" i="4"/>
  <c r="N57" i="4"/>
  <c r="F57" i="4"/>
  <c r="V57" i="4"/>
  <c r="AF57" i="4"/>
  <c r="AI57" i="4"/>
  <c r="I57" i="4"/>
  <c r="AE57" i="4"/>
  <c r="J57" i="4"/>
  <c r="M57" i="4"/>
  <c r="AG57" i="4"/>
  <c r="AA57" i="4"/>
  <c r="AH57" i="4"/>
  <c r="T57" i="4"/>
  <c r="C57" i="4"/>
  <c r="AC57" i="4"/>
  <c r="U57" i="4"/>
  <c r="D38" i="4"/>
  <c r="L27" i="4"/>
  <c r="AB29" i="3"/>
  <c r="K45" i="4"/>
  <c r="AA47" i="3"/>
  <c r="B23" i="7"/>
  <c r="C23" i="7"/>
  <c r="W44" i="3"/>
  <c r="G42" i="4"/>
  <c r="H42" i="4"/>
  <c r="I42" i="4"/>
  <c r="AD42" i="4"/>
  <c r="W42" i="4"/>
  <c r="V42" i="4"/>
  <c r="AA42" i="4"/>
  <c r="AE42" i="4"/>
  <c r="N42" i="4"/>
  <c r="J42" i="4"/>
  <c r="AB42" i="4"/>
  <c r="T42" i="4"/>
  <c r="AG42" i="4"/>
  <c r="O42" i="4"/>
  <c r="AH42" i="4"/>
  <c r="AF42" i="4"/>
  <c r="F42" i="4"/>
  <c r="U42" i="4"/>
  <c r="M42" i="4"/>
  <c r="AI42" i="4"/>
  <c r="Y42" i="4"/>
  <c r="X42" i="4"/>
  <c r="AC42" i="4"/>
  <c r="C42" i="4"/>
  <c r="B31" i="7"/>
  <c r="C31" i="7"/>
  <c r="W52" i="3"/>
  <c r="AE50" i="4"/>
  <c r="G50" i="4"/>
  <c r="W50" i="4"/>
  <c r="V50" i="4"/>
  <c r="N50" i="4"/>
  <c r="AH50" i="4"/>
  <c r="AG50" i="4"/>
  <c r="X50" i="4"/>
  <c r="M50" i="4"/>
  <c r="U50" i="4"/>
  <c r="J50" i="4"/>
  <c r="I50" i="4"/>
  <c r="AA50" i="4"/>
  <c r="AF50" i="4"/>
  <c r="T50" i="4"/>
  <c r="AB50" i="4"/>
  <c r="H50" i="4"/>
  <c r="AI50" i="4"/>
  <c r="F50" i="4"/>
  <c r="AD50" i="4"/>
  <c r="Y50" i="4"/>
  <c r="AC50" i="4"/>
  <c r="C50" i="4"/>
  <c r="O50" i="4"/>
  <c r="B15" i="7"/>
  <c r="W36" i="3"/>
  <c r="O34" i="4"/>
  <c r="M34" i="4"/>
  <c r="V34" i="4"/>
  <c r="T34" i="4"/>
  <c r="I34" i="4"/>
  <c r="W34" i="4"/>
  <c r="H34" i="4"/>
  <c r="N34" i="4"/>
  <c r="X34" i="4"/>
  <c r="AB34" i="4"/>
  <c r="J34" i="4"/>
  <c r="F34" i="4"/>
  <c r="G34" i="4"/>
  <c r="AA34" i="4"/>
  <c r="Y34" i="4"/>
  <c r="AC34" i="4"/>
  <c r="C34" i="4"/>
  <c r="U34" i="4"/>
  <c r="L32" i="4"/>
  <c r="AB34" i="3"/>
  <c r="K55" i="4"/>
  <c r="AA57" i="3"/>
  <c r="V38" i="3"/>
  <c r="N38" i="3"/>
  <c r="BD18" i="45"/>
  <c r="B42" i="7"/>
  <c r="W63" i="3"/>
  <c r="O61" i="4"/>
  <c r="H61" i="4"/>
  <c r="U61" i="4"/>
  <c r="G61" i="4"/>
  <c r="AB61" i="4"/>
  <c r="AD61" i="4"/>
  <c r="I61" i="4"/>
  <c r="AI61" i="4"/>
  <c r="F61" i="4"/>
  <c r="J61" i="4"/>
  <c r="X61" i="4"/>
  <c r="W61" i="4"/>
  <c r="Y61" i="4"/>
  <c r="AF61" i="4"/>
  <c r="T61" i="4"/>
  <c r="AE61" i="4"/>
  <c r="N61" i="4"/>
  <c r="V61" i="4"/>
  <c r="AA61" i="4"/>
  <c r="AG61" i="4"/>
  <c r="M61" i="4"/>
  <c r="AH61" i="4"/>
  <c r="C61" i="4"/>
  <c r="AC61" i="4"/>
  <c r="K50" i="4"/>
  <c r="AA52" i="3"/>
  <c r="K34" i="4"/>
  <c r="AA36" i="3"/>
  <c r="Q31" i="4"/>
  <c r="N62" i="3"/>
  <c r="BD42" i="45"/>
  <c r="V62" i="3"/>
  <c r="D37" i="4"/>
  <c r="B36" i="7"/>
  <c r="W57" i="3"/>
  <c r="M55" i="4"/>
  <c r="AH55" i="4"/>
  <c r="T55" i="4"/>
  <c r="AF55" i="4"/>
  <c r="AA55" i="4"/>
  <c r="N55" i="4"/>
  <c r="G55" i="4"/>
  <c r="I55" i="4"/>
  <c r="AG55" i="4"/>
  <c r="U55" i="4"/>
  <c r="J55" i="4"/>
  <c r="AD55" i="4"/>
  <c r="F55" i="4"/>
  <c r="V55" i="4"/>
  <c r="H55" i="4"/>
  <c r="AB55" i="4"/>
  <c r="W55" i="4"/>
  <c r="AC55" i="4"/>
  <c r="AI55" i="4"/>
  <c r="X55" i="4"/>
  <c r="Y55" i="4"/>
  <c r="AE55" i="4"/>
  <c r="O55" i="4"/>
  <c r="C55" i="4"/>
  <c r="P27" i="4"/>
  <c r="AN29" i="3"/>
  <c r="Z27" i="4"/>
  <c r="B34" i="7"/>
  <c r="W55" i="3"/>
  <c r="U53" i="4"/>
  <c r="N53" i="4"/>
  <c r="V53" i="4"/>
  <c r="T53" i="4"/>
  <c r="AI53" i="4"/>
  <c r="AD53" i="4"/>
  <c r="O53" i="4"/>
  <c r="F53" i="4"/>
  <c r="W53" i="4"/>
  <c r="I53" i="4"/>
  <c r="H53" i="4"/>
  <c r="X53" i="4"/>
  <c r="AE53" i="4"/>
  <c r="J53" i="4"/>
  <c r="M53" i="4"/>
  <c r="AA53" i="4"/>
  <c r="AH53" i="4"/>
  <c r="AG53" i="4"/>
  <c r="AB53" i="4"/>
  <c r="G53" i="4"/>
  <c r="AF53" i="4"/>
  <c r="Y53" i="4"/>
  <c r="AC53" i="4"/>
  <c r="C53" i="4"/>
  <c r="B35" i="7"/>
  <c r="C35" i="7"/>
  <c r="W56" i="3"/>
  <c r="H54" i="4"/>
  <c r="J54" i="4"/>
  <c r="I54" i="4"/>
  <c r="AD54" i="4"/>
  <c r="M54" i="4"/>
  <c r="Y54" i="4"/>
  <c r="T54" i="4"/>
  <c r="AA54" i="4"/>
  <c r="AF54" i="4"/>
  <c r="N54" i="4"/>
  <c r="F54" i="4"/>
  <c r="AI54" i="4"/>
  <c r="AG54" i="4"/>
  <c r="AB54" i="4"/>
  <c r="X54" i="4"/>
  <c r="U54" i="4"/>
  <c r="G54" i="4"/>
  <c r="AE54" i="4"/>
  <c r="AH54" i="4"/>
  <c r="W54" i="4"/>
  <c r="V54" i="4"/>
  <c r="AC54" i="4"/>
  <c r="O54" i="4"/>
  <c r="C54" i="4"/>
  <c r="K38" i="4"/>
  <c r="AA40" i="3"/>
  <c r="K37" i="4"/>
  <c r="AA39" i="3"/>
  <c r="L59" i="4"/>
  <c r="AB61" i="3"/>
  <c r="K53" i="4"/>
  <c r="AA55" i="3"/>
  <c r="N64" i="3"/>
  <c r="BD44" i="45"/>
  <c r="V64" i="3"/>
  <c r="V35" i="3"/>
  <c r="N35" i="3"/>
  <c r="BD15" i="45"/>
  <c r="P32" i="4"/>
  <c r="AN34" i="3"/>
  <c r="Z32" i="4"/>
  <c r="B26" i="7"/>
  <c r="AI45" i="4"/>
  <c r="AA45" i="4"/>
  <c r="O45" i="4"/>
  <c r="W47" i="3"/>
  <c r="U45" i="4"/>
  <c r="H45" i="4"/>
  <c r="G45" i="4"/>
  <c r="AE45" i="4"/>
  <c r="F45" i="4"/>
  <c r="I45" i="4"/>
  <c r="N45" i="4"/>
  <c r="V45" i="4"/>
  <c r="T45" i="4"/>
  <c r="M45" i="4"/>
  <c r="X45" i="4"/>
  <c r="AH45" i="4"/>
  <c r="AC45" i="4"/>
  <c r="AG45" i="4"/>
  <c r="AF45" i="4"/>
  <c r="W45" i="4"/>
  <c r="J45" i="4"/>
  <c r="AD45" i="4"/>
  <c r="AB45" i="4"/>
  <c r="Y45" i="4"/>
  <c r="C45" i="4"/>
  <c r="B10" i="7"/>
  <c r="W31" i="3"/>
  <c r="T29" i="4"/>
  <c r="F29" i="4"/>
  <c r="M29" i="4"/>
  <c r="H29" i="4"/>
  <c r="O29" i="4"/>
  <c r="N29" i="4"/>
  <c r="J29" i="4"/>
  <c r="AA29" i="4"/>
  <c r="X29" i="4"/>
  <c r="U29" i="4"/>
  <c r="V29" i="4"/>
  <c r="AB29" i="4"/>
  <c r="G29" i="4"/>
  <c r="W29" i="4"/>
  <c r="I29" i="4"/>
  <c r="Y29" i="4"/>
  <c r="AC29" i="4"/>
  <c r="C29" i="4"/>
  <c r="K42" i="4"/>
  <c r="AA44" i="3"/>
  <c r="D34" i="4"/>
  <c r="B22" i="7"/>
  <c r="C22" i="7"/>
  <c r="W43" i="3"/>
  <c r="M41" i="4"/>
  <c r="T41" i="4"/>
  <c r="AB41" i="4"/>
  <c r="AA41" i="4"/>
  <c r="AH41" i="4"/>
  <c r="O41" i="4"/>
  <c r="F41" i="4"/>
  <c r="AC41" i="4"/>
  <c r="U41" i="4"/>
  <c r="I41" i="4"/>
  <c r="W41" i="4"/>
  <c r="Y41" i="4"/>
  <c r="AG41" i="4"/>
  <c r="X41" i="4"/>
  <c r="AD41" i="4"/>
  <c r="AI41" i="4"/>
  <c r="H41" i="4"/>
  <c r="J41" i="4"/>
  <c r="AF41" i="4"/>
  <c r="AE41" i="4"/>
  <c r="G41" i="4"/>
  <c r="N41" i="4"/>
  <c r="V41" i="4"/>
  <c r="C41" i="4"/>
  <c r="K29" i="4"/>
  <c r="AA31" i="3"/>
  <c r="P56" i="4"/>
  <c r="AN58" i="3"/>
  <c r="Z56" i="4"/>
  <c r="K61" i="4"/>
  <c r="AA63" i="3"/>
  <c r="D42" i="4"/>
  <c r="D50" i="4"/>
  <c r="P47" i="4"/>
  <c r="AN49" i="3"/>
  <c r="Z47" i="4"/>
  <c r="K57" i="4"/>
  <c r="AA59" i="3"/>
  <c r="D41" i="4"/>
  <c r="D29" i="4"/>
  <c r="P28" i="4"/>
  <c r="AN30" i="3"/>
  <c r="Z28" i="4"/>
  <c r="P44" i="4"/>
  <c r="AN46" i="3"/>
  <c r="Z44" i="4"/>
  <c r="D57" i="4"/>
  <c r="P35" i="4"/>
  <c r="AN37" i="3"/>
  <c r="Z35" i="4"/>
  <c r="D61" i="4"/>
  <c r="H11" i="25"/>
  <c r="C40" i="7"/>
  <c r="E40" i="7"/>
  <c r="AB54" i="3"/>
  <c r="Q52" i="4"/>
  <c r="R52" i="4"/>
  <c r="S52" i="4"/>
  <c r="C40" i="26"/>
  <c r="V40" i="26"/>
  <c r="B39" i="36"/>
  <c r="C33" i="26"/>
  <c r="V33" i="26"/>
  <c r="B32" i="36"/>
  <c r="F33" i="26"/>
  <c r="L35" i="4"/>
  <c r="C37" i="26"/>
  <c r="V37" i="26"/>
  <c r="B36" i="36"/>
  <c r="L40" i="4"/>
  <c r="L46" i="4"/>
  <c r="F37" i="26"/>
  <c r="D19" i="33"/>
  <c r="R31" i="4"/>
  <c r="S31" i="4"/>
  <c r="AN54" i="3"/>
  <c r="Z52" i="4"/>
  <c r="L9" i="26"/>
  <c r="D25" i="33"/>
  <c r="L47" i="4"/>
  <c r="F9" i="26"/>
  <c r="E27" i="7"/>
  <c r="AB58" i="3"/>
  <c r="Q56" i="4"/>
  <c r="R56" i="4"/>
  <c r="S56" i="4"/>
  <c r="C21" i="7"/>
  <c r="I9" i="26"/>
  <c r="F27" i="26"/>
  <c r="C27" i="26"/>
  <c r="V27" i="26"/>
  <c r="B26" i="36"/>
  <c r="P52" i="4"/>
  <c r="E37" i="7"/>
  <c r="I8" i="25"/>
  <c r="C21" i="26"/>
  <c r="V21" i="26"/>
  <c r="C37" i="7"/>
  <c r="D29" i="33"/>
  <c r="F21" i="26"/>
  <c r="P59" i="4"/>
  <c r="T48" i="4"/>
  <c r="C15" i="26"/>
  <c r="AB30" i="3"/>
  <c r="AH48" i="4"/>
  <c r="N40" i="24"/>
  <c r="J48" i="4"/>
  <c r="D31" i="33"/>
  <c r="C39" i="7"/>
  <c r="E10" i="7"/>
  <c r="C10" i="7"/>
  <c r="E9" i="7"/>
  <c r="L9" i="7"/>
  <c r="C9" i="7"/>
  <c r="E25" i="7"/>
  <c r="C25" i="7"/>
  <c r="E15" i="7"/>
  <c r="C15" i="7"/>
  <c r="E26" i="7"/>
  <c r="C26" i="7"/>
  <c r="D26" i="33"/>
  <c r="C34" i="7"/>
  <c r="D28" i="33"/>
  <c r="C36" i="7"/>
  <c r="D34" i="33"/>
  <c r="C42" i="7"/>
  <c r="D30" i="33"/>
  <c r="C38" i="7"/>
  <c r="E18" i="7"/>
  <c r="C18" i="7"/>
  <c r="D11" i="33"/>
  <c r="C19" i="7"/>
  <c r="E31" i="7"/>
  <c r="D23" i="33"/>
  <c r="E35" i="7"/>
  <c r="D27" i="33"/>
  <c r="E28" i="7"/>
  <c r="D20" i="33"/>
  <c r="E16" i="7"/>
  <c r="D8" i="33"/>
  <c r="K48" i="4"/>
  <c r="H40" i="24"/>
  <c r="I48" i="4"/>
  <c r="D40" i="24"/>
  <c r="H48" i="4"/>
  <c r="D48" i="4"/>
  <c r="AA48" i="4"/>
  <c r="M40" i="24"/>
  <c r="FN50" i="3"/>
  <c r="V48" i="4"/>
  <c r="Q9" i="7"/>
  <c r="AB46" i="3"/>
  <c r="R9" i="7"/>
  <c r="AA50" i="3"/>
  <c r="B29" i="26"/>
  <c r="Q29" i="26"/>
  <c r="J40" i="24"/>
  <c r="M48" i="4"/>
  <c r="C40" i="24"/>
  <c r="X48" i="4"/>
  <c r="FM50" i="3"/>
  <c r="E52" i="26"/>
  <c r="O40" i="24"/>
  <c r="AC48" i="4"/>
  <c r="Y48" i="4"/>
  <c r="G40" i="24"/>
  <c r="B29" i="7"/>
  <c r="C29" i="7"/>
  <c r="F25" i="26"/>
  <c r="C25" i="26"/>
  <c r="V25" i="26"/>
  <c r="B24" i="36"/>
  <c r="G66" i="3"/>
  <c r="G67" i="3"/>
  <c r="G68" i="3"/>
  <c r="F40" i="24"/>
  <c r="P40" i="24"/>
  <c r="W50" i="3"/>
  <c r="AB48" i="4"/>
  <c r="AD48" i="4"/>
  <c r="AF48" i="4"/>
  <c r="R40" i="24"/>
  <c r="L40" i="24"/>
  <c r="N48" i="4"/>
  <c r="U48" i="4"/>
  <c r="AE48" i="4"/>
  <c r="W48" i="4"/>
  <c r="K40" i="24"/>
  <c r="I40" i="24"/>
  <c r="G48" i="4"/>
  <c r="C48" i="4"/>
  <c r="Q40" i="24"/>
  <c r="E40" i="24"/>
  <c r="E48" i="4"/>
  <c r="F48" i="4"/>
  <c r="AI48" i="4"/>
  <c r="AG48" i="4"/>
  <c r="O48" i="4"/>
  <c r="C18" i="26"/>
  <c r="C34" i="26"/>
  <c r="V34" i="26"/>
  <c r="B33" i="36"/>
  <c r="C28" i="26"/>
  <c r="V28" i="26"/>
  <c r="B27" i="36"/>
  <c r="C38" i="26"/>
  <c r="V38" i="26"/>
  <c r="B37" i="36"/>
  <c r="C23" i="26"/>
  <c r="V23" i="26"/>
  <c r="B22" i="36"/>
  <c r="C39" i="26"/>
  <c r="V39" i="26"/>
  <c r="B38" i="36"/>
  <c r="C19" i="26"/>
  <c r="C26" i="26"/>
  <c r="V26" i="26"/>
  <c r="B25" i="36"/>
  <c r="C22" i="26"/>
  <c r="V22" i="26"/>
  <c r="B21" i="36"/>
  <c r="C31" i="26"/>
  <c r="V31" i="26"/>
  <c r="B30" i="36"/>
  <c r="C35" i="26"/>
  <c r="V35" i="26"/>
  <c r="B34" i="36"/>
  <c r="C36" i="26"/>
  <c r="V36" i="26"/>
  <c r="B35" i="36"/>
  <c r="F16" i="26"/>
  <c r="C16" i="26"/>
  <c r="F10" i="26"/>
  <c r="C10" i="26"/>
  <c r="C42" i="26"/>
  <c r="V42" i="26"/>
  <c r="B41" i="36"/>
  <c r="FM53" i="3"/>
  <c r="FN53" i="3"/>
  <c r="FM45" i="3"/>
  <c r="FN45" i="3"/>
  <c r="FN62" i="3"/>
  <c r="FM62" i="3"/>
  <c r="FM64" i="3"/>
  <c r="FN64" i="3"/>
  <c r="FM51" i="3"/>
  <c r="FN51" i="3"/>
  <c r="F42" i="26"/>
  <c r="F35" i="26"/>
  <c r="N23" i="8"/>
  <c r="B41" i="26"/>
  <c r="Q41" i="26"/>
  <c r="B17" i="26"/>
  <c r="L39" i="26"/>
  <c r="I39" i="26"/>
  <c r="F39" i="26"/>
  <c r="F26" i="26"/>
  <c r="L19" i="26"/>
  <c r="I19" i="26"/>
  <c r="F19" i="26"/>
  <c r="L34" i="26"/>
  <c r="I34" i="26"/>
  <c r="F34" i="26"/>
  <c r="N25" i="8"/>
  <c r="B43" i="26"/>
  <c r="Q43" i="26"/>
  <c r="F28" i="26"/>
  <c r="F18" i="26"/>
  <c r="F38" i="26"/>
  <c r="D33" i="4"/>
  <c r="B14" i="26"/>
  <c r="C14" i="26"/>
  <c r="C49" i="26"/>
  <c r="B32" i="26"/>
  <c r="Q32" i="26"/>
  <c r="B11" i="26"/>
  <c r="B24" i="26"/>
  <c r="Q24" i="26"/>
  <c r="V65" i="3"/>
  <c r="N65" i="3"/>
  <c r="BD45" i="45"/>
  <c r="F23" i="26"/>
  <c r="D49" i="4"/>
  <c r="B30" i="26"/>
  <c r="Q30" i="26"/>
  <c r="B20" i="26"/>
  <c r="F22" i="26"/>
  <c r="F36" i="26"/>
  <c r="F31" i="26"/>
  <c r="E36" i="7"/>
  <c r="H7" i="25"/>
  <c r="H19" i="25"/>
  <c r="E38" i="7"/>
  <c r="H9" i="25"/>
  <c r="R39" i="7"/>
  <c r="H10" i="25"/>
  <c r="I11" i="25"/>
  <c r="E42" i="7"/>
  <c r="H13" i="25"/>
  <c r="AB60" i="3"/>
  <c r="L58" i="4"/>
  <c r="E39" i="7"/>
  <c r="L39" i="7"/>
  <c r="Q39" i="7"/>
  <c r="D13" i="10"/>
  <c r="N35" i="24"/>
  <c r="J35" i="24"/>
  <c r="G35" i="24"/>
  <c r="K35" i="24"/>
  <c r="B24" i="7"/>
  <c r="V43" i="4"/>
  <c r="AD43" i="4"/>
  <c r="Y43" i="4"/>
  <c r="J43" i="4"/>
  <c r="AG43" i="4"/>
  <c r="AC43" i="4"/>
  <c r="R35" i="24"/>
  <c r="C35" i="24"/>
  <c r="W45" i="3"/>
  <c r="AI43" i="4"/>
  <c r="D43" i="4"/>
  <c r="M35" i="24"/>
  <c r="E35" i="24"/>
  <c r="E43" i="4"/>
  <c r="L35" i="24"/>
  <c r="D35" i="24"/>
  <c r="O43" i="4"/>
  <c r="H43" i="4"/>
  <c r="G43" i="4"/>
  <c r="M43" i="4"/>
  <c r="AA43" i="4"/>
  <c r="T43" i="4"/>
  <c r="U43" i="4"/>
  <c r="W43" i="4"/>
  <c r="AB43" i="4"/>
  <c r="I35" i="24"/>
  <c r="Q35" i="24"/>
  <c r="H35" i="24"/>
  <c r="F35" i="24"/>
  <c r="I43" i="4"/>
  <c r="F43" i="4"/>
  <c r="N43" i="4"/>
  <c r="AE43" i="4"/>
  <c r="X43" i="4"/>
  <c r="C43" i="4"/>
  <c r="O35" i="24"/>
  <c r="P35" i="24"/>
  <c r="AF43" i="4"/>
  <c r="AH43" i="4"/>
  <c r="K43" i="4"/>
  <c r="AA45" i="3"/>
  <c r="AN61" i="3"/>
  <c r="Z59" i="4"/>
  <c r="AC30" i="4"/>
  <c r="U30" i="4"/>
  <c r="W32" i="3"/>
  <c r="O30" i="4"/>
  <c r="N30" i="4"/>
  <c r="T30" i="4"/>
  <c r="X30" i="4"/>
  <c r="V30" i="4"/>
  <c r="AB30" i="4"/>
  <c r="I30" i="4"/>
  <c r="W30" i="4"/>
  <c r="H30" i="4"/>
  <c r="Y30" i="4"/>
  <c r="M30" i="4"/>
  <c r="AA30" i="4"/>
  <c r="B11" i="7"/>
  <c r="G30" i="4"/>
  <c r="C30" i="4"/>
  <c r="D30" i="4"/>
  <c r="F30" i="4"/>
  <c r="J30" i="4"/>
  <c r="K30" i="4"/>
  <c r="AA32" i="3"/>
  <c r="P41" i="24"/>
  <c r="L41" i="24"/>
  <c r="Q41" i="24"/>
  <c r="M41" i="24"/>
  <c r="I41" i="24"/>
  <c r="E41" i="24"/>
  <c r="E49" i="4"/>
  <c r="R41" i="24"/>
  <c r="N41" i="24"/>
  <c r="H41" i="24"/>
  <c r="K41" i="24"/>
  <c r="J41" i="24"/>
  <c r="F41" i="24"/>
  <c r="C41" i="24"/>
  <c r="O41" i="24"/>
  <c r="G41" i="24"/>
  <c r="D41" i="24"/>
  <c r="Q40" i="4"/>
  <c r="R40" i="4"/>
  <c r="S40" i="4"/>
  <c r="R54" i="24"/>
  <c r="N54" i="24"/>
  <c r="K54" i="24"/>
  <c r="P54" i="24"/>
  <c r="O54" i="24"/>
  <c r="L54" i="24"/>
  <c r="M54" i="24"/>
  <c r="E54" i="24"/>
  <c r="E62" i="4"/>
  <c r="D54" i="24"/>
  <c r="Q54" i="24"/>
  <c r="J54" i="24"/>
  <c r="F54" i="24"/>
  <c r="I54" i="24"/>
  <c r="G54" i="24"/>
  <c r="C54" i="24"/>
  <c r="H54" i="24"/>
  <c r="D36" i="4"/>
  <c r="Q28" i="24"/>
  <c r="O28" i="24"/>
  <c r="M28" i="24"/>
  <c r="N28" i="24"/>
  <c r="J28" i="24"/>
  <c r="K28" i="24"/>
  <c r="I28" i="24"/>
  <c r="F28" i="24"/>
  <c r="P28" i="24"/>
  <c r="H28" i="24"/>
  <c r="C28" i="24"/>
  <c r="R28" i="24"/>
  <c r="G28" i="24"/>
  <c r="D28" i="24"/>
  <c r="L28" i="24"/>
  <c r="E28" i="24"/>
  <c r="E36" i="4"/>
  <c r="R52" i="24"/>
  <c r="N52" i="24"/>
  <c r="M52" i="24"/>
  <c r="O52" i="24"/>
  <c r="J52" i="24"/>
  <c r="Q52" i="24"/>
  <c r="P52" i="24"/>
  <c r="E52" i="24"/>
  <c r="E60" i="4"/>
  <c r="L52" i="24"/>
  <c r="I52" i="24"/>
  <c r="F52" i="24"/>
  <c r="C52" i="24"/>
  <c r="K52" i="24"/>
  <c r="G52" i="24"/>
  <c r="D52" i="24"/>
  <c r="H52" i="24"/>
  <c r="K39" i="4"/>
  <c r="AA41" i="3"/>
  <c r="K51" i="4"/>
  <c r="AA53" i="3"/>
  <c r="R31" i="24"/>
  <c r="N31" i="24"/>
  <c r="M31" i="24"/>
  <c r="I31" i="24"/>
  <c r="O31" i="24"/>
  <c r="J31" i="24"/>
  <c r="E31" i="24"/>
  <c r="E39" i="4"/>
  <c r="K31" i="24"/>
  <c r="G31" i="24"/>
  <c r="H31" i="24"/>
  <c r="C31" i="24"/>
  <c r="F31" i="24"/>
  <c r="Q31" i="24"/>
  <c r="D31" i="24"/>
  <c r="P31" i="24"/>
  <c r="L31" i="24"/>
  <c r="U39" i="4"/>
  <c r="W41" i="3"/>
  <c r="N39" i="4"/>
  <c r="G39" i="4"/>
  <c r="Y39" i="4"/>
  <c r="O39" i="4"/>
  <c r="M39" i="4"/>
  <c r="H39" i="4"/>
  <c r="F39" i="4"/>
  <c r="V39" i="4"/>
  <c r="I39" i="4"/>
  <c r="X39" i="4"/>
  <c r="J39" i="4"/>
  <c r="T39" i="4"/>
  <c r="B20" i="7"/>
  <c r="AC39" i="4"/>
  <c r="AB39" i="4"/>
  <c r="C39" i="4"/>
  <c r="W39" i="4"/>
  <c r="AA39" i="4"/>
  <c r="J43" i="24"/>
  <c r="Q43" i="24"/>
  <c r="K43" i="24"/>
  <c r="E43" i="24"/>
  <c r="E51" i="4"/>
  <c r="R43" i="24"/>
  <c r="P43" i="24"/>
  <c r="N43" i="24"/>
  <c r="O43" i="24"/>
  <c r="L43" i="24"/>
  <c r="F43" i="24"/>
  <c r="C43" i="24"/>
  <c r="G43" i="24"/>
  <c r="D43" i="24"/>
  <c r="I43" i="24"/>
  <c r="H43" i="24"/>
  <c r="M43" i="24"/>
  <c r="W53" i="3"/>
  <c r="H51" i="4"/>
  <c r="V51" i="4"/>
  <c r="AI51" i="4"/>
  <c r="I51" i="4"/>
  <c r="M51" i="4"/>
  <c r="F51" i="4"/>
  <c r="AC51" i="4"/>
  <c r="X51" i="4"/>
  <c r="AH51" i="4"/>
  <c r="W51" i="4"/>
  <c r="U51" i="4"/>
  <c r="B32" i="7"/>
  <c r="C32" i="7"/>
  <c r="AD51" i="4"/>
  <c r="AF51" i="4"/>
  <c r="G51" i="4"/>
  <c r="AG51" i="4"/>
  <c r="T51" i="4"/>
  <c r="D51" i="4"/>
  <c r="C51" i="4"/>
  <c r="AA51" i="4"/>
  <c r="AB51" i="4"/>
  <c r="N51" i="4"/>
  <c r="Y51" i="4"/>
  <c r="J51" i="4"/>
  <c r="AE51" i="4"/>
  <c r="O51" i="4"/>
  <c r="D39" i="4"/>
  <c r="E19" i="7"/>
  <c r="L19" i="7"/>
  <c r="Q19" i="7"/>
  <c r="R19" i="7"/>
  <c r="D12" i="10"/>
  <c r="Q34" i="7"/>
  <c r="R34" i="7"/>
  <c r="E23" i="7"/>
  <c r="D9" i="10"/>
  <c r="E22" i="7"/>
  <c r="D8" i="10"/>
  <c r="Q46" i="4"/>
  <c r="R46" i="4"/>
  <c r="S46" i="4"/>
  <c r="K36" i="4"/>
  <c r="AA38" i="3"/>
  <c r="Q27" i="4"/>
  <c r="L41" i="4"/>
  <c r="AB43" i="3"/>
  <c r="L29" i="4"/>
  <c r="AB31" i="3"/>
  <c r="B43" i="7"/>
  <c r="W64" i="3"/>
  <c r="T62" i="4"/>
  <c r="X62" i="4"/>
  <c r="AA62" i="4"/>
  <c r="I62" i="4"/>
  <c r="AI62" i="4"/>
  <c r="G62" i="4"/>
  <c r="AH62" i="4"/>
  <c r="W62" i="4"/>
  <c r="N62" i="4"/>
  <c r="Y62" i="4"/>
  <c r="AB62" i="4"/>
  <c r="F62" i="4"/>
  <c r="H62" i="4"/>
  <c r="AE62" i="4"/>
  <c r="AD62" i="4"/>
  <c r="AF62" i="4"/>
  <c r="AG62" i="4"/>
  <c r="J62" i="4"/>
  <c r="V62" i="4"/>
  <c r="M62" i="4"/>
  <c r="O62" i="4"/>
  <c r="AC62" i="4"/>
  <c r="U62" i="4"/>
  <c r="C62" i="4"/>
  <c r="L55" i="4"/>
  <c r="AB57" i="3"/>
  <c r="B41" i="7"/>
  <c r="W62" i="3"/>
  <c r="F60" i="4"/>
  <c r="X60" i="4"/>
  <c r="V60" i="4"/>
  <c r="AF60" i="4"/>
  <c r="AH60" i="4"/>
  <c r="M60" i="4"/>
  <c r="AG60" i="4"/>
  <c r="AE60" i="4"/>
  <c r="Y60" i="4"/>
  <c r="W60" i="4"/>
  <c r="I60" i="4"/>
  <c r="T60" i="4"/>
  <c r="AB60" i="4"/>
  <c r="AI60" i="4"/>
  <c r="AD60" i="4"/>
  <c r="J60" i="4"/>
  <c r="N60" i="4"/>
  <c r="H60" i="4"/>
  <c r="AA60" i="4"/>
  <c r="G60" i="4"/>
  <c r="AC60" i="4"/>
  <c r="O60" i="4"/>
  <c r="U60" i="4"/>
  <c r="C60" i="4"/>
  <c r="Q47" i="4"/>
  <c r="D60" i="4"/>
  <c r="P29" i="4"/>
  <c r="AN31" i="3"/>
  <c r="Z29" i="4"/>
  <c r="P42" i="4"/>
  <c r="AN44" i="3"/>
  <c r="Z42" i="4"/>
  <c r="B14" i="7"/>
  <c r="C14" i="7"/>
  <c r="W33" i="4"/>
  <c r="W35" i="3"/>
  <c r="N33" i="4"/>
  <c r="T33" i="4"/>
  <c r="M33" i="4"/>
  <c r="H33" i="4"/>
  <c r="V33" i="4"/>
  <c r="X33" i="4"/>
  <c r="I33" i="4"/>
  <c r="Y33" i="4"/>
  <c r="J33" i="4"/>
  <c r="AA33" i="4"/>
  <c r="AB33" i="4"/>
  <c r="F33" i="4"/>
  <c r="G33" i="4"/>
  <c r="U33" i="4"/>
  <c r="O33" i="4"/>
  <c r="AC33" i="4"/>
  <c r="C33" i="4"/>
  <c r="Q59" i="4"/>
  <c r="P38" i="4"/>
  <c r="AN40" i="3"/>
  <c r="Z38" i="4"/>
  <c r="L54" i="4"/>
  <c r="AB56" i="3"/>
  <c r="L53" i="4"/>
  <c r="AB55" i="3"/>
  <c r="E34" i="7"/>
  <c r="L34" i="7"/>
  <c r="L61" i="4"/>
  <c r="AB63" i="3"/>
  <c r="Q32" i="4"/>
  <c r="K49" i="4"/>
  <c r="AA51" i="3"/>
  <c r="P41" i="4"/>
  <c r="AN43" i="3"/>
  <c r="Z41" i="4"/>
  <c r="L45" i="4"/>
  <c r="AB47" i="3"/>
  <c r="K62" i="4"/>
  <c r="AA64" i="3"/>
  <c r="P53" i="4"/>
  <c r="AN55" i="3"/>
  <c r="Z53" i="4"/>
  <c r="P37" i="4"/>
  <c r="AN39" i="3"/>
  <c r="Z37" i="4"/>
  <c r="K60" i="4"/>
  <c r="AA62" i="3"/>
  <c r="L37" i="4"/>
  <c r="AB39" i="3"/>
  <c r="P54" i="4"/>
  <c r="AN56" i="3"/>
  <c r="Z54" i="4"/>
  <c r="P61" i="4"/>
  <c r="AN63" i="3"/>
  <c r="Z61" i="4"/>
  <c r="P34" i="4"/>
  <c r="AN36" i="3"/>
  <c r="Z34" i="4"/>
  <c r="L42" i="4"/>
  <c r="AB44" i="3"/>
  <c r="L57" i="4"/>
  <c r="AB59" i="3"/>
  <c r="P57" i="4"/>
  <c r="AN59" i="3"/>
  <c r="Z57" i="4"/>
  <c r="Q35" i="4"/>
  <c r="K33" i="4"/>
  <c r="AA35" i="3"/>
  <c r="D62" i="4"/>
  <c r="P50" i="4"/>
  <c r="AN52" i="3"/>
  <c r="Z50" i="4"/>
  <c r="B17" i="7"/>
  <c r="W38" i="3"/>
  <c r="G36" i="4"/>
  <c r="X36" i="4"/>
  <c r="W36" i="4"/>
  <c r="AB36" i="4"/>
  <c r="V36" i="4"/>
  <c r="T36" i="4"/>
  <c r="I36" i="4"/>
  <c r="AC36" i="4"/>
  <c r="H36" i="4"/>
  <c r="N36" i="4"/>
  <c r="Y36" i="4"/>
  <c r="M36" i="4"/>
  <c r="AA36" i="4"/>
  <c r="J36" i="4"/>
  <c r="F36" i="4"/>
  <c r="O36" i="4"/>
  <c r="U36" i="4"/>
  <c r="C36" i="4"/>
  <c r="P55" i="4"/>
  <c r="AN57" i="3"/>
  <c r="Z55" i="4"/>
  <c r="L34" i="4"/>
  <c r="AB36" i="3"/>
  <c r="L50" i="4"/>
  <c r="AB52" i="3"/>
  <c r="P45" i="4"/>
  <c r="AN47" i="3"/>
  <c r="Z45" i="4"/>
  <c r="L38" i="4"/>
  <c r="AB40" i="3"/>
  <c r="B30" i="7"/>
  <c r="C30" i="7"/>
  <c r="W51" i="3"/>
  <c r="O49" i="4"/>
  <c r="G49" i="4"/>
  <c r="F49" i="4"/>
  <c r="Y49" i="4"/>
  <c r="H49" i="4"/>
  <c r="AI49" i="4"/>
  <c r="AD49" i="4"/>
  <c r="U49" i="4"/>
  <c r="J49" i="4"/>
  <c r="X49" i="4"/>
  <c r="M49" i="4"/>
  <c r="W49" i="4"/>
  <c r="AB49" i="4"/>
  <c r="V49" i="4"/>
  <c r="AE49" i="4"/>
  <c r="N49" i="4"/>
  <c r="I49" i="4"/>
  <c r="AA49" i="4"/>
  <c r="T49" i="4"/>
  <c r="AG49" i="4"/>
  <c r="AH49" i="4"/>
  <c r="AF49" i="4"/>
  <c r="AC49" i="4"/>
  <c r="C49" i="4"/>
  <c r="H22" i="25"/>
  <c r="B20" i="36"/>
  <c r="V20" i="26"/>
  <c r="R59" i="4"/>
  <c r="S59" i="4"/>
  <c r="R35" i="4"/>
  <c r="S35" i="4"/>
  <c r="R32" i="4"/>
  <c r="S32" i="4"/>
  <c r="R47" i="4"/>
  <c r="S47" i="4"/>
  <c r="R27" i="4"/>
  <c r="S27" i="4"/>
  <c r="Q28" i="4"/>
  <c r="AN50" i="3"/>
  <c r="Z48" i="4"/>
  <c r="Q44" i="4"/>
  <c r="R44" i="4"/>
  <c r="S44" i="4"/>
  <c r="E13" i="10"/>
  <c r="D16" i="33"/>
  <c r="C24" i="7"/>
  <c r="D35" i="33"/>
  <c r="C43" i="7"/>
  <c r="D33" i="33"/>
  <c r="C41" i="7"/>
  <c r="E17" i="7"/>
  <c r="C17" i="7"/>
  <c r="E20" i="7"/>
  <c r="C20" i="7"/>
  <c r="E11" i="7"/>
  <c r="C11" i="7"/>
  <c r="E30" i="7"/>
  <c r="D22" i="33"/>
  <c r="E32" i="7"/>
  <c r="D24" i="33"/>
  <c r="E29" i="7"/>
  <c r="L29" i="7"/>
  <c r="D21" i="33"/>
  <c r="E9" i="10"/>
  <c r="E12" i="10"/>
  <c r="I29" i="26"/>
  <c r="C29" i="26"/>
  <c r="V29" i="26"/>
  <c r="B28" i="36"/>
  <c r="P48" i="4"/>
  <c r="D11" i="10"/>
  <c r="R29" i="7"/>
  <c r="L29" i="26"/>
  <c r="Q29" i="7"/>
  <c r="F29" i="26"/>
  <c r="C54" i="26"/>
  <c r="AB50" i="3"/>
  <c r="L48" i="4"/>
  <c r="C20" i="26"/>
  <c r="C24" i="26"/>
  <c r="C32" i="26"/>
  <c r="V32" i="26"/>
  <c r="B31" i="36"/>
  <c r="C41" i="26"/>
  <c r="V41" i="26"/>
  <c r="B40" i="36"/>
  <c r="C17" i="26"/>
  <c r="C30" i="26"/>
  <c r="V30" i="26"/>
  <c r="B29" i="36"/>
  <c r="C43" i="26"/>
  <c r="V43" i="26"/>
  <c r="B42" i="36"/>
  <c r="C50" i="26"/>
  <c r="F11" i="26"/>
  <c r="C11" i="26"/>
  <c r="FM65" i="3"/>
  <c r="FN65" i="3"/>
  <c r="F17" i="26"/>
  <c r="F30" i="26"/>
  <c r="B44" i="26"/>
  <c r="Q44" i="26"/>
  <c r="Q55" i="24"/>
  <c r="E55" i="24"/>
  <c r="E63" i="4"/>
  <c r="D55" i="24"/>
  <c r="O55" i="24"/>
  <c r="W65" i="3"/>
  <c r="V63" i="4"/>
  <c r="O63" i="4"/>
  <c r="N63" i="4"/>
  <c r="J63" i="4"/>
  <c r="Y63" i="4"/>
  <c r="AE63" i="4"/>
  <c r="D63" i="4"/>
  <c r="N26" i="8"/>
  <c r="K55" i="24"/>
  <c r="C55" i="24"/>
  <c r="N55" i="24"/>
  <c r="I55" i="24"/>
  <c r="M63" i="4"/>
  <c r="AG63" i="4"/>
  <c r="I63" i="4"/>
  <c r="AH63" i="4"/>
  <c r="AD63" i="4"/>
  <c r="U63" i="4"/>
  <c r="R55" i="24"/>
  <c r="M55" i="24"/>
  <c r="L55" i="24"/>
  <c r="H55" i="24"/>
  <c r="B44" i="7"/>
  <c r="AF63" i="4"/>
  <c r="W63" i="4"/>
  <c r="G63" i="4"/>
  <c r="AI63" i="4"/>
  <c r="X63" i="4"/>
  <c r="C63" i="4"/>
  <c r="J55" i="24"/>
  <c r="P55" i="24"/>
  <c r="F55" i="24"/>
  <c r="G55" i="24"/>
  <c r="T63" i="4"/>
  <c r="AA63" i="4"/>
  <c r="H63" i="4"/>
  <c r="AB63" i="4"/>
  <c r="F63" i="4"/>
  <c r="AC63" i="4"/>
  <c r="I24" i="26"/>
  <c r="L24" i="26"/>
  <c r="F24" i="26"/>
  <c r="F32" i="26"/>
  <c r="AA65" i="3"/>
  <c r="K63" i="4"/>
  <c r="F41" i="26"/>
  <c r="F20" i="26"/>
  <c r="I14" i="26"/>
  <c r="L14" i="26"/>
  <c r="F14" i="26"/>
  <c r="F43" i="26"/>
  <c r="E43" i="7"/>
  <c r="H14" i="25"/>
  <c r="H20" i="25"/>
  <c r="I9" i="25"/>
  <c r="I20" i="25"/>
  <c r="E41" i="7"/>
  <c r="H12" i="25"/>
  <c r="H24" i="25"/>
  <c r="H28" i="25"/>
  <c r="H21" i="25"/>
  <c r="I10" i="25"/>
  <c r="I7" i="25"/>
  <c r="I13" i="25"/>
  <c r="D25" i="10"/>
  <c r="L43" i="4"/>
  <c r="AB45" i="3"/>
  <c r="R24" i="7"/>
  <c r="E24" i="7"/>
  <c r="L24" i="7"/>
  <c r="Q24" i="7"/>
  <c r="D10" i="10"/>
  <c r="P43" i="4"/>
  <c r="AN45" i="3"/>
  <c r="Z43" i="4"/>
  <c r="Q58" i="4"/>
  <c r="R58" i="4"/>
  <c r="S58" i="4"/>
  <c r="P30" i="4"/>
  <c r="AN32" i="3"/>
  <c r="Z30" i="4"/>
  <c r="L30" i="4"/>
  <c r="AB32" i="3"/>
  <c r="AB41" i="3"/>
  <c r="L39" i="4"/>
  <c r="AN41" i="3"/>
  <c r="Z39" i="4"/>
  <c r="P39" i="4"/>
  <c r="AB53" i="3"/>
  <c r="L51" i="4"/>
  <c r="P51" i="4"/>
  <c r="AN53" i="3"/>
  <c r="Z51" i="4"/>
  <c r="E14" i="7"/>
  <c r="L14" i="7"/>
  <c r="Q14" i="7"/>
  <c r="R14" i="7"/>
  <c r="D21" i="10"/>
  <c r="Q45" i="4"/>
  <c r="Q61" i="4"/>
  <c r="Q54" i="4"/>
  <c r="R54" i="4"/>
  <c r="S54" i="4"/>
  <c r="L33" i="4"/>
  <c r="AB35" i="3"/>
  <c r="L60" i="4"/>
  <c r="AB62" i="3"/>
  <c r="L62" i="4"/>
  <c r="AB64" i="3"/>
  <c r="L49" i="4"/>
  <c r="AB51" i="3"/>
  <c r="Q34" i="4"/>
  <c r="P62" i="4"/>
  <c r="AN64" i="3"/>
  <c r="Z62" i="4"/>
  <c r="P49" i="4"/>
  <c r="AN51" i="3"/>
  <c r="Z49" i="4"/>
  <c r="Q53" i="4"/>
  <c r="Q41" i="4"/>
  <c r="P33" i="4"/>
  <c r="AN35" i="3"/>
  <c r="Z33" i="4"/>
  <c r="Q57" i="4"/>
  <c r="Q37" i="4"/>
  <c r="P60" i="4"/>
  <c r="AN62" i="3"/>
  <c r="Z60" i="4"/>
  <c r="Q55" i="4"/>
  <c r="Q29" i="4"/>
  <c r="P36" i="4"/>
  <c r="AN38" i="3"/>
  <c r="Z36" i="4"/>
  <c r="Q42" i="4"/>
  <c r="Q38" i="4"/>
  <c r="Q50" i="4"/>
  <c r="R50" i="4"/>
  <c r="S50" i="4"/>
  <c r="L36" i="4"/>
  <c r="AB38" i="3"/>
  <c r="V19" i="26"/>
  <c r="B19" i="36"/>
  <c r="R42" i="4"/>
  <c r="S42" i="4"/>
  <c r="R53" i="4"/>
  <c r="S53" i="4"/>
  <c r="R55" i="4"/>
  <c r="S55" i="4"/>
  <c r="R34" i="4"/>
  <c r="S34" i="4"/>
  <c r="R28" i="4"/>
  <c r="S28" i="4"/>
  <c r="R57" i="4"/>
  <c r="S57" i="4"/>
  <c r="R45" i="4"/>
  <c r="S45" i="4"/>
  <c r="R38" i="4"/>
  <c r="S38" i="4"/>
  <c r="R29" i="4"/>
  <c r="S29" i="4"/>
  <c r="R37" i="4"/>
  <c r="S37" i="4"/>
  <c r="R41" i="4"/>
  <c r="S41" i="4"/>
  <c r="R61" i="4"/>
  <c r="S61" i="4"/>
  <c r="Q48" i="4"/>
  <c r="R48" i="4"/>
  <c r="S48" i="4"/>
  <c r="E11" i="10"/>
  <c r="E24" i="10"/>
  <c r="D36" i="33"/>
  <c r="C44" i="7"/>
  <c r="E10" i="10"/>
  <c r="C53" i="26"/>
  <c r="D23" i="10"/>
  <c r="D28" i="10"/>
  <c r="D24" i="10"/>
  <c r="C51" i="26"/>
  <c r="V24" i="26"/>
  <c r="C52" i="26"/>
  <c r="C44" i="26"/>
  <c r="P63" i="4"/>
  <c r="AN65" i="3"/>
  <c r="Z63" i="4"/>
  <c r="H15" i="25"/>
  <c r="H26" i="25"/>
  <c r="Q44" i="7"/>
  <c r="E44" i="7"/>
  <c r="L44" i="7"/>
  <c r="R44" i="7"/>
  <c r="D14" i="10"/>
  <c r="L63" i="4"/>
  <c r="AB65" i="3"/>
  <c r="I44" i="26"/>
  <c r="L44" i="26"/>
  <c r="F44" i="26"/>
  <c r="I19" i="25"/>
  <c r="I28" i="25"/>
  <c r="I21" i="25"/>
  <c r="H23" i="25"/>
  <c r="I12" i="25"/>
  <c r="I23" i="25"/>
  <c r="I22" i="25"/>
  <c r="I14" i="25"/>
  <c r="H25" i="25"/>
  <c r="D27" i="10"/>
  <c r="E25" i="10"/>
  <c r="D22" i="10"/>
  <c r="Q43" i="4"/>
  <c r="Q30" i="4"/>
  <c r="Q51" i="4"/>
  <c r="Q39" i="4"/>
  <c r="E21" i="10"/>
  <c r="Q60" i="4"/>
  <c r="R60" i="4"/>
  <c r="S60" i="4"/>
  <c r="Q62" i="4"/>
  <c r="R62" i="4"/>
  <c r="S62" i="4"/>
  <c r="Q49" i="4"/>
  <c r="Q33" i="4"/>
  <c r="Q36" i="4"/>
  <c r="V18" i="26"/>
  <c r="B18" i="36"/>
  <c r="B23" i="36"/>
  <c r="R36" i="4"/>
  <c r="S36" i="4"/>
  <c r="R33" i="4"/>
  <c r="S33" i="4"/>
  <c r="R43" i="4"/>
  <c r="S43" i="4"/>
  <c r="R39" i="4"/>
  <c r="S39" i="4"/>
  <c r="R49" i="4"/>
  <c r="S49" i="4"/>
  <c r="R51" i="4"/>
  <c r="S51" i="4"/>
  <c r="R30" i="4"/>
  <c r="S30" i="4"/>
  <c r="E14" i="10"/>
  <c r="C55" i="26"/>
  <c r="V44" i="26"/>
  <c r="D29" i="10"/>
  <c r="D26" i="10"/>
  <c r="H29" i="25"/>
  <c r="H27" i="25"/>
  <c r="Q63" i="4"/>
  <c r="I15" i="25"/>
  <c r="I26" i="25"/>
  <c r="I24" i="25"/>
  <c r="I25" i="25"/>
  <c r="E23" i="10"/>
  <c r="E28" i="10"/>
  <c r="E22" i="10"/>
  <c r="V17" i="26"/>
  <c r="B17" i="36"/>
  <c r="R63" i="4"/>
  <c r="S63" i="4"/>
  <c r="V56" i="26"/>
  <c r="B43" i="36"/>
  <c r="I27" i="25"/>
  <c r="I29" i="25"/>
  <c r="E29" i="10"/>
  <c r="E26" i="10"/>
  <c r="F67" i="3"/>
  <c r="AD67" i="3"/>
  <c r="F66" i="3"/>
  <c r="AD66" i="3"/>
  <c r="F68" i="3"/>
  <c r="AD68" i="3"/>
  <c r="V16" i="26"/>
  <c r="B16" i="36"/>
  <c r="H66" i="3"/>
  <c r="H67" i="3"/>
  <c r="L68" i="3"/>
  <c r="H68" i="3"/>
  <c r="N66" i="3"/>
  <c r="P67" i="3"/>
  <c r="D46" i="26"/>
  <c r="E46" i="26"/>
  <c r="P68" i="3"/>
  <c r="D47" i="26"/>
  <c r="E47" i="26"/>
  <c r="L66" i="3"/>
  <c r="I56" i="24"/>
  <c r="N68" i="3"/>
  <c r="BD48" i="45"/>
  <c r="N67" i="3"/>
  <c r="BD47" i="45"/>
  <c r="P66" i="3"/>
  <c r="D45" i="26"/>
  <c r="L67" i="3"/>
  <c r="Q56" i="24"/>
  <c r="BD46" i="45"/>
  <c r="V15" i="26"/>
  <c r="B15" i="36"/>
  <c r="N56" i="24"/>
  <c r="F56" i="24"/>
  <c r="H56" i="24"/>
  <c r="R56" i="24"/>
  <c r="B45" i="26"/>
  <c r="Q45" i="26"/>
  <c r="K56" i="24"/>
  <c r="P56" i="24"/>
  <c r="O56" i="24"/>
  <c r="D56" i="24"/>
  <c r="M56" i="24"/>
  <c r="J56" i="24"/>
  <c r="N27" i="8"/>
  <c r="G56" i="24"/>
  <c r="B45" i="7"/>
  <c r="C45" i="7"/>
  <c r="C56" i="24"/>
  <c r="L56" i="24"/>
  <c r="E56" i="24"/>
  <c r="B47" i="7"/>
  <c r="C47" i="7"/>
  <c r="B47" i="26"/>
  <c r="C45" i="26"/>
  <c r="V45" i="26"/>
  <c r="B44" i="36"/>
  <c r="E45" i="26"/>
  <c r="L57" i="24"/>
  <c r="M57" i="24"/>
  <c r="H57" i="24"/>
  <c r="G57" i="24"/>
  <c r="B46" i="7"/>
  <c r="R57" i="24"/>
  <c r="B46" i="26"/>
  <c r="Q46" i="26"/>
  <c r="F57" i="24"/>
  <c r="C57" i="24"/>
  <c r="P57" i="24"/>
  <c r="E57" i="24"/>
  <c r="Q57" i="24"/>
  <c r="N57" i="24"/>
  <c r="K57" i="24"/>
  <c r="D57" i="24"/>
  <c r="O57" i="24"/>
  <c r="J57" i="24"/>
  <c r="I57" i="24"/>
  <c r="E45" i="7"/>
  <c r="V14" i="26"/>
  <c r="B14" i="36"/>
  <c r="F45" i="26"/>
  <c r="D37" i="33"/>
  <c r="D15" i="10"/>
  <c r="D38" i="33"/>
  <c r="C46" i="7"/>
  <c r="C46" i="26"/>
  <c r="V46" i="26"/>
  <c r="B45" i="36"/>
  <c r="F46" i="26"/>
  <c r="C47" i="26"/>
  <c r="F47" i="26"/>
  <c r="E46" i="7"/>
  <c r="D16" i="10"/>
  <c r="D17" i="10"/>
  <c r="E47" i="7"/>
  <c r="V13" i="26"/>
  <c r="B13" i="36"/>
  <c r="V12" i="26"/>
  <c r="B12" i="36"/>
  <c r="V11" i="26"/>
  <c r="B11" i="36"/>
  <c r="V10" i="26"/>
  <c r="B10" i="36"/>
  <c r="V9" i="26"/>
  <c r="B9" i="36"/>
  <c r="V8" i="26"/>
  <c r="B7" i="36"/>
  <c r="B8" i="36"/>
</calcChain>
</file>

<file path=xl/sharedStrings.xml><?xml version="1.0" encoding="utf-8"?>
<sst xmlns="http://schemas.openxmlformats.org/spreadsheetml/2006/main" count="4929" uniqueCount="1642">
  <si>
    <t>year</t>
  </si>
  <si>
    <t>series</t>
  </si>
  <si>
    <t>iso</t>
  </si>
  <si>
    <t>HH_NPISH_B101_L</t>
  </si>
  <si>
    <t>HH_NPISH_B1g_R</t>
  </si>
  <si>
    <t>HH_NPISH_B1g_U</t>
  </si>
  <si>
    <t>HH_NPISH_B1n_U</t>
  </si>
  <si>
    <t>HH_NPISH_B2g_R</t>
  </si>
  <si>
    <t>HH_NPISH_B2g_U</t>
  </si>
  <si>
    <t>HH_NPISH_B3g_R</t>
  </si>
  <si>
    <t>HH_NPISH_B3g_U</t>
  </si>
  <si>
    <t>HH_NPISH_B5g_R</t>
  </si>
  <si>
    <t>HH_NPISH_B5g_U</t>
  </si>
  <si>
    <t>HH_NPISH_B6g_R</t>
  </si>
  <si>
    <t>HH_NPISH_B6g_U</t>
  </si>
  <si>
    <t>HH_NPISH_B8g_L</t>
  </si>
  <si>
    <t>HH_NPISH_B8g_U</t>
  </si>
  <si>
    <t>HH_NPISH_B9_A</t>
  </si>
  <si>
    <t>HH_NPISH_B9_L</t>
  </si>
  <si>
    <t>HH_NPISH_D1_R</t>
  </si>
  <si>
    <t>HH_NPISH_D1_U</t>
  </si>
  <si>
    <t>HH_NPISH_D29D39_U</t>
  </si>
  <si>
    <t>HH_NPISH_D29_U</t>
  </si>
  <si>
    <t>HH_NPISH_D39_U</t>
  </si>
  <si>
    <t>HH_NPISH_D4_R</t>
  </si>
  <si>
    <t>HH_NPISH_D4_U</t>
  </si>
  <si>
    <t>HH_NPISH_D5_U</t>
  </si>
  <si>
    <t>HH_NPISH_D61_R</t>
  </si>
  <si>
    <t>HH_NPISH_D61_U</t>
  </si>
  <si>
    <t>HH_NPISH_D62_R</t>
  </si>
  <si>
    <t>HH_NPISH_D62_U</t>
  </si>
  <si>
    <t>HH_NPISH_D7_R</t>
  </si>
  <si>
    <t>HH_NPISH_D7_U</t>
  </si>
  <si>
    <t>HH_NPISH_D8_R</t>
  </si>
  <si>
    <t>HH_NPISH_D9_L</t>
  </si>
  <si>
    <t>HH_NPISH_D9_L1</t>
  </si>
  <si>
    <t>HH_NPISH_D9_L2</t>
  </si>
  <si>
    <t>HH_NPISH_D9_L3</t>
  </si>
  <si>
    <t>HH_NPISH_F2_A</t>
  </si>
  <si>
    <t>HH_NPISH_F2_L</t>
  </si>
  <si>
    <t>HH_NPISH_F3_A</t>
  </si>
  <si>
    <t>HH_NPISH_F3_L</t>
  </si>
  <si>
    <t>HH_NPISH_F4_A</t>
  </si>
  <si>
    <t>HH_NPISH_F4_L</t>
  </si>
  <si>
    <t>HH_NPISH_F5_A</t>
  </si>
  <si>
    <t>HH_NPISH_F5_L</t>
  </si>
  <si>
    <t>HH_NPISH_F6_A</t>
  </si>
  <si>
    <t>HH_NPISH_F6_L</t>
  </si>
  <si>
    <t>HH_NPISH_F7_A</t>
  </si>
  <si>
    <t>HH_NPISH_F7_L</t>
  </si>
  <si>
    <t>HH_NPISH_F8_A</t>
  </si>
  <si>
    <t>HH_NPISH_F8_L</t>
  </si>
  <si>
    <t>HH_NPISH_F_A</t>
  </si>
  <si>
    <t>HH_NPISH_F_L</t>
  </si>
  <si>
    <t>HH_NPISH_K1_U</t>
  </si>
  <si>
    <t>HH_NPISH_K2_A</t>
  </si>
  <si>
    <t>HH_NPISH_P1_R</t>
  </si>
  <si>
    <t>HH_NPISH_P2_U</t>
  </si>
  <si>
    <t>HH_NPISH_P31_U</t>
  </si>
  <si>
    <t>HH_NPISH_P3_U</t>
  </si>
  <si>
    <t>HH_NPISH_P51_A</t>
  </si>
  <si>
    <t>HH_NPISH_P52_A</t>
  </si>
  <si>
    <t>HH_NPISH_P53_A</t>
  </si>
  <si>
    <t>HH_NPISH_P5_A</t>
  </si>
  <si>
    <t>HH_NPISH__L</t>
  </si>
  <si>
    <t>HH_NPISH__U</t>
  </si>
  <si>
    <t>CORPS_B101_L</t>
  </si>
  <si>
    <t>CORPS_B1g_</t>
  </si>
  <si>
    <t>CORPS_B1g_1</t>
  </si>
  <si>
    <t>CORPS_B1g_2</t>
  </si>
  <si>
    <t>CORPS_B1n_</t>
  </si>
  <si>
    <t>CORPS_B2g_</t>
  </si>
  <si>
    <t>CORPS_B2g_1</t>
  </si>
  <si>
    <t>CORPS_B2g_2</t>
  </si>
  <si>
    <t>CORPS_B5g_1</t>
  </si>
  <si>
    <t>CORPS_B5g_2</t>
  </si>
  <si>
    <t>CORPS_B6g_</t>
  </si>
  <si>
    <t>CORPS_B8g_</t>
  </si>
  <si>
    <t>CORPS_B8g_L</t>
  </si>
  <si>
    <t>CORPS_B9_A</t>
  </si>
  <si>
    <t>CORPS_B9_L</t>
  </si>
  <si>
    <t>CORPS_D1_</t>
  </si>
  <si>
    <t>CORPS_D29D39_</t>
  </si>
  <si>
    <t>CORPS_D29_</t>
  </si>
  <si>
    <t>CORPS_D39_</t>
  </si>
  <si>
    <t>CORPS_D4_1</t>
  </si>
  <si>
    <t>CORPS_D4_2</t>
  </si>
  <si>
    <t>CORPS_D5_</t>
  </si>
  <si>
    <t>CORPS_D61_</t>
  </si>
  <si>
    <t>CORPS_D62_</t>
  </si>
  <si>
    <t>CORPS_D7_</t>
  </si>
  <si>
    <t>CORPS_D7_1</t>
  </si>
  <si>
    <t>CORPS_D7_2</t>
  </si>
  <si>
    <t>CORPS_D8_</t>
  </si>
  <si>
    <t>CORPS_D9_L</t>
  </si>
  <si>
    <t>CORPS_D9_L1</t>
  </si>
  <si>
    <t>CORPS_D9_L2</t>
  </si>
  <si>
    <t>CORPS_D9_L3</t>
  </si>
  <si>
    <t>CORPS_F1_A</t>
  </si>
  <si>
    <t>CORPS_F2_A</t>
  </si>
  <si>
    <t>CORPS_F2_L</t>
  </si>
  <si>
    <t>CORPS_F3_A</t>
  </si>
  <si>
    <t>CORPS_F3_L</t>
  </si>
  <si>
    <t>CORPS_F4_A</t>
  </si>
  <si>
    <t>CORPS_F4_L</t>
  </si>
  <si>
    <t>CORPS_F5_A</t>
  </si>
  <si>
    <t>CORPS_F5_L</t>
  </si>
  <si>
    <t>CORPS_F6_A</t>
  </si>
  <si>
    <t>CORPS_F6_L</t>
  </si>
  <si>
    <t>CORPS_F7_A</t>
  </si>
  <si>
    <t>CORPS_F7_L</t>
  </si>
  <si>
    <t>CORPS_F8_A</t>
  </si>
  <si>
    <t>CORPS_F8_L</t>
  </si>
  <si>
    <t>CORPS_F_A</t>
  </si>
  <si>
    <t>CORPS_F_L</t>
  </si>
  <si>
    <t>CORPS_K1_</t>
  </si>
  <si>
    <t>CORPS_K2_A</t>
  </si>
  <si>
    <t>CORPS_P1_</t>
  </si>
  <si>
    <t>CORPS_P2_</t>
  </si>
  <si>
    <t>CORPS_P51_A</t>
  </si>
  <si>
    <t>CORPS_P52_A</t>
  </si>
  <si>
    <t>CORPS_P53_A</t>
  </si>
  <si>
    <t>CORPS_P5_A</t>
  </si>
  <si>
    <t>CORPS__</t>
  </si>
  <si>
    <t>CORPS__L</t>
  </si>
  <si>
    <t>CORPS_b6G_</t>
  </si>
  <si>
    <t>NPISH_B101_L</t>
  </si>
  <si>
    <t>NPISH_B1g_R</t>
  </si>
  <si>
    <t>NPISH_B1g_U</t>
  </si>
  <si>
    <t>NPISH_B1n_U</t>
  </si>
  <si>
    <t>NPISH_B2g_R</t>
  </si>
  <si>
    <t>NPISH_B2g_U</t>
  </si>
  <si>
    <t>NPISH_B5g_R</t>
  </si>
  <si>
    <t>NPISH_B5g_U</t>
  </si>
  <si>
    <t>NPISH_B6g_R</t>
  </si>
  <si>
    <t>NPISH_B6g_U</t>
  </si>
  <si>
    <t>NPISH_B8g_L</t>
  </si>
  <si>
    <t>NPISH_B8g_U</t>
  </si>
  <si>
    <t>NPISH_B9_A</t>
  </si>
  <si>
    <t>NPISH_B9_L</t>
  </si>
  <si>
    <t>NPISH_D1_U</t>
  </si>
  <si>
    <t>NPISH_D29D39_U</t>
  </si>
  <si>
    <t>NPISH_D29_U</t>
  </si>
  <si>
    <t>NPISH_D39_U</t>
  </si>
  <si>
    <t>NPISH_D4_R</t>
  </si>
  <si>
    <t>NPISH_D4_U</t>
  </si>
  <si>
    <t>NPISH_D5_U</t>
  </si>
  <si>
    <t>NPISH_D61_R</t>
  </si>
  <si>
    <t>NPISH_D62_U</t>
  </si>
  <si>
    <t>NPISH_D7_R</t>
  </si>
  <si>
    <t>NPISH_D7_U</t>
  </si>
  <si>
    <t>NPISH_D8_U</t>
  </si>
  <si>
    <t>NPISH_D9_L</t>
  </si>
  <si>
    <t>NPISH_D9_L1</t>
  </si>
  <si>
    <t>NPISH_D9_L2</t>
  </si>
  <si>
    <t>NPISH_D9_L3</t>
  </si>
  <si>
    <t>NPISH_F2_A</t>
  </si>
  <si>
    <t>NPISH_F2_L</t>
  </si>
  <si>
    <t>NPISH_F3_A</t>
  </si>
  <si>
    <t>NPISH_F3_L</t>
  </si>
  <si>
    <t>NPISH_F4_A</t>
  </si>
  <si>
    <t>NPISH_F4_L</t>
  </si>
  <si>
    <t>NPISH_F5_A</t>
  </si>
  <si>
    <t>NPISH_F5_L</t>
  </si>
  <si>
    <t>NPISH_F6_A</t>
  </si>
  <si>
    <t>NPISH_F6_L</t>
  </si>
  <si>
    <t>NPISH_F7_A</t>
  </si>
  <si>
    <t>NPISH_F7_L</t>
  </si>
  <si>
    <t>NPISH_F8_A</t>
  </si>
  <si>
    <t>NPISH_F8_L</t>
  </si>
  <si>
    <t>NPISH_F_A</t>
  </si>
  <si>
    <t>NPISH_F_L</t>
  </si>
  <si>
    <t>NPISH_K1_U</t>
  </si>
  <si>
    <t>NPISH_K2_A</t>
  </si>
  <si>
    <t>NPISH_P1_R</t>
  </si>
  <si>
    <t>NPISH_P2_U</t>
  </si>
  <si>
    <t>NPISH_P31_U</t>
  </si>
  <si>
    <t>NPISH_P3_U</t>
  </si>
  <si>
    <t>NPISH_P51_A</t>
  </si>
  <si>
    <t>NPISH_P52_A</t>
  </si>
  <si>
    <t>NPISH_P53_A</t>
  </si>
  <si>
    <t>NPISH_P5_A</t>
  </si>
  <si>
    <t>NPISH__L</t>
  </si>
  <si>
    <t>HH_B101_L</t>
  </si>
  <si>
    <t>HH_B1g_R</t>
  </si>
  <si>
    <t>HH_B1g_U</t>
  </si>
  <si>
    <t>HH_B1n_U</t>
  </si>
  <si>
    <t>HH_B2g_R</t>
  </si>
  <si>
    <t>HH_B2g_U</t>
  </si>
  <si>
    <t>HH_B3g_R</t>
  </si>
  <si>
    <t>HH_B3g_U</t>
  </si>
  <si>
    <t>HH_B5g_R</t>
  </si>
  <si>
    <t>HH_B5g_U</t>
  </si>
  <si>
    <t>HH_B6g_R</t>
  </si>
  <si>
    <t>HH_B6g_U</t>
  </si>
  <si>
    <t>HH_B8g_L</t>
  </si>
  <si>
    <t>HH_B8g_U</t>
  </si>
  <si>
    <t>HH_B9_A</t>
  </si>
  <si>
    <t>HH_B9_L</t>
  </si>
  <si>
    <t>HH_D1_R</t>
  </si>
  <si>
    <t>HH_D1_U</t>
  </si>
  <si>
    <t>HH_D29D39_U</t>
  </si>
  <si>
    <t>HH_D29_U</t>
  </si>
  <si>
    <t>HH_D39_U</t>
  </si>
  <si>
    <t>HH_D4_R</t>
  </si>
  <si>
    <t>HH_D4_U</t>
  </si>
  <si>
    <t>HH_D5_U</t>
  </si>
  <si>
    <t>HH_D61_R</t>
  </si>
  <si>
    <t>HH_D61_U</t>
  </si>
  <si>
    <t>HH_D62_R</t>
  </si>
  <si>
    <t>HH_D62_U</t>
  </si>
  <si>
    <t>HH_D7_R</t>
  </si>
  <si>
    <t>HH_D7_U</t>
  </si>
  <si>
    <t>HH_D8_R</t>
  </si>
  <si>
    <t>HH_D9_L</t>
  </si>
  <si>
    <t>HH_D9_L1</t>
  </si>
  <si>
    <t>HH_D9_L2</t>
  </si>
  <si>
    <t>HH_D9_L3</t>
  </si>
  <si>
    <t>HH_F2_A</t>
  </si>
  <si>
    <t>HH_F2_L</t>
  </si>
  <si>
    <t>HH_F3_A</t>
  </si>
  <si>
    <t>HH_F3_L</t>
  </si>
  <si>
    <t>HH_F4_A</t>
  </si>
  <si>
    <t>HH_F4_L</t>
  </si>
  <si>
    <t>HH_F5_A</t>
  </si>
  <si>
    <t>HH_F5_L</t>
  </si>
  <si>
    <t>HH_F6_A</t>
  </si>
  <si>
    <t>HH_F6_L</t>
  </si>
  <si>
    <t>HH_F7_A</t>
  </si>
  <si>
    <t>HH_F7_L</t>
  </si>
  <si>
    <t>HH_F8_A</t>
  </si>
  <si>
    <t>HH_F8_L</t>
  </si>
  <si>
    <t>HH_F_A</t>
  </si>
  <si>
    <t>HH_F_L</t>
  </si>
  <si>
    <t>HH_K1_U</t>
  </si>
  <si>
    <t>HH_K2_A</t>
  </si>
  <si>
    <t>HH_P1_R</t>
  </si>
  <si>
    <t>HH_P2_U</t>
  </si>
  <si>
    <t>HH_P31_U</t>
  </si>
  <si>
    <t>HH_P3_U</t>
  </si>
  <si>
    <t>HH_P51_A</t>
  </si>
  <si>
    <t>HH_P52_A</t>
  </si>
  <si>
    <t>HH_P53_A</t>
  </si>
  <si>
    <t>HH_P5_A</t>
  </si>
  <si>
    <t>HH__L</t>
  </si>
  <si>
    <t>GG_B101_L</t>
  </si>
  <si>
    <t>GG_B1g_R</t>
  </si>
  <si>
    <t>GG_B1g_U</t>
  </si>
  <si>
    <t>GG_B1n_U</t>
  </si>
  <si>
    <t>GG_B2g_R</t>
  </si>
  <si>
    <t>GG_B2g_U</t>
  </si>
  <si>
    <t>GG_B5g_R</t>
  </si>
  <si>
    <t>GG_B5g_U</t>
  </si>
  <si>
    <t>GG_B6g_R</t>
  </si>
  <si>
    <t>GG_B6g_U</t>
  </si>
  <si>
    <t>GG_B8g_L</t>
  </si>
  <si>
    <t>GG_B8g_U</t>
  </si>
  <si>
    <t>GG_B9_A</t>
  </si>
  <si>
    <t>GG_B9_L</t>
  </si>
  <si>
    <t>GG_D1_U</t>
  </si>
  <si>
    <t>GG_D21_R</t>
  </si>
  <si>
    <t>GG_D29D39_U</t>
  </si>
  <si>
    <t>GG_D29_R</t>
  </si>
  <si>
    <t>GG_D29_U</t>
  </si>
  <si>
    <t>GG_D2D3_R</t>
  </si>
  <si>
    <t>GG_D2_R</t>
  </si>
  <si>
    <t>GG_D31_R</t>
  </si>
  <si>
    <t>GG_D39_R</t>
  </si>
  <si>
    <t>GG_D39_U</t>
  </si>
  <si>
    <t>GG_D3_R</t>
  </si>
  <si>
    <t>GG_D4_R</t>
  </si>
  <si>
    <t>GG_D4_U</t>
  </si>
  <si>
    <t>GG_D5_R</t>
  </si>
  <si>
    <t>GG_D5_U</t>
  </si>
  <si>
    <t>GG_D61_R</t>
  </si>
  <si>
    <t>GG_D62_U</t>
  </si>
  <si>
    <t>GG_D7_R</t>
  </si>
  <si>
    <t>GG_D7_U</t>
  </si>
  <si>
    <t>GG_D8_U</t>
  </si>
  <si>
    <t>GG_D9_L</t>
  </si>
  <si>
    <t>GG_D9_L1</t>
  </si>
  <si>
    <t>GG_D9_L2</t>
  </si>
  <si>
    <t>GG_D9_L3</t>
  </si>
  <si>
    <t>GG_F1_A</t>
  </si>
  <si>
    <t>GG_F2_A</t>
  </si>
  <si>
    <t>GG_F2_L</t>
  </si>
  <si>
    <t>GG_F3_A</t>
  </si>
  <si>
    <t>GG_F3_L</t>
  </si>
  <si>
    <t>GG_F4_A</t>
  </si>
  <si>
    <t>GG_F4_L</t>
  </si>
  <si>
    <t>GG_F5_A</t>
  </si>
  <si>
    <t>GG_F5_L</t>
  </si>
  <si>
    <t>GG_F6_A</t>
  </si>
  <si>
    <t>GG_F6_L</t>
  </si>
  <si>
    <t>GG_F7_A</t>
  </si>
  <si>
    <t>GG_F7_L</t>
  </si>
  <si>
    <t>GG_F8_A</t>
  </si>
  <si>
    <t>GG_F8_L</t>
  </si>
  <si>
    <t>GG_F_A</t>
  </si>
  <si>
    <t>GG_F_L</t>
  </si>
  <si>
    <t>GG_K1_U</t>
  </si>
  <si>
    <t>GG_K2_A</t>
  </si>
  <si>
    <t>GG_P1_R</t>
  </si>
  <si>
    <t>GG_P2_U</t>
  </si>
  <si>
    <t>GG_P31_U</t>
  </si>
  <si>
    <t>GG_P32_U</t>
  </si>
  <si>
    <t>GG_P3_U</t>
  </si>
  <si>
    <t>GG_P51_A</t>
  </si>
  <si>
    <t>GG_P52_A</t>
  </si>
  <si>
    <t>GG_P53_A</t>
  </si>
  <si>
    <t>GG_P5_A</t>
  </si>
  <si>
    <t>GG__L</t>
  </si>
  <si>
    <t>FC_B101_L</t>
  </si>
  <si>
    <t>FC_B1g_</t>
  </si>
  <si>
    <t>FC_B1g_1</t>
  </si>
  <si>
    <t>FC_B1g_2</t>
  </si>
  <si>
    <t>FC_B1n_</t>
  </si>
  <si>
    <t>FC_B2g_</t>
  </si>
  <si>
    <t>FC_B2g_1</t>
  </si>
  <si>
    <t>FC_B2g_2</t>
  </si>
  <si>
    <t>FC_B5g_</t>
  </si>
  <si>
    <t>FC_B5g_1</t>
  </si>
  <si>
    <t>FC_B5g_2</t>
  </si>
  <si>
    <t>FC_B6g_1</t>
  </si>
  <si>
    <t>FC_B6g_2</t>
  </si>
  <si>
    <t>FC_B8g_</t>
  </si>
  <si>
    <t>FC_B8g_L</t>
  </si>
  <si>
    <t>FC_B9_A</t>
  </si>
  <si>
    <t>FC_B9_L</t>
  </si>
  <si>
    <t>FC_D1_</t>
  </si>
  <si>
    <t>FC_D29D39_</t>
  </si>
  <si>
    <t>FC_D29_</t>
  </si>
  <si>
    <t>FC_D39_</t>
  </si>
  <si>
    <t>FC_D4_</t>
  </si>
  <si>
    <t>FC_D4_1</t>
  </si>
  <si>
    <t>FC_D4_2</t>
  </si>
  <si>
    <t>FC_D5_</t>
  </si>
  <si>
    <t>FC_D61_</t>
  </si>
  <si>
    <t>FC_D62_</t>
  </si>
  <si>
    <t>FC_D7_</t>
  </si>
  <si>
    <t>FC_D7_1</t>
  </si>
  <si>
    <t>FC_D7_2</t>
  </si>
  <si>
    <t>FC_D8_</t>
  </si>
  <si>
    <t>FC_D9_L</t>
  </si>
  <si>
    <t>FC_D9_L1</t>
  </si>
  <si>
    <t>FC_D9_L2</t>
  </si>
  <si>
    <t>FC_D9_L3</t>
  </si>
  <si>
    <t>FC_F1_A</t>
  </si>
  <si>
    <t>FC_F2_A</t>
  </si>
  <si>
    <t>FC_F2_L</t>
  </si>
  <si>
    <t>FC_F3_A</t>
  </si>
  <si>
    <t>FC_F3_L</t>
  </si>
  <si>
    <t>FC_F4_A</t>
  </si>
  <si>
    <t>FC_F4_L</t>
  </si>
  <si>
    <t>FC_F5_A</t>
  </si>
  <si>
    <t>FC_F5_L</t>
  </si>
  <si>
    <t>FC_F6_A</t>
  </si>
  <si>
    <t>FC_F6_L</t>
  </si>
  <si>
    <t>FC_F7_A</t>
  </si>
  <si>
    <t>FC_F7_L</t>
  </si>
  <si>
    <t>FC_F8_A</t>
  </si>
  <si>
    <t>FC_F8_L</t>
  </si>
  <si>
    <t>FC_F_A</t>
  </si>
  <si>
    <t>FC_F_L</t>
  </si>
  <si>
    <t>FC_K1_</t>
  </si>
  <si>
    <t>FC_K2_A</t>
  </si>
  <si>
    <t>FC_P1_</t>
  </si>
  <si>
    <t>FC_P2_</t>
  </si>
  <si>
    <t>FC_P51_A</t>
  </si>
  <si>
    <t>FC_P52_A</t>
  </si>
  <si>
    <t>FC_P53_A</t>
  </si>
  <si>
    <t>FC_P5_A</t>
  </si>
  <si>
    <t>FC__</t>
  </si>
  <si>
    <t>FC__1</t>
  </si>
  <si>
    <t>FC__2</t>
  </si>
  <si>
    <t>FC__L</t>
  </si>
  <si>
    <t>NFC_B101_L</t>
  </si>
  <si>
    <t>NFC_B1g_</t>
  </si>
  <si>
    <t>NFC_B1g_1</t>
  </si>
  <si>
    <t>NFC_B1g_2</t>
  </si>
  <si>
    <t>NFC_B1n_</t>
  </si>
  <si>
    <t>NFC_B2g_</t>
  </si>
  <si>
    <t>NFC_B2g_1</t>
  </si>
  <si>
    <t>NFC_B2g_2</t>
  </si>
  <si>
    <t>NFC_B5g_</t>
  </si>
  <si>
    <t>NFC_B5g_1</t>
  </si>
  <si>
    <t>NFC_B5g_2</t>
  </si>
  <si>
    <t>NFC_B6g_1</t>
  </si>
  <si>
    <t>NFC_B6g_2</t>
  </si>
  <si>
    <t>NFC_B8g_</t>
  </si>
  <si>
    <t>NFC_B8g_L</t>
  </si>
  <si>
    <t>NFC_B9_A</t>
  </si>
  <si>
    <t>NFC_B9_L</t>
  </si>
  <si>
    <t>NFC_D1_</t>
  </si>
  <si>
    <t>NFC_D29D39_</t>
  </si>
  <si>
    <t>NFC_D29_</t>
  </si>
  <si>
    <t>NFC_D39_</t>
  </si>
  <si>
    <t>NFC_D4_</t>
  </si>
  <si>
    <t>NFC_D4_1</t>
  </si>
  <si>
    <t>NFC_D4_2</t>
  </si>
  <si>
    <t>NFC_D5_</t>
  </si>
  <si>
    <t>NFC_D61_</t>
  </si>
  <si>
    <t>NFC_D62_</t>
  </si>
  <si>
    <t>NFC_D7_</t>
  </si>
  <si>
    <t>NFC_D7_1</t>
  </si>
  <si>
    <t>NFC_D7_2</t>
  </si>
  <si>
    <t>NFC_D8_</t>
  </si>
  <si>
    <t>NFC_D9_L</t>
  </si>
  <si>
    <t>NFC_D9_L1</t>
  </si>
  <si>
    <t>NFC_D9_L2</t>
  </si>
  <si>
    <t>NFC_D9_L3</t>
  </si>
  <si>
    <t>NFC_F1_A</t>
  </si>
  <si>
    <t>NFC_F2_A</t>
  </si>
  <si>
    <t>NFC_F2_L</t>
  </si>
  <si>
    <t>NFC_F3_A</t>
  </si>
  <si>
    <t>NFC_F3_L</t>
  </si>
  <si>
    <t>NFC_F4_A</t>
  </si>
  <si>
    <t>NFC_F4_L</t>
  </si>
  <si>
    <t>NFC_F5_A</t>
  </si>
  <si>
    <t>NFC_F5_L</t>
  </si>
  <si>
    <t>NFC_F6_A</t>
  </si>
  <si>
    <t>NFC_F6_L</t>
  </si>
  <si>
    <t>NFC_F7_A</t>
  </si>
  <si>
    <t>NFC_F7_L</t>
  </si>
  <si>
    <t>NFC_F8_A</t>
  </si>
  <si>
    <t>NFC_F8_L</t>
  </si>
  <si>
    <t>NFC_F_A</t>
  </si>
  <si>
    <t>NFC_F_L</t>
  </si>
  <si>
    <t>NFC_K1_</t>
  </si>
  <si>
    <t>NFC_K2_A</t>
  </si>
  <si>
    <t>NFC_P1_</t>
  </si>
  <si>
    <t>NFC_P2_</t>
  </si>
  <si>
    <t>NFC_P51_A</t>
  </si>
  <si>
    <t>NFC_P52_A</t>
  </si>
  <si>
    <t>NFC_P53_A</t>
  </si>
  <si>
    <t>NFC_P5_A</t>
  </si>
  <si>
    <t>NFC__L</t>
  </si>
  <si>
    <t>RoW_B101_L</t>
  </si>
  <si>
    <t>RoW_B11_R</t>
  </si>
  <si>
    <t>RoW_B11_U</t>
  </si>
  <si>
    <t>RoW_B12_L</t>
  </si>
  <si>
    <t>RoW_B12_U</t>
  </si>
  <si>
    <t>RoW_B9_A</t>
  </si>
  <si>
    <t>RoW_B9_L</t>
  </si>
  <si>
    <t>RoW_D1_R</t>
  </si>
  <si>
    <t>RoW_D1_U</t>
  </si>
  <si>
    <t>RoW_D21_R</t>
  </si>
  <si>
    <t>RoW_D21_U</t>
  </si>
  <si>
    <t>RoW_D29_R</t>
  </si>
  <si>
    <t>RoW_D29_U</t>
  </si>
  <si>
    <t>RoW_D2D3_R</t>
  </si>
  <si>
    <t>RoW_D2D3_U</t>
  </si>
  <si>
    <t>RoW_D2_R</t>
  </si>
  <si>
    <t>RoW_D2_U</t>
  </si>
  <si>
    <t>RoW_D31_R</t>
  </si>
  <si>
    <t>RoW_D31_U</t>
  </si>
  <si>
    <t>RoW_D39_R</t>
  </si>
  <si>
    <t>RoW_D39_U</t>
  </si>
  <si>
    <t>RoW_D3_R</t>
  </si>
  <si>
    <t>RoW_D3_U</t>
  </si>
  <si>
    <t>RoW_D4_R</t>
  </si>
  <si>
    <t>RoW_D4_U</t>
  </si>
  <si>
    <t>RoW_D5_R</t>
  </si>
  <si>
    <t>RoW_D5_U</t>
  </si>
  <si>
    <t>RoW_D61_R</t>
  </si>
  <si>
    <t>RoW_D61_U</t>
  </si>
  <si>
    <t>RoW_D62_R</t>
  </si>
  <si>
    <t>RoW_D62_U</t>
  </si>
  <si>
    <t>RoW_D7_R</t>
  </si>
  <si>
    <t>RoW_D7_U</t>
  </si>
  <si>
    <t>RoW_D8_R</t>
  </si>
  <si>
    <t>RoW_D8_U</t>
  </si>
  <si>
    <t>RoW_D9_L</t>
  </si>
  <si>
    <t>RoW_D9_L1</t>
  </si>
  <si>
    <t>RoW_D9_L2</t>
  </si>
  <si>
    <t>RoW_D9_L3</t>
  </si>
  <si>
    <t>RoW_F1_A</t>
  </si>
  <si>
    <t>RoW_F2_A</t>
  </si>
  <si>
    <t>RoW_F2_L</t>
  </si>
  <si>
    <t>RoW_F3_A</t>
  </si>
  <si>
    <t>RoW_F3_L</t>
  </si>
  <si>
    <t>RoW_F4_A</t>
  </si>
  <si>
    <t>RoW_F4_L</t>
  </si>
  <si>
    <t>RoW_F5_A</t>
  </si>
  <si>
    <t>RoW_F5_L</t>
  </si>
  <si>
    <t>RoW_F6_A</t>
  </si>
  <si>
    <t>RoW_F6_L</t>
  </si>
  <si>
    <t>RoW_F7_A</t>
  </si>
  <si>
    <t>RoW_F7_L</t>
  </si>
  <si>
    <t>RoW_F8_A</t>
  </si>
  <si>
    <t>RoW_F8_L</t>
  </si>
  <si>
    <t>RoW_F_A</t>
  </si>
  <si>
    <t>RoW_F_L</t>
  </si>
  <si>
    <t>RoW_K2_A</t>
  </si>
  <si>
    <t>RoW_P61_U</t>
  </si>
  <si>
    <t>RoW_P62_U</t>
  </si>
  <si>
    <t>RoW_P6_U</t>
  </si>
  <si>
    <t>RoW_P71_R</t>
  </si>
  <si>
    <t>RoW_P72_R</t>
  </si>
  <si>
    <t>RoW_P7_R</t>
  </si>
  <si>
    <t>RoW__L</t>
  </si>
  <si>
    <t>TOT_B101_L</t>
  </si>
  <si>
    <t>TOT_B1g_R</t>
  </si>
  <si>
    <t>TOT_B1g_U</t>
  </si>
  <si>
    <t>TOT_B1n_U</t>
  </si>
  <si>
    <t>TOT_B2g_R</t>
  </si>
  <si>
    <t>TOT_B2g_U</t>
  </si>
  <si>
    <t>TOT_B3g_R</t>
  </si>
  <si>
    <t>TOT_B3g_U</t>
  </si>
  <si>
    <t>TOT_B5g_R</t>
  </si>
  <si>
    <t>TOT_B5g_U</t>
  </si>
  <si>
    <t>TOT_B6g_R</t>
  </si>
  <si>
    <t>TOT_B6g_U</t>
  </si>
  <si>
    <t>TOT_B8g_L</t>
  </si>
  <si>
    <t>TOT_B8g_U</t>
  </si>
  <si>
    <t>TOT_B9_A</t>
  </si>
  <si>
    <t>TOT_B9_L</t>
  </si>
  <si>
    <t>TOT_D1_R</t>
  </si>
  <si>
    <t>TOT_D1_U</t>
  </si>
  <si>
    <t>TOT_D21D31_R</t>
  </si>
  <si>
    <t>TOT_D21_R</t>
  </si>
  <si>
    <t>TOT_D21_R1</t>
  </si>
  <si>
    <t>TOT_D21_R2</t>
  </si>
  <si>
    <t>TOT_D21_U</t>
  </si>
  <si>
    <t>TOT_D29_R</t>
  </si>
  <si>
    <t>TOT_D29_U</t>
  </si>
  <si>
    <t>TOT_D2D3_R</t>
  </si>
  <si>
    <t>TOT_D2D3_U</t>
  </si>
  <si>
    <t>TOT_D2_R</t>
  </si>
  <si>
    <t>TOT_D2_U</t>
  </si>
  <si>
    <t>TOT_D31_R</t>
  </si>
  <si>
    <t>TOT_D31_R1</t>
  </si>
  <si>
    <t>TOT_D31_R2</t>
  </si>
  <si>
    <t>TOT_D31_U</t>
  </si>
  <si>
    <t>TOT_D39_R</t>
  </si>
  <si>
    <t>TOT_D39_U</t>
  </si>
  <si>
    <t>TOT_D3_R</t>
  </si>
  <si>
    <t>TOT_D3_U</t>
  </si>
  <si>
    <t>TOT_D4_R</t>
  </si>
  <si>
    <t>TOT_D4_U</t>
  </si>
  <si>
    <t>TOT_D5_R</t>
  </si>
  <si>
    <t>TOT_D5_U</t>
  </si>
  <si>
    <t>TOT_D61_R</t>
  </si>
  <si>
    <t>TOT_D61_U</t>
  </si>
  <si>
    <t>TOT_D62_R</t>
  </si>
  <si>
    <t>TOT_D62_U</t>
  </si>
  <si>
    <t>TOT_D7_R</t>
  </si>
  <si>
    <t>TOT_D7_U</t>
  </si>
  <si>
    <t>TOT_D8_R</t>
  </si>
  <si>
    <t>TOT_D8_U</t>
  </si>
  <si>
    <t>TOT_D9_L</t>
  </si>
  <si>
    <t>TOT_D9_L1</t>
  </si>
  <si>
    <t>TOT_D9_L2</t>
  </si>
  <si>
    <t>TOT_D9_L3</t>
  </si>
  <si>
    <t>TOT_F1_A</t>
  </si>
  <si>
    <t>TOT_F2_A</t>
  </si>
  <si>
    <t>TOT_F2_L</t>
  </si>
  <si>
    <t>TOT_F3_A</t>
  </si>
  <si>
    <t>TOT_F3_L</t>
  </si>
  <si>
    <t>TOT_F4_A</t>
  </si>
  <si>
    <t>TOT_F4_L</t>
  </si>
  <si>
    <t>TOT_F5_A</t>
  </si>
  <si>
    <t>TOT_F5_L</t>
  </si>
  <si>
    <t>TOT_F6_A</t>
  </si>
  <si>
    <t>TOT_F6_L</t>
  </si>
  <si>
    <t>TOT_F7_A</t>
  </si>
  <si>
    <t>TOT_F7_L</t>
  </si>
  <si>
    <t>TOT_F8_A</t>
  </si>
  <si>
    <t>TOT_F8_L</t>
  </si>
  <si>
    <t>TOT_F_A</t>
  </si>
  <si>
    <t>TOT_F_L</t>
  </si>
  <si>
    <t>TOT_K1_U</t>
  </si>
  <si>
    <t>TOT_K2_A</t>
  </si>
  <si>
    <t>TOT_P119_R</t>
  </si>
  <si>
    <t>TOT_P1_R</t>
  </si>
  <si>
    <t>TOT_P2_U</t>
  </si>
  <si>
    <t>TOT_P31_U</t>
  </si>
  <si>
    <t>TOT_P32_U</t>
  </si>
  <si>
    <t>TOT_P3_U</t>
  </si>
  <si>
    <t>TOT_P51_A</t>
  </si>
  <si>
    <t>TOT_P52_A</t>
  </si>
  <si>
    <t>TOT_P53_A</t>
  </si>
  <si>
    <t>TOT_P5_A</t>
  </si>
  <si>
    <t>TOT__A</t>
  </si>
  <si>
    <t>TOT__L</t>
  </si>
  <si>
    <t>TOT__R</t>
  </si>
  <si>
    <t>TOT__R1</t>
  </si>
  <si>
    <t>TOT__R2</t>
  </si>
  <si>
    <t>TOT__U</t>
  </si>
  <si>
    <t>GEO</t>
  </si>
  <si>
    <t>_ISO3C_</t>
  </si>
  <si>
    <t>Sector</t>
    <phoneticPr fontId="7" type="noConversion"/>
  </si>
  <si>
    <t>Item</t>
    <phoneticPr fontId="7" type="noConversion"/>
  </si>
  <si>
    <t>Use or Resource</t>
  </si>
  <si>
    <t>Resource</t>
  </si>
  <si>
    <t xml:space="preserve">Resource </t>
  </si>
  <si>
    <t>Resources</t>
    <phoneticPr fontId="7" type="noConversion"/>
  </si>
  <si>
    <t>Uses</t>
    <phoneticPr fontId="7" type="noConversion"/>
  </si>
  <si>
    <t>Liabilities</t>
    <phoneticPr fontId="7" type="noConversion"/>
  </si>
  <si>
    <t>Other current transfers</t>
    <phoneticPr fontId="7" type="noConversion"/>
  </si>
  <si>
    <t>Liabiliteis</t>
    <phoneticPr fontId="7" type="noConversion"/>
  </si>
  <si>
    <t>Changes in liabilities and net worth, HH_NPISH (UN-DATA): Equals: CHANGES IN NET</t>
  </si>
  <si>
    <t>Resources, HH_NPISH (UN-DATA): VALUE ADDED GROSS, at basic prices</t>
  </si>
  <si>
    <t>Uses, HH_NPISH (UN-DATA): VALUE ADDED GROSS, at basic prices</t>
  </si>
  <si>
    <t>Uses, HH_NPISH (UN-DATA): VALUE ADDED NET, at basic prices</t>
  </si>
  <si>
    <t>Resources, HH_NPISH (UN-DATA): OPERATING SURPLUS, GROSS</t>
  </si>
  <si>
    <t>Uses, HH_NPISH (UN-DATA): OPERATING SURPLUS, GROSS</t>
  </si>
  <si>
    <t>Resources, HH_NPISH (UN-DATA): MIXED INCOME, GROSS</t>
  </si>
  <si>
    <t>Uses, HH_NPISH (UN-DATA): MIXED INCOME, GROSS</t>
  </si>
  <si>
    <t>Resources, HH_NPISH (UN-DATA): BALANCE OF PRIMARY INCOMES</t>
  </si>
  <si>
    <t>Uses, HH_NPISH (UN-DATA): BALANCE OF PRIMARY INCOMES</t>
  </si>
  <si>
    <t>Resources, HH_NPISH (UN-DATA): GROSS DISPOSABLE INCOME</t>
  </si>
  <si>
    <t>Uses, HH_NPISH (UN-DATA): GROSS DISPOSABLE INCOME</t>
  </si>
  <si>
    <t>Changes in liabilities and net worth, HH_NPISH (UN-DATA): SAVING, GROSS</t>
  </si>
  <si>
    <t>Uses, HH_NPISH (UN-DATA): SAVING, GROSS</t>
  </si>
  <si>
    <t>Changes in assets, HH_NPISH (UN-DATA): NET LENDING (+) / NET BORROWING (-)</t>
  </si>
  <si>
    <t xml:space="preserve">Changes in liabilities and net worth, HH_NPISH (UN-DATA): NET LENDING (+) / NET </t>
  </si>
  <si>
    <t>Resources, HH_NPISH (UN-DATA): Compensation of employees</t>
  </si>
  <si>
    <t>Uses, HH_NPISH (UN-DATA): Compensation of employees</t>
  </si>
  <si>
    <t>Uses, HH_NPISH (UN-DATA): Other taxes less Other subsidies on production</t>
  </si>
  <si>
    <t>Uses, HH_NPISH (UN-DATA): Other taxes on production</t>
  </si>
  <si>
    <t>Uses, HH_NPISH (UN-DATA): Less: Other subsidies on production</t>
  </si>
  <si>
    <t>Resources, HH_NPISH (UN-DATA): Property income</t>
  </si>
  <si>
    <t>Uses, HH_NPISH (UN-DATA): Property income</t>
  </si>
  <si>
    <t>Uses, HH_NPISH (UN-DATA): Current taxes on income, wealth, etc.</t>
  </si>
  <si>
    <t>Resources, HH_NPISH (UN-DATA): Social contributions</t>
  </si>
  <si>
    <t>Uses, HH_NPISH (UN-DATA): Social contributions</t>
  </si>
  <si>
    <t>Resources, HH_NPISH (UN-DATA): Social benefits other than social transfers in ki</t>
  </si>
  <si>
    <t>Uses, HH_NPISH (UN-DATA): Social benefits other than social transfers in kind</t>
  </si>
  <si>
    <t>Resources, HH_NPISH (UN-DATA): Other current transfers</t>
  </si>
  <si>
    <t>Uses, HH_NPISH (UN-DATA): Other current transfers</t>
  </si>
  <si>
    <t>Resources, HH_NPISH (UN-DATA): Adjustment for the change in net equity of househ</t>
  </si>
  <si>
    <t>Changes in liabilities and net worth, HH_NPISH (UN-DATA): Capital transfers, rec</t>
  </si>
  <si>
    <t>Changes in assets, HH_NPISH (UN-DATA): Currency and deposits</t>
  </si>
  <si>
    <t>Changes in liabilities and net worth, HH_NPISH (UN-DATA): Currency and deposits</t>
  </si>
  <si>
    <t>Changes in assets, HH_NPISH (UN-DATA): Securities other than shares</t>
  </si>
  <si>
    <t xml:space="preserve">Changes in liabilities and net worth, HH_NPISH (UN-DATA): Securities other than </t>
  </si>
  <si>
    <t>Changes in assets, HH_NPISH (UN-DATA): Loans</t>
  </si>
  <si>
    <t>Changes in liabilities and net worth, HH_NPISH (UN-DATA): Loans</t>
  </si>
  <si>
    <t>Changes in assets, HH_NPISH (UN-DATA): Shares and other equity</t>
  </si>
  <si>
    <t>Changes in liabilities and net worth, HH_NPISH (UN-DATA): Shares and other equit</t>
  </si>
  <si>
    <t>Changes in assets, HH_NPISH (UN-DATA): Insurance technical reserves</t>
  </si>
  <si>
    <t>Changes in liabilities and net worth, HH_NPISH (UN-DATA): Insurance technical re</t>
  </si>
  <si>
    <t>Changes in assets, HH_NPISH (UN-DATA): Financial derivatives</t>
  </si>
  <si>
    <t>Changes in liabilities and net worth, HH_NPISH (UN-DATA): Financial derivatives</t>
  </si>
  <si>
    <t>Changes in assets, HH_NPISH (UN-DATA): Other accounts receivable</t>
  </si>
  <si>
    <t>Changes in liabilities and net worth, HH_NPISH (UN-DATA): Other accounts payable</t>
  </si>
  <si>
    <t>Changes in assets, HH_NPISH (UN-DATA): Net acquisition of financial assets</t>
  </si>
  <si>
    <t>Changes in liabilities and net worth, HH_NPISH (UN-DATA): Net incurrence of liab</t>
  </si>
  <si>
    <t>Uses, HH_NPISH (UN-DATA): Less: Consumption of fixed capital</t>
  </si>
  <si>
    <t>Changes in assets, HH_NPISH (UN-DATA): Acquisitions less disposals of non-produc</t>
  </si>
  <si>
    <t>Resources, HH_NPISH (UN-DATA): Output, at basic prices (otherwise, please specif</t>
  </si>
  <si>
    <t>Uses, HH_NPISH (UN-DATA): Intermediate consumption, at purchaser's prices</t>
  </si>
  <si>
    <t>Uses, HH_NPISH (UN-DATA): Individual consumption expenditure</t>
  </si>
  <si>
    <t>Uses, HH_NPISH (UN-DATA): Final consumption expenditure</t>
  </si>
  <si>
    <t>Changes in assets, HH_NPISH (UN-DATA): Gross fixed capital formation</t>
  </si>
  <si>
    <t>Changes in assets, HH_NPISH (UN-DATA): Changes in inventories</t>
  </si>
  <si>
    <t>Changes in assets, HH_NPISH (UN-DATA): Acquisitions less disposals of valuables</t>
  </si>
  <si>
    <t>Changes in assets, HH_NPISH (UN-DATA): Gross capital formation</t>
  </si>
  <si>
    <t>Changes in liabilities and net worth, HH_NPISH (UN-DATA): Adjustment to reconcil</t>
  </si>
  <si>
    <t xml:space="preserve">Uses, HH_NPISH (UN-DATA): Adjustment for the change in net equity of households </t>
  </si>
  <si>
    <t>Changes in liabilities and net worth, CORPS (UN-DATA): Equals: CHANGES IN NET WO</t>
  </si>
  <si>
    <t>Resources, CORPS (UN-DATA): VALUE ADDED GROSS, at basic prices</t>
  </si>
  <si>
    <t>Resources, CORPS (UN-DATA): VALUE ADDED GROSS, at basic prices Uses, CORPS (UN-D</t>
  </si>
  <si>
    <t>Uses, CORPS (UN-DATA): VALUE ADDED NET, at basic prices</t>
  </si>
  <si>
    <t>Resources, CORPS (UN-DATA): OPERATING SURPLUS, GROSS</t>
  </si>
  <si>
    <t>Resources, CORPS (UN-DATA): OPERATING SURPLUS, GROSS Uses, CORPS (UN-DATA): OPER</t>
  </si>
  <si>
    <t>Resources, CORPS (UN-DATA): BALANCE OF PRIMARY INCOMES Uses, CORPS (UN-DATA): BA</t>
  </si>
  <si>
    <t>Resources, CORPS (UN-DATA): GROSS DISPOSABLE INCOME</t>
  </si>
  <si>
    <t>Uses, CORPS (UN-DATA): SAVING, GROSS</t>
  </si>
  <si>
    <t>Changes in liabilities and net worth, CORPS (UN-DATA): SAVING, GROSS</t>
  </si>
  <si>
    <t>Changes in assets, CORPS (UN-DATA): NET LENDING (+) / NET BORROWING (-)</t>
  </si>
  <si>
    <t>Changes in liabilities and net worth, CORPS (UN-DATA): NET LENDING (+) / NET BOR</t>
  </si>
  <si>
    <t>Uses, CORPS (UN-DATA): Compensation of employees</t>
  </si>
  <si>
    <t>Uses, CORPS (UN-DATA): Other taxes less Other subsidies on production</t>
  </si>
  <si>
    <t>Uses, CORPS (UN-DATA): Other taxes on production</t>
  </si>
  <si>
    <t>Uses, CORPS (UN-DATA): Less: Other subsidies on production</t>
  </si>
  <si>
    <t>Resources, CORPS (UN-DATA): Property income Uses, CORPS (UN-DATA): Property inco</t>
  </si>
  <si>
    <t>Uses, CORPS (UN-DATA): Current taxes on income, wealth, etc.</t>
  </si>
  <si>
    <t>Resources, CORPS (UN-DATA): Social contributions</t>
  </si>
  <si>
    <t>Uses, CORPS (UN-DATA): Social benefits other than social transfers in kind</t>
  </si>
  <si>
    <t>Resources, CORPS (UN-DATA): Other current transfers Uses, CORPS (UN-DATA): Other</t>
  </si>
  <si>
    <t xml:space="preserve">Uses, CORPS (UN-DATA): Adjustment for the change in net equity of households on </t>
  </si>
  <si>
    <t>Changes in liabilities and net worth, CORPS (UN-DATA): Capital transfers, receiv</t>
  </si>
  <si>
    <t>Changes in assets, CORPS (UN-DATA): Monetary gold and SDRs</t>
  </si>
  <si>
    <t>Changes in assets, CORPS (UN-DATA): Currency and deposits</t>
  </si>
  <si>
    <t>Changes in liabilities and net worth, CORPS (UN-DATA): Currency and deposits</t>
  </si>
  <si>
    <t>Changes in assets, CORPS (UN-DATA): Securities other than shares</t>
  </si>
  <si>
    <t>Changes in liabilities and net worth, CORPS (UN-DATA): Securities other than sha</t>
  </si>
  <si>
    <t>Changes in assets, CORPS (UN-DATA): Loans</t>
  </si>
  <si>
    <t>Changes in liabilities and net worth, CORPS (UN-DATA): Loans</t>
  </si>
  <si>
    <t>Changes in assets, CORPS (UN-DATA): Shares and other equity</t>
  </si>
  <si>
    <t>Changes in liabilities and net worth, CORPS (UN-DATA): Shares and other equity</t>
  </si>
  <si>
    <t>Changes in assets, CORPS (UN-DATA): Insurance technical reserves</t>
  </si>
  <si>
    <t>Changes in liabilities and net worth, CORPS (UN-DATA): Insurance technical reser</t>
  </si>
  <si>
    <t>Changes in assets, CORPS (UN-DATA): Financial derivatives</t>
  </si>
  <si>
    <t>Changes in liabilities and net worth, CORPS (UN-DATA): Financial derivatives</t>
  </si>
  <si>
    <t>Changes in assets, CORPS (UN-DATA): Other accounts receivable</t>
  </si>
  <si>
    <t>Changes in liabilities and net worth, CORPS (UN-DATA): Other accounts payable</t>
  </si>
  <si>
    <t>Changes in assets, CORPS (UN-DATA): Net acquisition of financial assets</t>
  </si>
  <si>
    <t>Changes in liabilities and net worth, CORPS (UN-DATA): Net incurrence of liabili</t>
  </si>
  <si>
    <t>Uses, CORPS (UN-DATA): Less: Consumption of fixed capital</t>
  </si>
  <si>
    <t xml:space="preserve">Changes in assets, CORPS (UN-DATA): Acquisitions less disposals of non-produced </t>
  </si>
  <si>
    <t>Resources, CORPS (UN-DATA): Output, at basic prices (otherwise, please specify)</t>
  </si>
  <si>
    <t>Uses, CORPS (UN-DATA): Intermediate consumption, at purchaser's prices</t>
  </si>
  <si>
    <t>Changes in assets, CORPS (UN-DATA): Gross fixed capital formation</t>
  </si>
  <si>
    <t>Changes in assets, CORPS (UN-DATA): Changes in inventories</t>
  </si>
  <si>
    <t>Changes in assets, CORPS (UN-DATA): Acquisitions less disposals of valuables</t>
  </si>
  <si>
    <t>Changes in assets, CORPS (UN-DATA): Gross capital formation</t>
  </si>
  <si>
    <t>Resources, CORPS (UN-DATA): Adjustment entry for FISIM (Nominal Sector)</t>
  </si>
  <si>
    <t>Changes in liabilities and net worth, CORPS (UN-DATA): Adjustment to reconcile N</t>
  </si>
  <si>
    <t>Uses, CORPS (UN-DATA): GROSS DISPOSABLE INCOME</t>
  </si>
  <si>
    <t>Changes in liabilities and net worth, NPISH (UN-DATA): Equals: CHANGES IN NET WO</t>
  </si>
  <si>
    <t>Resources, NPISH (UN-DATA): VALUE ADDED GROSS, at basic prices</t>
  </si>
  <si>
    <t>Uses, NPISH (UN-DATA): VALUE ADDED GROSS, at basic prices</t>
  </si>
  <si>
    <t>Uses, NPISH (UN-DATA): VALUE ADDED NET, at basic prices</t>
  </si>
  <si>
    <t>Resources, NPISH (UN-DATA): OPERATING SURPLUS, GROSS</t>
  </si>
  <si>
    <t>Uses, NPISH (UN-DATA): OPERATING SURPLUS, GROSS</t>
  </si>
  <si>
    <t>Resources, NPISH (UN-DATA): BALANCE OF PRIMARY INCOMES</t>
  </si>
  <si>
    <t>Uses, NPISH (UN-DATA): BALANCE OF PRIMARY INCOMES</t>
  </si>
  <si>
    <t>Resources, NPISH (UN-DATA): GROSS DISPOSABLE INCOME</t>
  </si>
  <si>
    <t>Uses, NPISH (UN-DATA): GROSS DISPOSABLE INCOME</t>
  </si>
  <si>
    <t>Changes in liabilities and net worth, NPISH (UN-DATA): SAVING, GROSS</t>
  </si>
  <si>
    <t>Uses, NPISH (UN-DATA): SAVING, GROSS</t>
  </si>
  <si>
    <t>Changes in assets, NPISH (UN-DATA): NET LENDING (+) / NET BORROWING (-)</t>
  </si>
  <si>
    <t>Changes in liabilities and net worth, NPISH (UN-DATA): NET LENDING (+) / NET BOR</t>
  </si>
  <si>
    <t>Uses, NPISH (UN-DATA): Compensation of employees</t>
  </si>
  <si>
    <t>Uses, NPISH (UN-DATA): Other taxes less Other subsidies on production</t>
  </si>
  <si>
    <t>Uses, NPISH (UN-DATA): Other taxes on production</t>
  </si>
  <si>
    <t>Uses, NPISH (UN-DATA): Less: Other subsidies on production</t>
  </si>
  <si>
    <t>Resources, NPISH (UN-DATA): Property income</t>
  </si>
  <si>
    <t>Uses, NPISH (UN-DATA): Property income</t>
  </si>
  <si>
    <t>Uses, NPISH (UN-DATA): Current taxes on income, wealth, etc.</t>
  </si>
  <si>
    <t>Resources, NPISH (UN-DATA): Social contributions</t>
  </si>
  <si>
    <t>Uses, NPISH (UN-DATA): Social benefits other than social transfers in kind</t>
  </si>
  <si>
    <t>Resources, NPISH (UN-DATA): Other current transfers</t>
  </si>
  <si>
    <t>Uses, NPISH (UN-DATA): Other current transfers</t>
  </si>
  <si>
    <t xml:space="preserve">Uses, NPISH (UN-DATA): Adjustment for the change in net equity of households on </t>
  </si>
  <si>
    <t>Changes in liabilities and net worth, NPISH (UN-DATA): Capital transfers, receiv</t>
  </si>
  <si>
    <t>Changes in assets, NPISH (UN-DATA): Currency and deposits</t>
  </si>
  <si>
    <t>Changes in liabilities and net worth, NPISH (UN-DATA): Currency and deposits</t>
  </si>
  <si>
    <t>Changes in assets, NPISH (UN-DATA): Securities other than shares</t>
  </si>
  <si>
    <t>Changes in liabilities and net worth, NPISH (UN-DATA): Securities other than sha</t>
  </si>
  <si>
    <t>Changes in assets, NPISH (UN-DATA): Loans</t>
  </si>
  <si>
    <t>Changes in liabilities and net worth, NPISH (UN-DATA): Loans</t>
  </si>
  <si>
    <t>Changes in assets, NPISH (UN-DATA): Shares and other equity</t>
  </si>
  <si>
    <t>Changes in liabilities and net worth, NPISH (UN-DATA): Shares and other equity</t>
  </si>
  <si>
    <t>Changes in assets, NPISH (UN-DATA): Insurance technical reserves</t>
  </si>
  <si>
    <t>Changes in liabilities and net worth, NPISH (UN-DATA): Insurance technical reser</t>
  </si>
  <si>
    <t>Changes in assets, NPISH (UN-DATA): Financial derivatives</t>
  </si>
  <si>
    <t>Changes in liabilities and net worth, NPISH (UN-DATA): Financial derivatives</t>
  </si>
  <si>
    <t>Changes in assets, NPISH (UN-DATA): Other accounts receivable</t>
  </si>
  <si>
    <t>Changes in liabilities and net worth, NPISH (UN-DATA): Other accounts payable</t>
  </si>
  <si>
    <t>Changes in assets, NPISH (UN-DATA): Net acquisition of financial assets</t>
  </si>
  <si>
    <t>Changes in liabilities and net worth, NPISH (UN-DATA): Net incurrence of liabili</t>
  </si>
  <si>
    <t>Uses, NPISH (UN-DATA): Less: Consumption of fixed capital</t>
  </si>
  <si>
    <t xml:space="preserve">Changes in assets, NPISH (UN-DATA): Acquisitions less disposals of non-produced </t>
  </si>
  <si>
    <t>Resources, NPISH (UN-DATA): Output, at basic prices (otherwise, please specify)</t>
  </si>
  <si>
    <t>Uses, NPISH (UN-DATA): Intermediate consumption, at purchaser's prices</t>
  </si>
  <si>
    <t>Uses, NPISH (UN-DATA): Individual consumption expenditure</t>
  </si>
  <si>
    <t>Uses, NPISH (UN-DATA): Final consumption expenditure</t>
  </si>
  <si>
    <t>Changes in assets, NPISH (UN-DATA): Gross fixed capital formation</t>
  </si>
  <si>
    <t>Changes in assets, NPISH (UN-DATA): Changes in inventories</t>
  </si>
  <si>
    <t>Changes in assets, NPISH (UN-DATA): Acquisitions less disposals of valuables</t>
  </si>
  <si>
    <t>Changes in assets, NPISH (UN-DATA): Gross capital formation</t>
  </si>
  <si>
    <t>Changes in liabilities and net worth, NPISH (UN-DATA): Adjustment to reconcile N</t>
  </si>
  <si>
    <t>Changes in liabilities and net worth, HH (UN-DATA): Equals: CHANGES IN NET WORTH</t>
  </si>
  <si>
    <t>Changes in assets, HH (UN-DATA): NET LENDING (+) / NET BORROWING (-)</t>
  </si>
  <si>
    <t>Changes in liabilities and net worth, HH (UN-DATA): NET LENDING (+) / NET BORROW</t>
  </si>
  <si>
    <t>Resources, HH (UN-DATA): Adjustment for the change in net equity of households o</t>
  </si>
  <si>
    <t>Changes in liabilities and net worth, HH (UN-DATA): Capital transfers, receivabl</t>
  </si>
  <si>
    <t>Changes in assets, HH (UN-DATA): Currency and deposits</t>
  </si>
  <si>
    <t>Changes in liabilities and net worth, HH (UN-DATA): Currency and deposits</t>
  </si>
  <si>
    <t>Changes in assets, HH (UN-DATA): Securities other than shares</t>
  </si>
  <si>
    <t>Changes in liabilities and net worth, HH (UN-DATA): Securities other than shares</t>
  </si>
  <si>
    <t>Changes in assets, HH (UN-DATA): Loans</t>
  </si>
  <si>
    <t>Changes in liabilities and net worth, HH (UN-DATA): Loans</t>
  </si>
  <si>
    <t>Changes in assets, HH (UN-DATA): Shares and other equity</t>
  </si>
  <si>
    <t>Changes in liabilities and net worth, HH (UN-DATA): Shares and other equity</t>
  </si>
  <si>
    <t>Changes in assets, HH (UN-DATA): Insurance technical reserves</t>
  </si>
  <si>
    <t>Changes in liabilities and net worth, HH (UN-DATA): Insurance technical reserves</t>
  </si>
  <si>
    <t>Changes in assets, HH (UN-DATA): Financial derivatives</t>
  </si>
  <si>
    <t>Changes in liabilities and net worth, HH (UN-DATA): Financial derivatives</t>
  </si>
  <si>
    <t>Changes in assets, HH (UN-DATA): Other accounts receivable</t>
  </si>
  <si>
    <t>Changes in liabilities and net worth, HH (UN-DATA): Other accounts payable</t>
  </si>
  <si>
    <t>Changes in assets, HH (UN-DATA): Net acquisition of financial assets</t>
  </si>
  <si>
    <t>Changes in liabilities and net worth, HH (UN-DATA): Net incurrence of liabilitie</t>
  </si>
  <si>
    <t>Uses, HH (UN-DATA): Less: Consumption of fixed capital</t>
  </si>
  <si>
    <t>Changes in assets, HH (UN-DATA): Acquisitions less disposals of non-produced non</t>
  </si>
  <si>
    <t>Resources, HH (UN-DATA): Output, at basic prices (otherwise, please specify)</t>
  </si>
  <si>
    <t>Uses, HH (UN-DATA): Intermediate consumption, at purchaser's prices</t>
  </si>
  <si>
    <t>Uses, HH (UN-DATA): Individual consumption expenditure</t>
  </si>
  <si>
    <t>Uses, HH (UN-DATA): Final consumption expenditure</t>
  </si>
  <si>
    <t>Changes in assets, HH (UN-DATA): Gross fixed capital formation</t>
  </si>
  <si>
    <t>Changes in assets, HH (UN-DATA): Changes in inventories</t>
  </si>
  <si>
    <t>Changes in assets, HH (UN-DATA): Acquisitions less disposals of valuables</t>
  </si>
  <si>
    <t>Changes in assets, HH (UN-DATA): Gross capital formation</t>
  </si>
  <si>
    <t xml:space="preserve">Changes in liabilities and net worth, HH (UN-DATA): Adjustment to reconcile Net </t>
  </si>
  <si>
    <t>Changes in liabilities and net worth, GG (UN-DATA): Equals: CHANGES IN NET WORTH</t>
  </si>
  <si>
    <t>Uses, GG (UN-DATA): Adjustment for the change in net equity of households on pen</t>
  </si>
  <si>
    <t>Changes in liabilities and net worth, GG (UN-DATA): Capital transfers, receivabl</t>
  </si>
  <si>
    <t>Changes in assets, GG (UN-DATA): Monetary gold and SDRs</t>
  </si>
  <si>
    <t>Changes in assets, GG (UN-DATA): Currency and deposits</t>
  </si>
  <si>
    <t>Changes in liabilities and net worth, GG (UN-DATA): Currency and deposits</t>
  </si>
  <si>
    <t>Changes in assets, GG (UN-DATA): Securities other than shares</t>
  </si>
  <si>
    <t>Changes in liabilities and net worth, GG (UN-DATA): Securities other than shares</t>
  </si>
  <si>
    <t>Changes in assets, GG (UN-DATA): Loans</t>
  </si>
  <si>
    <t>Changes in liabilities and net worth, GG (UN-DATA): Loans</t>
  </si>
  <si>
    <t>Changes in assets, GG (UN-DATA): Shares and other equity</t>
  </si>
  <si>
    <t>Changes in liabilities and net worth, GG (UN-DATA): Shares and other equity</t>
  </si>
  <si>
    <t>Changes in assets, GG (UN-DATA): Insurance technical reserves</t>
  </si>
  <si>
    <t>Changes in liabilities and net worth, GG (UN-DATA): Insurance technical reserves</t>
  </si>
  <si>
    <t>Changes in assets, GG (UN-DATA): Financial derivatives</t>
  </si>
  <si>
    <t>Changes in liabilities and net worth, GG (UN-DATA): Financial derivatives</t>
  </si>
  <si>
    <t>Changes in assets, GG (UN-DATA): Other accounts receivable</t>
  </si>
  <si>
    <t>Changes in liabilities and net worth, GG (UN-DATA): Other accounts payable</t>
  </si>
  <si>
    <t>Changes in assets, GG (UN-DATA): Net acquisition of financial assets</t>
  </si>
  <si>
    <t>Changes in liabilities and net worth, GG (UN-DATA): Net incurrence of liabilitie</t>
  </si>
  <si>
    <t>Changes in assets, GG (UN-DATA): Acquisitions of non-produced non-financial asse</t>
  </si>
  <si>
    <t>Resources, GG (UN-DATA): Output, at basic prices (otherwise, please specify)</t>
  </si>
  <si>
    <t>Uses, GG (UN-DATA): Intermediate consumption, at purchaser's prices</t>
  </si>
  <si>
    <t>Uses, GG (UN-DATA): Individual consumption expenditure</t>
  </si>
  <si>
    <t>Uses, GG (UN-DATA): Collective consumption expenditure</t>
  </si>
  <si>
    <t>Changes in assets, GG (UN-DATA): Gross fixed capital formation</t>
  </si>
  <si>
    <t>Changes in assets, GG (UN-DATA): Changes in inventories</t>
  </si>
  <si>
    <t>Changes in assets, GG (UN-DATA): Acquisitions less disposals of valuables</t>
  </si>
  <si>
    <t>Changes in assets, GG (UN-DATA): Gross capital formation</t>
  </si>
  <si>
    <t xml:space="preserve">Changes in liabilities and net worth, GG (UN-DATA): Adjustment to reconcile Net </t>
  </si>
  <si>
    <t>Changes in liabilities and net worth, FC (UN-DATA): Equals: CHANGES IN NET WORTH</t>
  </si>
  <si>
    <t>Uses, FC (UN-DATA): SAVING, GROSS</t>
  </si>
  <si>
    <t>Changes in liabilities and net worth, FC (UN-DATA): SAVING, GROSS</t>
  </si>
  <si>
    <t>Changes in assets, FC (UN-DATA): NET LENDING (+) / NET BORROWING (-)</t>
  </si>
  <si>
    <t>Changes in liabilities and net worth, FC (UN-DATA): NET LENDING (+) / NET BORROW</t>
  </si>
  <si>
    <t>Uses, FC (UN-DATA): Compensation of employees</t>
  </si>
  <si>
    <t>Resources, FC (UN-DATA): Property income Uses, FC (UN-DATA): Property income</t>
  </si>
  <si>
    <t>Uses, FC (UN-DATA): Social benefits other than social transfers in kind</t>
  </si>
  <si>
    <t>Changes in liabilities and net worth, FC (UN-DATA): Capital transfers, receivabl</t>
  </si>
  <si>
    <t>Changes in assets, FC (UN-DATA): Monetary gold and SDRs</t>
  </si>
  <si>
    <t>Changes in assets, FC (UN-DATA): Currency and deposits</t>
  </si>
  <si>
    <t>Changes in liabilities and net worth, FC (UN-DATA): Currency and deposits</t>
  </si>
  <si>
    <t>Changes in assets, FC (UN-DATA): Securities other than shares</t>
  </si>
  <si>
    <t>Changes in liabilities and net worth, FC (UN-DATA): Securities other than shares</t>
  </si>
  <si>
    <t>Changes in assets, FC (UN-DATA): Loans</t>
  </si>
  <si>
    <t>Changes in liabilities and net worth, FC (UN-DATA): Loans</t>
  </si>
  <si>
    <t>Changes in assets, FC (UN-DATA): Shares and other equity</t>
  </si>
  <si>
    <t>Changes in liabilities and net worth, FC (UN-DATA): Shares and other equity</t>
  </si>
  <si>
    <t>Changes in assets, FC (UN-DATA): Insurance technical reserves</t>
  </si>
  <si>
    <t>Changes in liabilities and net worth, FC (UN-DATA): Insurance technical reserves</t>
  </si>
  <si>
    <t>Changes in assets, FC (UN-DATA): Financial derivatives</t>
  </si>
  <si>
    <t>Changes in liabilities and net worth, FC (UN-DATA): Financial derivatives</t>
  </si>
  <si>
    <t>Changes in assets, FC (UN-DATA): Other accounts receivable</t>
  </si>
  <si>
    <t>Changes in liabilities and net worth, FC (UN-DATA): Other accounts payable</t>
  </si>
  <si>
    <t>Changes in assets, FC (UN-DATA): Net acquisition of financial assets</t>
  </si>
  <si>
    <t>Changes in liabilities and net worth, FC (UN-DATA): Net incurrence of liabilitie</t>
  </si>
  <si>
    <t>Changes in assets, FC (UN-DATA): Acquisitions less disposals of non-produced non</t>
  </si>
  <si>
    <t>Resources, FC (UN-DATA): Output, at basic prices (otherwise, please specify)</t>
  </si>
  <si>
    <t>Uses, FC (UN-DATA): Intermediate consumption, at purchaser's prices</t>
  </si>
  <si>
    <t>Changes in assets, FC (UN-DATA): Gross fixed capital formation</t>
  </si>
  <si>
    <t>Changes in assets, FC (UN-DATA): Changes in inventories</t>
  </si>
  <si>
    <t>Changes in assets, FC (UN-DATA): Acquisitions less disposals of valuables</t>
  </si>
  <si>
    <t>Changes in assets, FC (UN-DATA): Gross capital formation</t>
  </si>
  <si>
    <t>Resources, FC (UN-DATA): Adjustment entry for FISIM (balanced by Nominal Sector)</t>
  </si>
  <si>
    <t xml:space="preserve">Changes in liabilities and net worth, FC (UN-DATA): Adjustment to reconcile Net </t>
  </si>
  <si>
    <t>Changes in liabilities and net worth, NFC (UN-DATA): Equals: CHANGES IN NET WORT</t>
  </si>
  <si>
    <t>Resources, NFC (UN-DATA): VALUE ADDED GROSS, at basic prices Uses, NFC (UN-DATA)</t>
  </si>
  <si>
    <t>Uses, NFC (UN-DATA): VALUE ADDED NET, at basic prices</t>
  </si>
  <si>
    <t>Resources, NFC (UN-DATA): OPERATING SURPLUS, GROSS Uses, NFC (UN-DATA): OPERATIN</t>
  </si>
  <si>
    <t>Uses, NFC (UN-DATA): BALANCE OF PRIMARY INCOMES</t>
  </si>
  <si>
    <t>Resources, NFC (UN-DATA): BALANCE OF PRIMARY INCOMES Uses, NFC (UN-DATA): BALANC</t>
  </si>
  <si>
    <t>Resources, NFC (UN-DATA): GROSS DISPOSABLE INCOME Uses, NFC (UN-DATA): GROSS DIS</t>
  </si>
  <si>
    <t>Uses, NFC (UN-DATA): SAVING, GROSS</t>
  </si>
  <si>
    <t>Changes in liabilities and net worth, NFC (UN-DATA): SAVING, GROSS</t>
  </si>
  <si>
    <t>Changes in assets, NFC (UN-DATA): NET LENDING (+) / NET BORROWING (-)</t>
  </si>
  <si>
    <t>Changes in liabilities and net worth, NFC (UN-DATA): NET LENDING (+) / NET BORRO</t>
  </si>
  <si>
    <t>Uses, NFC (UN-DATA): Compensation of employees</t>
  </si>
  <si>
    <t>Uses, NFC (UN-DATA): Other taxes less Other subsidies on production</t>
  </si>
  <si>
    <t>Uses, NFC (UN-DATA): Other taxes on production</t>
  </si>
  <si>
    <t>Uses, NFC (UN-DATA): Less: Other subsidies on production</t>
  </si>
  <si>
    <t>Uses, NFC (UN-DATA): Property income</t>
  </si>
  <si>
    <t>Resources, NFC (UN-DATA): Property income Uses, NFC (UN-DATA): Property income</t>
  </si>
  <si>
    <t>Uses, NFC (UN-DATA): Current taxes on income, wealth, etc.</t>
  </si>
  <si>
    <t>Resources, NFC (UN-DATA): Social contributions</t>
  </si>
  <si>
    <t>Uses, NFC (UN-DATA): Social benefits other than social transfers in kind</t>
  </si>
  <si>
    <t>Uses, NFC (UN-DATA): Other current transfers</t>
  </si>
  <si>
    <t>Resources, NFC (UN-DATA): Other current transfers Uses, NFC (UN-DATA): Other cur</t>
  </si>
  <si>
    <t>Uses, NFC (UN-DATA): Adjustment for the change in net equity of households on pe</t>
  </si>
  <si>
    <t>Changes in liabilities and net worth, NFC (UN-DATA): Capital transfers, receivab</t>
  </si>
  <si>
    <t>Changes in assets, NFC (UN-DATA): Monetary gold and SDRs</t>
  </si>
  <si>
    <t>Changes in assets, NFC (UN-DATA): Currency and deposits</t>
  </si>
  <si>
    <t>Changes in liabilities and net worth, NFC (UN-DATA): Currency and deposits</t>
  </si>
  <si>
    <t>Changes in assets, NFC (UN-DATA): Securities other than shares</t>
  </si>
  <si>
    <t>Changes in liabilities and net worth, NFC (UN-DATA): Securities other than share</t>
  </si>
  <si>
    <t>Changes in assets, NFC (UN-DATA): Loans</t>
  </si>
  <si>
    <t>Changes in liabilities and net worth, NFC (UN-DATA): Loans</t>
  </si>
  <si>
    <t>Changes in assets, NFC (UN-DATA): Shares and other equity</t>
  </si>
  <si>
    <t>Changes in liabilities and net worth, NFC (UN-DATA): Shares and other equity</t>
  </si>
  <si>
    <t>Changes in assets, NFC (UN-DATA): Insurance technical reserves</t>
  </si>
  <si>
    <t>Changes in liabilities and net worth, NFC (UN-DATA): Insurance technical reserve</t>
  </si>
  <si>
    <t>Changes in assets, NFC (UN-DATA): Financial derivatives</t>
  </si>
  <si>
    <t>Changes in liabilities and net worth, NFC (UN-DATA): Financial derivatives</t>
  </si>
  <si>
    <t>Changes in assets, NFC (UN-DATA): Other accounts receivable</t>
  </si>
  <si>
    <t>Changes in liabilities and net worth, NFC (UN-DATA): Other accounts payable</t>
  </si>
  <si>
    <t>Changes in assets, NFC (UN-DATA): Net acquisition of financial assets</t>
  </si>
  <si>
    <t>Changes in liabilities and net worth, NFC (UN-DATA): Net incurrence of liabiliti</t>
  </si>
  <si>
    <t>Uses, NFC (UN-DATA): Less: Consumption of fixed capital</t>
  </si>
  <si>
    <t>Changes in assets, NFC (UN-DATA): Acquisitions less disposals of non-produced no</t>
  </si>
  <si>
    <t>Resources, NFC (UN-DATA): Output, at basic prices (otherwise, please specify)</t>
  </si>
  <si>
    <t>Uses, NFC (UN-DATA): Intermediate consumption, at purchaser's prices</t>
  </si>
  <si>
    <t>Changes in assets, NFC (UN-DATA): Gross fixed capital formation</t>
  </si>
  <si>
    <t>Changes in assets, NFC (UN-DATA): Changes in inventories</t>
  </si>
  <si>
    <t>Changes in assets, NFC (UN-DATA): Acquisitions less disposals of valuables</t>
  </si>
  <si>
    <t>Changes in assets, NFC (UN-DATA): Gross capital formation</t>
  </si>
  <si>
    <t>Changes in liabilities and net worth, NFC (UN-DATA): Adjustment to reconcile Net</t>
  </si>
  <si>
    <t>Changes in liabilities and net worth, RoW (UN-DATA): Equals: CHANGES IN NET WORT</t>
  </si>
  <si>
    <t>Changes in liabilities and net worth, RoW (UN-DATA): CURRENT EXTERNAL BALANCE</t>
  </si>
  <si>
    <t>Uses, RoW (UN-DATA): CURRENT EXTERNAL BALANCE</t>
  </si>
  <si>
    <t>Changes in assets, RoW (UN-DATA): NET LENDING (+) / NET BORROWING (-)</t>
  </si>
  <si>
    <t>Changes in liabilities and net worth, RoW (UN-DATA): NET LENDING (+) / NET BORRO</t>
  </si>
  <si>
    <t>Resources, RoW (UN-DATA): Taxes on products</t>
  </si>
  <si>
    <t>Uses, RoW (UN-DATA): Taxes on products</t>
  </si>
  <si>
    <t>Resources, RoW (UN-DATA): Other taxes on production</t>
  </si>
  <si>
    <t>Uses, RoW (UN-DATA): Other taxes on production</t>
  </si>
  <si>
    <t>Resources, RoW (UN-DATA): Taxes on production and imports, less Subsidies</t>
  </si>
  <si>
    <t>Uses, RoW (UN-DATA): Taxes on production and imports, less Subsidies</t>
  </si>
  <si>
    <t>Resources, RoW (UN-DATA): Taxes on production and imports</t>
  </si>
  <si>
    <t>Uses, RoW (UN-DATA): Taxes on production and imports</t>
  </si>
  <si>
    <t>Resources, RoW (UN-DATA): Subsidies on products</t>
  </si>
  <si>
    <t>Uses, RoW (UN-DATA): Subsidies on products</t>
  </si>
  <si>
    <t>Resources, RoW (UN-DATA): Other subsidies on production</t>
  </si>
  <si>
    <t>Uses, RoW (UN-DATA): Other subsidies on production</t>
  </si>
  <si>
    <t>Resources, RoW (UN-DATA): Less: Subsidies</t>
  </si>
  <si>
    <t>Uses, RoW (UN-DATA): Less: Subsidies</t>
  </si>
  <si>
    <t>Resources, RoW (UN-DATA): Current taxes on income, wealth, etc.</t>
  </si>
  <si>
    <t>Uses, RoW (UN-DATA): Current taxes on income and wealth, etc.</t>
  </si>
  <si>
    <t>Resources, RoW (UN-DATA): Social contributions</t>
  </si>
  <si>
    <t>Uses, RoW (UN-DATA): Social contributions</t>
  </si>
  <si>
    <t>Resources, RoW (UN-DATA): Social benefits other than social transfers in kind</t>
  </si>
  <si>
    <t>Uses, RoW (UN-DATA): Social benefits other than social transfers in kind</t>
  </si>
  <si>
    <t xml:space="preserve">Resources, RoW (UN-DATA): Adjustment for the change in net equity of households </t>
  </si>
  <si>
    <t>Uses, RoW (UN-DATA): Adjustment for the change in net equity of households on pe</t>
  </si>
  <si>
    <t>Changes in liabilities and net worth, RoW (UN-DATA): Capital transfers, receivab</t>
  </si>
  <si>
    <t>Changes in assets, RoW (UN-DATA): Monetary gold and SDRs</t>
  </si>
  <si>
    <t>Changes in assets, RoW (UN-DATA): Currency and deposits</t>
  </si>
  <si>
    <t>Changes in liabilities and net worth, RoW (UN-DATA): Currency and deposits</t>
  </si>
  <si>
    <t>Changes in assets, RoW (UN-DATA): Securities other than shares</t>
  </si>
  <si>
    <t>Changes in liabilities and net worth, RoW (UN-DATA): Securities other than share</t>
  </si>
  <si>
    <t>Changes in assets, RoW (UN-DATA): Loans</t>
  </si>
  <si>
    <t>Changes in liabilities and net worth, RoW (UN-DATA): Loans</t>
  </si>
  <si>
    <t>Changes in assets, RoW (UN-DATA): Shares and other equity</t>
  </si>
  <si>
    <t>Changes in liabilities and net worth, RoW (UN-DATA): Shares and other equity</t>
  </si>
  <si>
    <t>Changes in assets, RoW (UN-DATA): Insurance technical reserves</t>
  </si>
  <si>
    <t>Changes in liabilities and net worth, RoW (UN-DATA): Insurance technical reserve</t>
  </si>
  <si>
    <t>Changes in assets, RoW (UN-DATA): Financial derivatives</t>
  </si>
  <si>
    <t>Changes in liabilities and net worth, RoW (UN-DATA): Financial derivatives</t>
  </si>
  <si>
    <t>Changes in assets, RoW (UN-DATA): Other accounts receivable</t>
  </si>
  <si>
    <t>Changes in liabilities and net worth, RoW (UN-DATA): Other accounts payable</t>
  </si>
  <si>
    <t>Changes in assets, RoW (UN-DATA): Net acquisition of financial assets</t>
  </si>
  <si>
    <t>Changes in liabilities and net worth, RoW (UN-DATA): Net incurrence of liabiliti</t>
  </si>
  <si>
    <t>Changes in assets, RoW (UN-DATA): Acquisitions less disposals of non-produced no</t>
  </si>
  <si>
    <t>Changes in liabilities and net worth, TOT (UN-DATA): Equals: CHANGES IN NET WORT</t>
  </si>
  <si>
    <t>Changes in liabilities and net worth, TOT (UN-DATA): SAVING, GROSS</t>
  </si>
  <si>
    <t>Resources, TOT (UN-DATA): Plus: Taxes on products Resources, TOT (UN-DATA): Taxe</t>
  </si>
  <si>
    <t>Uses, TOT (UN-DATA): Taxes on products</t>
  </si>
  <si>
    <t>Resources, TOT (UN-DATA): Other taxes on production</t>
  </si>
  <si>
    <t>Uses, TOT (UN-DATA): Other taxes on production</t>
  </si>
  <si>
    <t xml:space="preserve">Resources, TOT (UN-DATA): Less: Subsidies on products Resources, TOT (UN-DATA): </t>
  </si>
  <si>
    <t>Uses, TOT (UN-DATA): Subsidies on products</t>
  </si>
  <si>
    <t>Resources, TOT (UN-DATA): Other subsidies on production</t>
  </si>
  <si>
    <t>Changes in liabilities and net worth, TOT (UN-DATA): Capital transfers, receivab</t>
  </si>
  <si>
    <t>Changes in assets, TOT (UN-DATA): Monetary gold and SDRs</t>
  </si>
  <si>
    <t>Changes in assets, TOT (UN-DATA): Currency and deposits</t>
  </si>
  <si>
    <t>Changes in liabilities and net worth, TOT (UN-DATA): Currency and deposits</t>
  </si>
  <si>
    <t>Changes in assets, TOT (UN-DATA): Securities other than shares</t>
  </si>
  <si>
    <t>Changes in liabilities and net worth, TOT (UN-DATA): Securities other than share</t>
  </si>
  <si>
    <t>Changes in assets, TOT (UN-DATA): Loans</t>
  </si>
  <si>
    <t>Changes in liabilities and net worth, TOT (UN-DATA): Loans</t>
  </si>
  <si>
    <t>Changes in assets, TOT (UN-DATA): Shares and other equity</t>
  </si>
  <si>
    <t>Changes in liabilities and net worth, TOT (UN-DATA): Shares and other equity</t>
  </si>
  <si>
    <t>Changes in assets, TOT (UN-DATA): Insurance technical reserves</t>
  </si>
  <si>
    <t>Changes in liabilities and net worth, TOT (UN-DATA): Insurance technical reserve</t>
  </si>
  <si>
    <t>Changes in assets, TOT (UN-DATA): Financial derivatives</t>
  </si>
  <si>
    <t>Changes in liabilities and net worth, TOT (UN-DATA): Financial derivatives</t>
  </si>
  <si>
    <t>Changes in assets, TOT (UN-DATA): Other accounts receivable</t>
  </si>
  <si>
    <t>Changes in liabilities and net worth, TOT (UN-DATA): Other accounts payable</t>
  </si>
  <si>
    <t>Changes in assets, TOT (UN-DATA): Net acquisition of financial assets</t>
  </si>
  <si>
    <t>Changes in liabilities and net worth, TOT (UN-DATA): Net incurrence of liabiliti</t>
  </si>
  <si>
    <t>Changes in assets, TOT (UN-DATA): Acquisitions less disposals of valuables</t>
  </si>
  <si>
    <t>Changes in liabilities and net worth, TOT (UN-DATA): Adjustment to reconcile Net</t>
  </si>
  <si>
    <t>Resources, TOT (UN-DATA): Statistical Discrepancy</t>
  </si>
  <si>
    <t>Resources, TOT (UN-DATA): Statistical Discrepancy Resources, TOT (UN-DATA): Stat</t>
  </si>
  <si>
    <t>Uses, TOT (UN-DATA): Statistical discrepancy</t>
  </si>
  <si>
    <t>House+ NPISH</t>
    <phoneticPr fontId="7" type="noConversion"/>
  </si>
  <si>
    <t>NFC+FC</t>
    <phoneticPr fontId="7" type="noConversion"/>
  </si>
  <si>
    <t>NPISH</t>
    <phoneticPr fontId="7" type="noConversion"/>
  </si>
  <si>
    <t>Household</t>
    <phoneticPr fontId="7" type="noConversion"/>
  </si>
  <si>
    <t>Government</t>
    <phoneticPr fontId="7" type="noConversion"/>
  </si>
  <si>
    <t>FC</t>
    <phoneticPr fontId="7" type="noConversion"/>
  </si>
  <si>
    <t>NFC</t>
    <phoneticPr fontId="7" type="noConversion"/>
  </si>
  <si>
    <t>Rest of the World</t>
    <phoneticPr fontId="7" type="noConversion"/>
  </si>
  <si>
    <t>Total Economy</t>
    <phoneticPr fontId="7" type="noConversion"/>
  </si>
  <si>
    <t>Region</t>
    <phoneticPr fontId="7" type="noConversion"/>
  </si>
  <si>
    <t>ISO Code</t>
    <phoneticPr fontId="7" type="noConversion"/>
  </si>
  <si>
    <t>USE</t>
    <phoneticPr fontId="7" type="noConversion"/>
  </si>
  <si>
    <t>Liability</t>
    <phoneticPr fontId="7" type="noConversion"/>
  </si>
  <si>
    <t>Assets</t>
    <phoneticPr fontId="7" type="noConversion"/>
  </si>
  <si>
    <t>Resource</t>
    <phoneticPr fontId="7" type="noConversion"/>
  </si>
  <si>
    <t>Liabilityies</t>
    <phoneticPr fontId="7" type="noConversion"/>
  </si>
  <si>
    <t>Use</t>
    <phoneticPr fontId="7" type="noConversion"/>
  </si>
  <si>
    <t>AX2: UN National Account Data Set</t>
    <phoneticPr fontId="7" type="noConversion"/>
  </si>
  <si>
    <t>Unit</t>
    <phoneticPr fontId="7" type="noConversion"/>
  </si>
  <si>
    <t>Notes</t>
  </si>
  <si>
    <t>UN naitonal account 1.3</t>
    <phoneticPr fontId="11" type="noConversion"/>
  </si>
  <si>
    <t>Source</t>
  </si>
  <si>
    <t>Units</t>
  </si>
  <si>
    <t>NI</t>
    <phoneticPr fontId="11" type="noConversion"/>
  </si>
  <si>
    <t>Government Consumption</t>
    <phoneticPr fontId="11" type="noConversion"/>
  </si>
  <si>
    <t>Series</t>
  </si>
  <si>
    <t>Sub-title</t>
  </si>
  <si>
    <t>TITLE</t>
  </si>
  <si>
    <t>Index</t>
  </si>
  <si>
    <t>Gross GDP</t>
    <phoneticPr fontId="11" type="noConversion"/>
  </si>
  <si>
    <t>Net GDP</t>
    <phoneticPr fontId="11" type="noConversion"/>
  </si>
  <si>
    <t>GROSS GDP</t>
    <phoneticPr fontId="7" type="noConversion"/>
  </si>
  <si>
    <t>Net GDP</t>
    <phoneticPr fontId="7" type="noConversion"/>
  </si>
  <si>
    <t>OPERATING SURPLUS, GROSS</t>
    <phoneticPr fontId="7" type="noConversion"/>
  </si>
  <si>
    <t xml:space="preserve">Gross Operating Surplus </t>
    <phoneticPr fontId="7" type="noConversion"/>
  </si>
  <si>
    <t>Gross Mixed Income</t>
    <phoneticPr fontId="7" type="noConversion"/>
  </si>
  <si>
    <t>Gross National Income</t>
    <phoneticPr fontId="7" type="noConversion"/>
  </si>
  <si>
    <t>Gross Disposable Income</t>
    <phoneticPr fontId="7" type="noConversion"/>
  </si>
  <si>
    <t>Gross Saving</t>
    <phoneticPr fontId="7" type="noConversion"/>
  </si>
  <si>
    <t>Compensation of employees</t>
    <phoneticPr fontId="7" type="noConversion"/>
  </si>
  <si>
    <t>Plus: Taxes less Subsidies on products</t>
    <phoneticPr fontId="7" type="noConversion"/>
  </si>
  <si>
    <t>Taxes on production and imports, less Subsidies</t>
    <phoneticPr fontId="7" type="noConversion"/>
  </si>
  <si>
    <t xml:space="preserve"> Taxes on production and imports</t>
    <phoneticPr fontId="7" type="noConversion"/>
  </si>
  <si>
    <t>Taxes on production and imports</t>
    <phoneticPr fontId="7" type="noConversion"/>
  </si>
  <si>
    <t>Plus: Taxes on products</t>
    <phoneticPr fontId="7" type="noConversion"/>
  </si>
  <si>
    <t>Taxes on products</t>
    <phoneticPr fontId="7" type="noConversion"/>
  </si>
  <si>
    <t xml:space="preserve"> Less: Subsidies on products</t>
    <phoneticPr fontId="7" type="noConversion"/>
  </si>
  <si>
    <t>Plus: Taxes on production and imports, less Subsidies</t>
    <phoneticPr fontId="7" type="noConversion"/>
  </si>
  <si>
    <t>Less: Subsidies</t>
    <phoneticPr fontId="7" type="noConversion"/>
  </si>
  <si>
    <t>Uses, TOT (UN-DATA): Other subsidies on production</t>
    <phoneticPr fontId="7" type="noConversion"/>
  </si>
  <si>
    <t>Property income</t>
    <phoneticPr fontId="7" type="noConversion"/>
  </si>
  <si>
    <t>Current taxes on income, wealth, etc.</t>
    <phoneticPr fontId="7" type="noConversion"/>
  </si>
  <si>
    <t>Social contributions</t>
    <phoneticPr fontId="7" type="noConversion"/>
  </si>
  <si>
    <t>Social benefits other than social transfers in kind</t>
    <phoneticPr fontId="7" type="noConversion"/>
  </si>
  <si>
    <t xml:space="preserve">Adjustment for the change in net equity of households </t>
    <phoneticPr fontId="7" type="noConversion"/>
  </si>
  <si>
    <t>Adjustment for the change in net equity of households on pe</t>
    <phoneticPr fontId="7" type="noConversion"/>
  </si>
  <si>
    <t>Less: Consumption of fixed capital</t>
    <phoneticPr fontId="7" type="noConversion"/>
  </si>
  <si>
    <t>Output (at basic price)</t>
    <phoneticPr fontId="11" type="noConversion"/>
  </si>
  <si>
    <t>Output, at basic prices (otherwise, please specify)</t>
    <phoneticPr fontId="7" type="noConversion"/>
  </si>
  <si>
    <t>Intermediate consumption, at purchaser's prices</t>
    <phoneticPr fontId="7" type="noConversion"/>
  </si>
  <si>
    <t>Less: Consumption of fixed capital</t>
    <phoneticPr fontId="11" type="noConversion"/>
  </si>
  <si>
    <t>Less: Intermidiate Consumption (at purchaser's price)</t>
    <phoneticPr fontId="11" type="noConversion"/>
  </si>
  <si>
    <t>Compentsation of employees</t>
    <phoneticPr fontId="11" type="noConversion"/>
  </si>
  <si>
    <t>Taxes on production and imports, less Subsidies</t>
    <phoneticPr fontId="11" type="noConversion"/>
  </si>
  <si>
    <t xml:space="preserve">Gross Operating Surplus </t>
    <phoneticPr fontId="11" type="noConversion"/>
  </si>
  <si>
    <t xml:space="preserve">Net Operating Surplus </t>
    <phoneticPr fontId="11" type="noConversion"/>
  </si>
  <si>
    <t>Plus: Net Property Income</t>
    <phoneticPr fontId="11" type="noConversion"/>
  </si>
  <si>
    <t>GNI</t>
    <phoneticPr fontId="11" type="noConversion"/>
  </si>
  <si>
    <t>Total Economy</t>
    <phoneticPr fontId="11" type="noConversion"/>
  </si>
  <si>
    <t>General Income Accounts</t>
    <phoneticPr fontId="11" type="noConversion"/>
  </si>
  <si>
    <t>Production Accounts</t>
    <phoneticPr fontId="11" type="noConversion"/>
  </si>
  <si>
    <t>Allocation Primiary Income Accounts</t>
    <phoneticPr fontId="11" type="noConversion"/>
  </si>
  <si>
    <t xml:space="preserve">Other Current Transfer </t>
    <phoneticPr fontId="11" type="noConversion"/>
  </si>
  <si>
    <t>GDI</t>
    <phoneticPr fontId="11" type="noConversion"/>
  </si>
  <si>
    <t>NDI</t>
    <phoneticPr fontId="11" type="noConversion"/>
  </si>
  <si>
    <t>Final consumption expenditure</t>
    <phoneticPr fontId="7" type="noConversion"/>
  </si>
  <si>
    <t>Secondary Distribution of Income Accounts</t>
    <phoneticPr fontId="11" type="noConversion"/>
  </si>
  <si>
    <t>Final Consumption Expenditure</t>
    <phoneticPr fontId="11" type="noConversion"/>
  </si>
  <si>
    <t>Household Consumption</t>
    <phoneticPr fontId="11" type="noConversion"/>
  </si>
  <si>
    <t>Gross Saving</t>
    <phoneticPr fontId="11" type="noConversion"/>
  </si>
  <si>
    <t>Net Saving</t>
    <phoneticPr fontId="11" type="noConversion"/>
  </si>
  <si>
    <t>Use of Dispossable Income Account</t>
    <phoneticPr fontId="11" type="noConversion"/>
  </si>
  <si>
    <t>Use</t>
    <phoneticPr fontId="11" type="noConversion"/>
  </si>
  <si>
    <t>Capital Account</t>
    <phoneticPr fontId="11" type="noConversion"/>
  </si>
  <si>
    <t>Net Capital Transfer</t>
    <phoneticPr fontId="11" type="noConversion"/>
  </si>
  <si>
    <t>Individual consumption expenditure</t>
    <phoneticPr fontId="7" type="noConversion"/>
  </si>
  <si>
    <t>Collective consumption expenditure</t>
    <phoneticPr fontId="7" type="noConversion"/>
  </si>
  <si>
    <t>Gross fixed capital formation</t>
    <phoneticPr fontId="7" type="noConversion"/>
  </si>
  <si>
    <t>Changes in inventories</t>
    <phoneticPr fontId="7" type="noConversion"/>
  </si>
  <si>
    <t>Gross capital formation</t>
    <phoneticPr fontId="7" type="noConversion"/>
  </si>
  <si>
    <t>Gross Capital Formation</t>
    <phoneticPr fontId="11" type="noConversion"/>
  </si>
  <si>
    <t>Gross Fixed Capital Formatoin</t>
    <phoneticPr fontId="11" type="noConversion"/>
  </si>
  <si>
    <t>Change in Inventories</t>
    <phoneticPr fontId="11" type="noConversion"/>
  </si>
  <si>
    <t>Acquisitions less disposals of non-produced non-financial assets</t>
    <phoneticPr fontId="11" type="noConversion"/>
  </si>
  <si>
    <t xml:space="preserve"> Adjustment entry</t>
    <phoneticPr fontId="11" type="noConversion"/>
  </si>
  <si>
    <t xml:space="preserve"> NET LENDING (+) / NET BORROWING (-)</t>
    <phoneticPr fontId="11" type="noConversion"/>
  </si>
  <si>
    <t>Acquisitions less disposals of non-produced non-financial assets</t>
    <phoneticPr fontId="7" type="noConversion"/>
  </si>
  <si>
    <t>Adjustment entry Changes in assets</t>
    <phoneticPr fontId="7" type="noConversion"/>
  </si>
  <si>
    <t>Less: Financial intermediation services indirectly mea</t>
    <phoneticPr fontId="7" type="noConversion"/>
  </si>
  <si>
    <t>NET LENDING (+) / NET BORROWING (-)</t>
    <phoneticPr fontId="7" type="noConversion"/>
  </si>
  <si>
    <t>NET LENDING (+) / NET BORRO</t>
    <phoneticPr fontId="7" type="noConversion"/>
  </si>
  <si>
    <t>Other taxes less Other subsidies on production</t>
    <phoneticPr fontId="7" type="noConversion"/>
  </si>
  <si>
    <t>Other taxes on production</t>
    <phoneticPr fontId="7" type="noConversion"/>
  </si>
  <si>
    <t>Gross VAT (at basic price)</t>
    <phoneticPr fontId="11" type="noConversion"/>
  </si>
  <si>
    <t>Net VAT</t>
    <phoneticPr fontId="11" type="noConversion"/>
  </si>
  <si>
    <t>Less: Other subsidies on production</t>
    <phoneticPr fontId="7" type="noConversion"/>
  </si>
  <si>
    <t>VALUE ADDED GROSS, at basic prices</t>
    <phoneticPr fontId="7" type="noConversion"/>
  </si>
  <si>
    <t>VALUE ADDED NET, at basic prices</t>
    <phoneticPr fontId="7" type="noConversion"/>
  </si>
  <si>
    <t>MIXED INCOME, GROSS</t>
    <phoneticPr fontId="7" type="noConversion"/>
  </si>
  <si>
    <t>GROSS DISPOSABLE INCOME</t>
    <phoneticPr fontId="7" type="noConversion"/>
  </si>
  <si>
    <t>SAVING, GROSS</t>
    <phoneticPr fontId="7" type="noConversion"/>
  </si>
  <si>
    <t>BALANCE OF PRIMARY INCOMES</t>
    <phoneticPr fontId="7" type="noConversion"/>
  </si>
  <si>
    <t>Balance of Primiary Income Gross</t>
    <phoneticPr fontId="11" type="noConversion"/>
  </si>
  <si>
    <t>Balance of Primiary Income Net</t>
    <phoneticPr fontId="11" type="noConversion"/>
  </si>
  <si>
    <t>Resources</t>
    <phoneticPr fontId="11" type="noConversion"/>
  </si>
  <si>
    <t>Social Benefit other than social tranfer in kind</t>
    <phoneticPr fontId="11" type="noConversion"/>
  </si>
  <si>
    <t>Other current transfers</t>
    <phoneticPr fontId="11" type="noConversion"/>
  </si>
  <si>
    <t xml:space="preserve"> Current taxes on income, wealth, etc.</t>
    <phoneticPr fontId="11" type="noConversion"/>
  </si>
  <si>
    <t xml:space="preserve"> Social contributions</t>
    <phoneticPr fontId="11" type="noConversion"/>
  </si>
  <si>
    <t xml:space="preserve"> Other current transfers</t>
    <phoneticPr fontId="11" type="noConversion"/>
  </si>
  <si>
    <t>Uses</t>
    <phoneticPr fontId="11" type="noConversion"/>
  </si>
  <si>
    <t>Government</t>
    <phoneticPr fontId="11" type="noConversion"/>
  </si>
  <si>
    <t>Uses, GG  VALUE ADDED NET, at basic prices</t>
    <phoneticPr fontId="7" type="noConversion"/>
  </si>
  <si>
    <t>NET LENDING (+) / NET BORROW</t>
    <phoneticPr fontId="7" type="noConversion"/>
  </si>
  <si>
    <t>Subsidies on products</t>
    <phoneticPr fontId="7" type="noConversion"/>
  </si>
  <si>
    <t>Other subsidies on production</t>
    <phoneticPr fontId="7" type="noConversion"/>
  </si>
  <si>
    <t>Resource</t>
    <phoneticPr fontId="11" type="noConversion"/>
  </si>
  <si>
    <t>FC</t>
    <phoneticPr fontId="11" type="noConversion"/>
  </si>
  <si>
    <t xml:space="preserve">VALUE ADDED GROSS, at basic prices </t>
    <phoneticPr fontId="7" type="noConversion"/>
  </si>
  <si>
    <t xml:space="preserve">Resources, FC (UN-DATA): VALUE ADDED GROSS, at basic prices Uses, FC (UN-DATA): </t>
    <phoneticPr fontId="7" type="noConversion"/>
  </si>
  <si>
    <t xml:space="preserve">BALANCE OF PRIMARY INCOMES Uses, FC (UN-DATA): BALANCE </t>
    <phoneticPr fontId="7" type="noConversion"/>
  </si>
  <si>
    <t>GROSS DISPOSABLE INCOME Uses, FC (UN-DATA): GROSS DISPO</t>
    <phoneticPr fontId="7" type="noConversion"/>
  </si>
  <si>
    <t xml:space="preserve">OPERATING SURPLUS, GROSS </t>
    <phoneticPr fontId="7" type="noConversion"/>
  </si>
  <si>
    <t xml:space="preserve">Other current transfers </t>
    <phoneticPr fontId="7" type="noConversion"/>
  </si>
  <si>
    <t>Uses, FC (UN-DATA): Adjustment for the change in net equity of households on pen</t>
    <phoneticPr fontId="7" type="noConversion"/>
  </si>
  <si>
    <t>NFC</t>
    <phoneticPr fontId="11" type="noConversion"/>
  </si>
  <si>
    <t>Corporate Sector</t>
    <phoneticPr fontId="11" type="noConversion"/>
  </si>
  <si>
    <t>ROW</t>
    <phoneticPr fontId="11" type="noConversion"/>
  </si>
  <si>
    <t>External Account</t>
    <phoneticPr fontId="11" type="noConversion"/>
  </si>
  <si>
    <t>Import of Good and Services</t>
    <phoneticPr fontId="11" type="noConversion"/>
  </si>
  <si>
    <t>Export of Goods and Services</t>
    <phoneticPr fontId="11" type="noConversion"/>
  </si>
  <si>
    <t>External Balance of Goods and Services</t>
    <phoneticPr fontId="11" type="noConversion"/>
  </si>
  <si>
    <t>Property Income</t>
    <phoneticPr fontId="11" type="noConversion"/>
  </si>
  <si>
    <t>EXTERNAL BALANCE OF GOODS AND SERVICES</t>
    <phoneticPr fontId="7" type="noConversion"/>
  </si>
  <si>
    <t>Exports of goods</t>
    <phoneticPr fontId="7" type="noConversion"/>
  </si>
  <si>
    <t>Exports of services</t>
    <phoneticPr fontId="7" type="noConversion"/>
  </si>
  <si>
    <t>Exports of goods and services</t>
    <phoneticPr fontId="7" type="noConversion"/>
  </si>
  <si>
    <t>Imports of goods</t>
    <phoneticPr fontId="7" type="noConversion"/>
  </si>
  <si>
    <t>Imports of services</t>
    <phoneticPr fontId="7" type="noConversion"/>
  </si>
  <si>
    <t>Imports of goods and services</t>
    <phoneticPr fontId="7" type="noConversion"/>
  </si>
  <si>
    <t>Changes in liabilities and net worth, RoW (UN-DATA): Adjustment to reconcile Net</t>
    <phoneticPr fontId="7" type="noConversion"/>
  </si>
  <si>
    <t>Exchange Rate RP to USD)</t>
    <phoneticPr fontId="11" type="noConversion"/>
  </si>
  <si>
    <t>Household and HPISH</t>
    <phoneticPr fontId="11" type="noConversion"/>
  </si>
  <si>
    <t xml:space="preserve">ad. Gross Operating Surplus </t>
    <phoneticPr fontId="11" type="noConversion"/>
  </si>
  <si>
    <t>Uses</t>
    <phoneticPr fontId="11" type="noConversion"/>
  </si>
  <si>
    <t>Resources, equal to total compensation resources</t>
    <phoneticPr fontId="11" type="noConversion"/>
  </si>
  <si>
    <t xml:space="preserve"> Current taxes on income, wealth, etc. (incl. Compulsory Fees and Fines)</t>
    <phoneticPr fontId="11" type="noConversion"/>
  </si>
  <si>
    <t>HK</t>
  </si>
  <si>
    <t>Eastern Asia</t>
  </si>
  <si>
    <t>HKG</t>
  </si>
  <si>
    <t>Current HKD</t>
  </si>
  <si>
    <t>Current Billion HKD</t>
  </si>
  <si>
    <t xml:space="preserve"> Gross Operating Surplus </t>
  </si>
  <si>
    <t xml:space="preserve"> Compentsation of employees</t>
  </si>
  <si>
    <t>WID data, consumption of fixed capital</t>
    <phoneticPr fontId="11" type="noConversion"/>
  </si>
  <si>
    <t>Compensation of employees</t>
    <phoneticPr fontId="11" type="noConversion"/>
  </si>
  <si>
    <t>[1]</t>
    <phoneticPr fontId="11" type="noConversion"/>
  </si>
  <si>
    <t>[2]</t>
    <phoneticPr fontId="11" type="noConversion"/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</si>
  <si>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</si>
  <si>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</si>
  <si>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</si>
  <si>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</si>
  <si>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</si>
  <si>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</si>
  <si>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</si>
  <si>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</si>
  <si>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</si>
  <si>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</si>
  <si>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</si>
  <si>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</si>
  <si>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</si>
  <si>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</si>
  <si>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</si>
  <si>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</si>
  <si>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</si>
  <si>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</si>
  <si>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</si>
  <si>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</si>
  <si>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</si>
  <si>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[24]</t>
  </si>
  <si>
    <t>[25]</t>
  </si>
  <si>
    <t>[26]</t>
  </si>
  <si>
    <t>[27]</t>
  </si>
  <si>
    <t>[28]</t>
  </si>
  <si>
    <t>[29]</t>
  </si>
  <si>
    <t>[30]</t>
  </si>
  <si>
    <t>[31]</t>
  </si>
  <si>
    <t>[32]</t>
  </si>
  <si>
    <t>[33]</t>
  </si>
  <si>
    <t>[34]</t>
  </si>
  <si>
    <t>Year</t>
    <phoneticPr fontId="11" type="noConversion"/>
  </si>
  <si>
    <t>top 0.01%</t>
  </si>
  <si>
    <t>top 0.1%</t>
  </si>
  <si>
    <t>top 1%</t>
  </si>
  <si>
    <t>top 10%</t>
  </si>
  <si>
    <t>middle 40%</t>
  </si>
  <si>
    <t>bottom 50%</t>
  </si>
  <si>
    <t>Gini</t>
    <phoneticPr fontId="11" type="noConversion"/>
  </si>
  <si>
    <t>%</t>
    <phoneticPr fontId="11" type="noConversion"/>
  </si>
  <si>
    <t>Notes</t>
    <phoneticPr fontId="11" type="noConversion"/>
  </si>
  <si>
    <t>[2]</t>
  </si>
  <si>
    <t>Top 1%</t>
    <phoneticPr fontId="11" type="noConversion"/>
  </si>
  <si>
    <t>Top 10%</t>
    <phoneticPr fontId="11" type="noConversion"/>
  </si>
  <si>
    <t>Middle 40%</t>
    <phoneticPr fontId="11" type="noConversion"/>
  </si>
  <si>
    <t>Bottom 50%</t>
    <phoneticPr fontId="11" type="noConversion"/>
  </si>
  <si>
    <t>Total Populaiton</t>
    <phoneticPr fontId="11" type="noConversion"/>
  </si>
  <si>
    <t>Adj Fiscal Income</t>
    <phoneticPr fontId="11" type="noConversion"/>
  </si>
  <si>
    <t>Wage Income</t>
    <phoneticPr fontId="11" type="noConversion"/>
  </si>
  <si>
    <t>Business Income</t>
    <phoneticPr fontId="11" type="noConversion"/>
  </si>
  <si>
    <t>Other Income</t>
    <phoneticPr fontId="11" type="noConversion"/>
  </si>
  <si>
    <t>[35]</t>
  </si>
  <si>
    <t>[36]</t>
  </si>
  <si>
    <t>[37]</t>
  </si>
  <si>
    <t>[38]</t>
  </si>
  <si>
    <t>[39]</t>
  </si>
  <si>
    <t>[40]</t>
  </si>
  <si>
    <t>[41]</t>
  </si>
  <si>
    <t>[42]</t>
  </si>
  <si>
    <t>National income (NNI)</t>
    <phoneticPr fontId="11" type="noConversion"/>
  </si>
  <si>
    <t>Survey</t>
    <phoneticPr fontId="11" type="noConversion"/>
  </si>
  <si>
    <t>Adj. Survey</t>
    <phoneticPr fontId="11" type="noConversion"/>
  </si>
  <si>
    <t>% Survey in NA</t>
    <phoneticPr fontId="11" type="noConversion"/>
  </si>
  <si>
    <t>% Adj.Survey in NA</t>
    <phoneticPr fontId="11" type="noConversion"/>
  </si>
  <si>
    <t>Unit</t>
    <phoneticPr fontId="11" type="noConversion"/>
  </si>
  <si>
    <t>% NNI</t>
  </si>
  <si>
    <t>equal to primary income</t>
    <phoneticPr fontId="11" type="noConversion"/>
  </si>
  <si>
    <t>Current Billion HKD</t>
    <phoneticPr fontId="11" type="noConversion"/>
  </si>
  <si>
    <t>Survey (wage)</t>
    <phoneticPr fontId="11" type="noConversion"/>
  </si>
  <si>
    <t>Adj Survey (wage)</t>
    <phoneticPr fontId="11" type="noConversion"/>
  </si>
  <si>
    <t>Adjusted Survey</t>
    <phoneticPr fontId="11" type="noConversion"/>
  </si>
  <si>
    <t>Fixed Thresholds (1 billion USD)</t>
    <phoneticPr fontId="11" type="noConversion"/>
  </si>
  <si>
    <t>Lowest threshold in the rich list</t>
    <phoneticPr fontId="11" type="noConversion"/>
  </si>
  <si>
    <t>Threshold</t>
    <phoneticPr fontId="11" type="noConversion"/>
  </si>
  <si>
    <t>Population</t>
    <phoneticPr fontId="11" type="noConversion"/>
  </si>
  <si>
    <t>Bracketavg</t>
    <phoneticPr fontId="11" type="noConversion"/>
  </si>
  <si>
    <t>billion USD</t>
    <phoneticPr fontId="11" type="noConversion"/>
  </si>
  <si>
    <t>person</t>
    <phoneticPr fontId="11" type="noConversion"/>
  </si>
  <si>
    <t>Total Populaiton (StatsOffic)</t>
    <phoneticPr fontId="11" type="noConversion"/>
  </si>
  <si>
    <t>Pop Census</t>
    <phoneticPr fontId="11" type="noConversion"/>
  </si>
  <si>
    <t>Mid Year adult Population 20+</t>
    <phoneticPr fontId="11" type="noConversion"/>
  </si>
  <si>
    <t>20+ Census</t>
    <phoneticPr fontId="11" type="noConversion"/>
  </si>
  <si>
    <t>Adult ratio</t>
    <phoneticPr fontId="11" type="noConversion"/>
  </si>
  <si>
    <t>Mid Yearw Work force  (20-64)</t>
    <phoneticPr fontId="11" type="noConversion"/>
  </si>
  <si>
    <t>1000 person</t>
    <phoneticPr fontId="11" type="noConversion"/>
  </si>
  <si>
    <t>Note</t>
    <phoneticPr fontId="11" type="noConversion"/>
  </si>
  <si>
    <t>1981 data from census</t>
    <phoneticPr fontId="11" type="noConversion"/>
  </si>
  <si>
    <t>AX:3 Population</t>
    <phoneticPr fontId="11" type="noConversion"/>
  </si>
  <si>
    <t>AX4: Rich List Summary Statistics</t>
    <phoneticPr fontId="11" type="noConversion"/>
  </si>
  <si>
    <t>N.A.</t>
    <phoneticPr fontId="11" type="noConversion"/>
  </si>
  <si>
    <t>% of NI</t>
    <phoneticPr fontId="11" type="noConversion"/>
  </si>
  <si>
    <t>Exchange Rate (USD to HKD)</t>
    <phoneticPr fontId="11" type="noConversion"/>
  </si>
  <si>
    <t>CPI</t>
    <phoneticPr fontId="11" type="noConversion"/>
  </si>
  <si>
    <t>Price Index</t>
    <phoneticPr fontId="11" type="noConversion"/>
  </si>
  <si>
    <t>%</t>
    <phoneticPr fontId="11" type="noConversion"/>
  </si>
  <si>
    <t>Total Wealth</t>
    <phoneticPr fontId="11" type="noConversion"/>
  </si>
  <si>
    <t>CPI (2016=100)</t>
    <phoneticPr fontId="11" type="noConversion"/>
  </si>
  <si>
    <t>Billion 2016 HKD</t>
    <phoneticPr fontId="11" type="noConversion"/>
  </si>
  <si>
    <t>% of compentsation of employees</t>
    <phoneticPr fontId="11" type="noConversion"/>
  </si>
  <si>
    <t>1981-1996</t>
    <phoneticPr fontId="11" type="noConversion"/>
  </si>
  <si>
    <t>1981-2016</t>
    <phoneticPr fontId="11" type="noConversion"/>
  </si>
  <si>
    <t>billion 2016 HKD</t>
    <phoneticPr fontId="11" type="noConversion"/>
  </si>
  <si>
    <t>billion current HKD</t>
    <phoneticPr fontId="11" type="noConversion"/>
  </si>
  <si>
    <t>Total</t>
    <phoneticPr fontId="11" type="noConversion"/>
  </si>
  <si>
    <t>2001-2016</t>
    <phoneticPr fontId="11" type="noConversion"/>
  </si>
  <si>
    <t>1996-2001</t>
    <phoneticPr fontId="11" type="noConversion"/>
  </si>
  <si>
    <t>Compensation of employees (adult)</t>
    <phoneticPr fontId="11" type="noConversion"/>
  </si>
  <si>
    <t>1988-1996</t>
    <phoneticPr fontId="11" type="noConversion"/>
  </si>
  <si>
    <t>Survey (Total Income)</t>
    <phoneticPr fontId="11" type="noConversion"/>
  </si>
  <si>
    <t>Adj Survey (Total Income)</t>
    <phoneticPr fontId="11" type="noConversion"/>
  </si>
  <si>
    <t>Huang 2018 top share series (wage)</t>
    <phoneticPr fontId="11" type="noConversion"/>
  </si>
  <si>
    <t>Notes: 
Total income=Wage income + Business income+ Other income
Other income includes transfer income, rent and capital income</t>
    <phoneticPr fontId="11" type="noConversion"/>
  </si>
  <si>
    <t xml:space="preserve">million times </t>
    <phoneticPr fontId="11" type="noConversion"/>
  </si>
  <si>
    <t>Times of average wage</t>
    <phoneticPr fontId="11" type="noConversion"/>
  </si>
  <si>
    <t>HKD</t>
    <phoneticPr fontId="11" type="noConversion"/>
  </si>
  <si>
    <t>USD</t>
    <phoneticPr fontId="11" type="noConversion"/>
  </si>
  <si>
    <t>Top Thr (per month)</t>
    <phoneticPr fontId="11" type="noConversion"/>
  </si>
  <si>
    <t>Top Coding (based on individual income, not equal split)</t>
    <phoneticPr fontId="11" type="noConversion"/>
  </si>
  <si>
    <t>[43]</t>
  </si>
  <si>
    <t>[44]</t>
  </si>
  <si>
    <t>[45]</t>
  </si>
  <si>
    <t>[46]</t>
  </si>
  <si>
    <t>[47]</t>
  </si>
  <si>
    <t>[48]</t>
  </si>
  <si>
    <t>Notes: 
Total income=Wage income + Business income+ Other income
Other income includes transfer income, rent and capital income (excl. pension)</t>
    <phoneticPr fontId="11" type="noConversion"/>
  </si>
  <si>
    <t>[17]</t>
    <phoneticPr fontId="11" type="noConversion"/>
  </si>
  <si>
    <t>AX5: Top coding of raw survey</t>
    <phoneticPr fontId="11" type="noConversion"/>
  </si>
  <si>
    <t>[1]</t>
    <phoneticPr fontId="11" type="noConversion"/>
  </si>
  <si>
    <t>Wage Income</t>
    <phoneticPr fontId="11" type="noConversion"/>
  </si>
  <si>
    <t>Business Income</t>
    <phoneticPr fontId="11" type="noConversion"/>
  </si>
  <si>
    <t>Other Income</t>
    <phoneticPr fontId="11" type="noConversion"/>
  </si>
  <si>
    <t>Sample Size</t>
    <phoneticPr fontId="11" type="noConversion"/>
  </si>
  <si>
    <t>% of top coded</t>
    <phoneticPr fontId="11" type="noConversion"/>
  </si>
  <si>
    <t>No. of obs top coded</t>
    <phoneticPr fontId="11" type="noConversion"/>
  </si>
  <si>
    <t>A1.0: Decomposition of National Income (% of NI)</t>
    <phoneticPr fontId="11" type="noConversion"/>
  </si>
  <si>
    <t>[22]</t>
    <phoneticPr fontId="11" type="noConversion"/>
  </si>
  <si>
    <t>A2.3: Income decomposition by income sources and income groups (Equal split series)</t>
    <phoneticPr fontId="11" type="noConversion"/>
  </si>
  <si>
    <t>A2.2:Growth rate in different income groups (Equal split series)</t>
    <phoneticPr fontId="11" type="noConversion"/>
  </si>
  <si>
    <t>[49]</t>
  </si>
  <si>
    <t>[50]</t>
  </si>
  <si>
    <t>[51]</t>
  </si>
  <si>
    <t>[52]</t>
  </si>
  <si>
    <t>[53]</t>
  </si>
  <si>
    <t>[54]</t>
  </si>
  <si>
    <t>[55]</t>
  </si>
  <si>
    <t>[56]</t>
  </si>
  <si>
    <t>[57]</t>
  </si>
  <si>
    <t>Survey_uncoded (wage)</t>
    <phoneticPr fontId="11" type="noConversion"/>
  </si>
  <si>
    <t>Survey_uncoded (Total Income)</t>
    <phoneticPr fontId="11" type="noConversion"/>
  </si>
  <si>
    <t>Survey_uncoded</t>
    <phoneticPr fontId="11" type="noConversion"/>
  </si>
  <si>
    <t>Survey uncoded (wage)</t>
    <phoneticPr fontId="11" type="noConversion"/>
  </si>
  <si>
    <t>Adj. Survey (wage)</t>
    <phoneticPr fontId="11" type="noConversion"/>
  </si>
  <si>
    <t>Survey uncoded</t>
    <phoneticPr fontId="11" type="noConversion"/>
  </si>
  <si>
    <t>% Adj.Survey of NNI</t>
    <phoneticPr fontId="11" type="noConversion"/>
  </si>
  <si>
    <t>% Survey of NNI</t>
    <phoneticPr fontId="11" type="noConversion"/>
  </si>
  <si>
    <t xml:space="preserve">A2.0: Reference table for national income and compensation of employees, HKG 1980-2016 </t>
    <phoneticPr fontId="11" type="noConversion"/>
  </si>
  <si>
    <t>A2.1: Income shares: Survey vs. Survey_uncoded vs. Adj. Survey(Equal split series)</t>
    <phoneticPr fontId="11" type="noConversion"/>
  </si>
  <si>
    <t xml:space="preserve">AX6: Tax Rate in Hong Kong </t>
    <phoneticPr fontId="11" type="noConversion"/>
  </si>
  <si>
    <t>Profit Tax</t>
    <phoneticPr fontId="11" type="noConversion"/>
  </si>
  <si>
    <t>Incorporation</t>
    <phoneticPr fontId="11" type="noConversion"/>
  </si>
  <si>
    <t>Unincorporation</t>
    <phoneticPr fontId="11" type="noConversion"/>
  </si>
  <si>
    <t>1996.4.1</t>
    <phoneticPr fontId="11" type="noConversion"/>
  </si>
  <si>
    <t>1997.4.1</t>
    <phoneticPr fontId="11" type="noConversion"/>
  </si>
  <si>
    <t>[6500,8000)</t>
    <phoneticPr fontId="11" type="noConversion"/>
  </si>
  <si>
    <t>[8000, 9500)</t>
    <phoneticPr fontId="11" type="noConversion"/>
  </si>
  <si>
    <t>[7000,8500)</t>
    <phoneticPr fontId="11" type="noConversion"/>
  </si>
  <si>
    <t>[8500, 10000)</t>
    <phoneticPr fontId="11" type="noConversion"/>
  </si>
  <si>
    <t>[10000, .)</t>
    <phoneticPr fontId="11" type="noConversion"/>
  </si>
  <si>
    <t>[7500,9000)</t>
    <phoneticPr fontId="11" type="noConversion"/>
  </si>
  <si>
    <t>[9000, 10500)</t>
    <phoneticPr fontId="11" type="noConversion"/>
  </si>
  <si>
    <t>[10500, .)</t>
    <phoneticPr fontId="11" type="noConversion"/>
  </si>
  <si>
    <t>[7500, .)</t>
    <phoneticPr fontId="11" type="noConversion"/>
  </si>
  <si>
    <t>Estate Duty</t>
    <phoneticPr fontId="11" type="noConversion"/>
  </si>
  <si>
    <t>1000 HKD</t>
    <phoneticPr fontId="11" type="noConversion"/>
  </si>
  <si>
    <t>[9500, .)</t>
    <phoneticPr fontId="11" type="noConversion"/>
  </si>
  <si>
    <t>2006.2.11</t>
    <phoneticPr fontId="11" type="noConversion"/>
  </si>
  <si>
    <t>2005.7.15</t>
    <phoneticPr fontId="11" type="noConversion"/>
  </si>
  <si>
    <t>Bracket</t>
    <phoneticPr fontId="11" type="noConversion"/>
  </si>
  <si>
    <t>Rate</t>
    <phoneticPr fontId="11" type="noConversion"/>
  </si>
  <si>
    <t> </t>
  </si>
  <si>
    <t>-</t>
  </si>
  <si>
    <t>- *</t>
  </si>
  <si>
    <t/>
  </si>
  <si>
    <t>(1)</t>
  </si>
  <si>
    <t>(2)</t>
  </si>
  <si>
    <t>(3)</t>
  </si>
  <si>
    <t>*</t>
  </si>
  <si>
    <t>Operation Income</t>
    <phoneticPr fontId="11" type="noConversion"/>
  </si>
  <si>
    <t>Non-operation Income</t>
    <phoneticPr fontId="11" type="noConversion"/>
  </si>
  <si>
    <t>Direct Tax</t>
    <phoneticPr fontId="11" type="noConversion"/>
  </si>
  <si>
    <t>Indirect Tax</t>
    <phoneticPr fontId="11" type="noConversion"/>
  </si>
  <si>
    <t>Funds</t>
    <phoneticPr fontId="11" type="noConversion"/>
  </si>
  <si>
    <t>Personal assessment</t>
  </si>
  <si>
    <t>Stamp duty</t>
    <phoneticPr fontId="11" type="noConversion"/>
  </si>
  <si>
    <t>Direct taxes</t>
  </si>
  <si>
    <t>Earnings and profits tax</t>
  </si>
  <si>
    <t>Interest tax</t>
  </si>
  <si>
    <t>Profits tax</t>
  </si>
  <si>
    <t>Property tax</t>
  </si>
  <si>
    <t>Salaries tax</t>
  </si>
  <si>
    <t>Indirect taxes</t>
  </si>
  <si>
    <t>Bets and sweeps tax</t>
  </si>
  <si>
    <t>Entertainments tax</t>
  </si>
  <si>
    <t>Hotel accommodation tax (1)</t>
  </si>
  <si>
    <t>Stamp duties</t>
  </si>
  <si>
    <t>Air passenger departure tax</t>
  </si>
  <si>
    <t>Cross Harbour Tunnel passage tax</t>
  </si>
  <si>
    <t>Duties</t>
  </si>
  <si>
    <t>General rates</t>
  </si>
  <si>
    <t>Motor vehicle taxes</t>
  </si>
  <si>
    <t>Royalties and concessions</t>
  </si>
  <si>
    <t>Fees and charges (tax-loaded fees) (2)</t>
  </si>
  <si>
    <t>Other revenue</t>
  </si>
  <si>
    <t>Fines, forfeitures and penalties</t>
  </si>
  <si>
    <t>Properties and investments</t>
  </si>
  <si>
    <t>Loans, reimbursements, contributions and other receipts</t>
  </si>
  <si>
    <t>Utilities</t>
  </si>
  <si>
    <t>Fees and charges (excluding tax-loaded fees) (2)</t>
  </si>
  <si>
    <t>Investment income (3)</t>
  </si>
  <si>
    <t>General revenue account</t>
  </si>
  <si>
    <t>Land Fund</t>
  </si>
  <si>
    <t>Total operating revenue</t>
  </si>
  <si>
    <t>Estate duty</t>
  </si>
  <si>
    <t>Taxi concessions</t>
  </si>
  <si>
    <t>Land transactions</t>
  </si>
  <si>
    <t>Recovery from Housing Authority</t>
  </si>
  <si>
    <t>Others</t>
  </si>
  <si>
    <t>Funds (3)</t>
  </si>
  <si>
    <t>Capital Works Reserve Fund</t>
  </si>
  <si>
    <t>Land premium</t>
  </si>
  <si>
    <t>Others (3)</t>
  </si>
  <si>
    <t>Capital Investment Fund (3)</t>
  </si>
  <si>
    <t>Disaster Relief Fund (3)</t>
  </si>
  <si>
    <t>Loan Fund (3)</t>
  </si>
  <si>
    <t>Civil Service Pension Reserve Fund (3)</t>
  </si>
  <si>
    <t>Innovation and Technology Fund (3)</t>
  </si>
  <si>
    <t>Lotteries Fund (3)</t>
  </si>
  <si>
    <t>Notes :</t>
  </si>
  <si>
    <t>Effective from 1 July 2008, the Governmentwaives the charge of hotel accommodation tax.</t>
  </si>
  <si>
    <t>The tax-loaded portion of fees and charges is re-classified under tax revenue.</t>
  </si>
  <si>
    <t>The investment incomes on the fiscal reserves for 2014-15 and 2015-16 have been set aside and retained within the Exchange Fund as provision for the Housing Reserve, and were not received on 31 December 2014 and 31 December 2015 .</t>
  </si>
  <si>
    <t>The tax-loaded portion of fees and charges before 1995-96 are not available and the total amount of this item is put under other revenue.</t>
  </si>
  <si>
    <t>Source :</t>
  </si>
  <si>
    <t>Last revision date: 25 October, 2019</t>
  </si>
  <si>
    <t>A1.1: Decomposition of Government Revenue (% of NI)</t>
    <phoneticPr fontId="11" type="noConversion"/>
  </si>
  <si>
    <t>Total Government Revenue</t>
    <phoneticPr fontId="11" type="noConversion"/>
  </si>
  <si>
    <t>%</t>
    <phoneticPr fontId="11" type="noConversion"/>
  </si>
  <si>
    <t>Operation Revenue</t>
    <phoneticPr fontId="11" type="noConversion"/>
  </si>
  <si>
    <t>Profit Tax (inco+uninco)</t>
    <phoneticPr fontId="11" type="noConversion"/>
  </si>
  <si>
    <t>Property Tax+Interest Tax</t>
    <phoneticPr fontId="11" type="noConversion"/>
  </si>
  <si>
    <t>Salaries Tax</t>
    <phoneticPr fontId="11" type="noConversion"/>
  </si>
  <si>
    <t>Personal Accessment</t>
    <phoneticPr fontId="11" type="noConversion"/>
  </si>
  <si>
    <t>Others</t>
    <phoneticPr fontId="11" type="noConversion"/>
  </si>
  <si>
    <t>Other Revenue</t>
    <phoneticPr fontId="11" type="noConversion"/>
  </si>
  <si>
    <t>Non Operation Revenue</t>
    <phoneticPr fontId="11" type="noConversion"/>
  </si>
  <si>
    <t>Land premium</t>
    <phoneticPr fontId="11" type="noConversion"/>
  </si>
  <si>
    <t>Corporate Profit (based on tax revenue)</t>
    <phoneticPr fontId="11" type="noConversion"/>
  </si>
  <si>
    <t>Notes</t>
    <phoneticPr fontId="11" type="noConversion"/>
  </si>
  <si>
    <t>https://asiapacificwealthreport.com/reports/population/asia-pacific/hong-kong/</t>
    <phoneticPr fontId="11" type="noConversion"/>
  </si>
  <si>
    <t>million USD</t>
    <phoneticPr fontId="11" type="noConversion"/>
  </si>
  <si>
    <t xml:space="preserve">APWR on HNWI, who has investable assets higher than 1 million USD, excl. primary resident, collections, consumibles, and consumer duribles. </t>
    <phoneticPr fontId="11" type="noConversion"/>
  </si>
  <si>
    <t>billion HKD</t>
    <phoneticPr fontId="11" type="noConversion"/>
  </si>
  <si>
    <t>1998.7.1</t>
    <phoneticPr fontId="11" type="noConversion"/>
  </si>
  <si>
    <t>Total investable assets</t>
    <phoneticPr fontId="11" type="noConversion"/>
  </si>
  <si>
    <t>Investable assets per person</t>
    <phoneticPr fontId="11" type="noConversion"/>
  </si>
  <si>
    <t>Threshold
( Investable assets)</t>
    <phoneticPr fontId="11" type="noConversion"/>
  </si>
  <si>
    <t>Current million USD</t>
    <phoneticPr fontId="11" type="noConversion"/>
  </si>
  <si>
    <t>Million 2016 HKD</t>
    <phoneticPr fontId="11" type="noConversion"/>
  </si>
  <si>
    <t>% of Adults (20+)</t>
    <phoneticPr fontId="11" type="noConversion"/>
  </si>
  <si>
    <t>Annual Outcome</t>
    <phoneticPr fontId="11" type="noConversion"/>
  </si>
  <si>
    <t>Annual Growth Rate (%)</t>
    <phoneticPr fontId="11" type="noConversion"/>
  </si>
  <si>
    <t>2008-2016</t>
    <phoneticPr fontId="11" type="noConversion"/>
  </si>
  <si>
    <t xml:space="preserve">Notes: 
HNWI: Individual who has investable assets higher than 1 million USD, excluding primary resident, collections, consumibles, and consumer duribles. </t>
    <phoneticPr fontId="11" type="noConversion"/>
  </si>
  <si>
    <t>2008-2011</t>
    <phoneticPr fontId="11" type="noConversion"/>
  </si>
  <si>
    <t>2011-2016</t>
    <phoneticPr fontId="11" type="noConversion"/>
  </si>
  <si>
    <t>CFC (% GNI)</t>
    <phoneticPr fontId="11" type="noConversion"/>
  </si>
  <si>
    <t>Total Income (wage+busi+oth)</t>
    <phoneticPr fontId="11" type="noConversion"/>
  </si>
  <si>
    <t xml:space="preserve"> </t>
    <phoneticPr fontId="11" type="noConversion"/>
  </si>
  <si>
    <t>% NNI</t>
    <phoneticPr fontId="11" type="noConversion"/>
  </si>
  <si>
    <t>Uncoded business income from raw survey</t>
  </si>
  <si>
    <t>Uncoded business income from raw survey</t>
    <phoneticPr fontId="11" type="noConversion"/>
  </si>
  <si>
    <t>Corrected business income</t>
    <phoneticPr fontId="11" type="noConversion"/>
  </si>
  <si>
    <t xml:space="preserve">Corporate Profit </t>
    <phoneticPr fontId="11" type="noConversion"/>
  </si>
  <si>
    <t>Figures for 2018-19 are subject to audit by the Director of Audit.</t>
    <phoneticPr fontId="11" type="noConversion"/>
  </si>
  <si>
    <t>Financial Services and the Treasury Bureau, Government Secretariat
(Enquiry Telephone No.: 2810 3658
 Enquiry e-mail : hdiv@fstb.gov.hk)</t>
    <phoneticPr fontId="11" type="noConversion"/>
  </si>
  <si>
    <t>https://www.censtatd.gov.hk/hkstat/sub/sp110_tc.jsp?tableID=193&amp;ID=0&amp;productType=8</t>
    <phoneticPr fontId="11" type="noConversion"/>
  </si>
  <si>
    <t>AX7: Hong Kong Gov. Revenue (mill HKD)</t>
    <phoneticPr fontId="11" type="noConversion"/>
  </si>
  <si>
    <t>growth rate</t>
    <phoneticPr fontId="11" type="noConversion"/>
  </si>
  <si>
    <t>1996-2016</t>
    <phoneticPr fontId="11" type="noConversion"/>
  </si>
  <si>
    <t>2016 Billion HKD</t>
  </si>
  <si>
    <t>2016 Billion HKD</t>
    <phoneticPr fontId="11" type="noConversion"/>
  </si>
  <si>
    <t>1981-1986</t>
    <phoneticPr fontId="11" type="noConversion"/>
  </si>
  <si>
    <t>1986-1991</t>
    <phoneticPr fontId="11" type="noConversion"/>
  </si>
  <si>
    <t>1991-1996</t>
    <phoneticPr fontId="11" type="noConversion"/>
  </si>
  <si>
    <t>2001-2006</t>
    <phoneticPr fontId="11" type="noConversion"/>
  </si>
  <si>
    <t>2006-2011</t>
    <phoneticPr fontId="11" type="noConversion"/>
  </si>
  <si>
    <t>[3]</t>
    <phoneticPr fontId="11" type="noConversion"/>
  </si>
  <si>
    <t>[4]</t>
    <phoneticPr fontId="11" type="noConversion"/>
  </si>
  <si>
    <t>top 1%</t>
    <phoneticPr fontId="11" type="noConversion"/>
  </si>
  <si>
    <t xml:space="preserve">top 10% </t>
    <phoneticPr fontId="11" type="noConversion"/>
  </si>
  <si>
    <t>middle 40%</t>
    <phoneticPr fontId="11" type="noConversion"/>
  </si>
  <si>
    <t>bottom 50%</t>
    <phoneticPr fontId="11" type="noConversion"/>
  </si>
  <si>
    <t>Whole Sample</t>
    <phoneticPr fontId="11" type="noConversion"/>
  </si>
  <si>
    <t>Income Shares</t>
    <phoneticPr fontId="11" type="noConversion"/>
  </si>
  <si>
    <t>Average Income</t>
    <phoneticPr fontId="11" type="noConversion"/>
  </si>
  <si>
    <t>HKD</t>
    <phoneticPr fontId="11" type="noConversion"/>
  </si>
  <si>
    <t>20-30</t>
    <phoneticPr fontId="11" type="noConversion"/>
  </si>
  <si>
    <t>30-40</t>
    <phoneticPr fontId="11" type="noConversion"/>
  </si>
  <si>
    <t>50-50</t>
    <phoneticPr fontId="11" type="noConversion"/>
  </si>
  <si>
    <t>50-65</t>
    <phoneticPr fontId="11" type="noConversion"/>
  </si>
  <si>
    <t>40-50</t>
    <phoneticPr fontId="11" type="noConversion"/>
  </si>
  <si>
    <t>% in NA</t>
    <phoneticPr fontId="11" type="noConversion"/>
  </si>
  <si>
    <t xml:space="preserve">A3.0: Reference table for capital share, HKG 1980-2016 </t>
    <phoneticPr fontId="11" type="noConversion"/>
  </si>
  <si>
    <t>Profit based on profit tax (inco and uninco) after tax</t>
    <phoneticPr fontId="11" type="noConversion"/>
  </si>
  <si>
    <t>Direct Investment</t>
    <phoneticPr fontId="11" type="noConversion"/>
  </si>
  <si>
    <t>Portfolio investment income</t>
    <phoneticPr fontId="11" type="noConversion"/>
  </si>
  <si>
    <t>Other investment income</t>
    <phoneticPr fontId="11" type="noConversion"/>
  </si>
  <si>
    <t>Income on reserve assets</t>
    <phoneticPr fontId="11" type="noConversion"/>
  </si>
  <si>
    <t>Investment Income</t>
    <phoneticPr fontId="11" type="noConversion"/>
  </si>
  <si>
    <t>Paid</t>
    <phoneticPr fontId="11" type="noConversion"/>
  </si>
  <si>
    <t>Reveived</t>
    <phoneticPr fontId="11" type="noConversion"/>
  </si>
  <si>
    <t>Adjusted Capital Income</t>
    <phoneticPr fontId="11" type="noConversion"/>
  </si>
  <si>
    <t>%</t>
    <phoneticPr fontId="11" type="noConversion"/>
  </si>
  <si>
    <t>1996-2016</t>
    <phoneticPr fontId="11" type="noConversion"/>
  </si>
  <si>
    <t>% Adj.Survey in NNI</t>
    <phoneticPr fontId="11" type="noConversion"/>
  </si>
  <si>
    <t>Profit based on profit tax (inco and uninco) before tax</t>
    <phoneticPr fontId="11" type="noConversion"/>
  </si>
  <si>
    <t xml:space="preserve">BOP Direct Investment and Portfolio investment  Income </t>
    <phoneticPr fontId="11" type="noConversion"/>
  </si>
  <si>
    <t>Share of Capital Income in NI</t>
    <phoneticPr fontId="11" type="noConversion"/>
  </si>
  <si>
    <t>CPI (1980=100)</t>
    <phoneticPr fontId="11" type="noConversion"/>
  </si>
  <si>
    <t>Hong Kong</t>
    <phoneticPr fontId="11" type="noConversion"/>
  </si>
  <si>
    <t>USA</t>
  </si>
  <si>
    <t>USA</t>
    <phoneticPr fontId="11" type="noConversion"/>
  </si>
  <si>
    <t>Singapore</t>
  </si>
  <si>
    <t>Singapore</t>
    <phoneticPr fontId="11" type="noConversion"/>
  </si>
  <si>
    <t>Ireland</t>
  </si>
  <si>
    <t>Ireland</t>
    <phoneticPr fontId="11" type="noConversion"/>
  </si>
  <si>
    <t>Switzerland</t>
  </si>
  <si>
    <t>Israel</t>
  </si>
  <si>
    <t>Norway</t>
  </si>
  <si>
    <t>Sweden</t>
  </si>
  <si>
    <t>Data source: see do file C:\Users\Li\Dropbox\Asia\WIDHongKong\WealthDistribution\Richlist\Do files</t>
    <phoneticPr fontId="11" type="noConversion"/>
  </si>
  <si>
    <t>data in 1995 and 1995 are from  do file C:\Users\Li\Dropbox\Asia\WIDHongKong\WealthDistribution\Richlist\Do files</t>
    <phoneticPr fontId="11" type="noConversion"/>
  </si>
  <si>
    <t>Switzerland</t>
    <phoneticPr fontId="11" type="noConversion"/>
  </si>
  <si>
    <t>Sweden</t>
    <phoneticPr fontId="11" type="noConversion"/>
  </si>
  <si>
    <t>Norway</t>
    <phoneticPr fontId="11" type="noConversion"/>
  </si>
  <si>
    <t>Israel</t>
    <phoneticPr fontId="11" type="noConversion"/>
  </si>
  <si>
    <t>2016 Billion HKD</t>
    <phoneticPr fontId="11" type="noConversion"/>
  </si>
  <si>
    <t>A3.1: Capital Share in high income countries 1981-2018</t>
    <phoneticPr fontId="11" type="noConversion"/>
  </si>
  <si>
    <t>HK</t>
    <phoneticPr fontId="11" type="noConversion"/>
  </si>
  <si>
    <t>UK</t>
    <phoneticPr fontId="11" type="noConversion"/>
  </si>
  <si>
    <t>Japan</t>
    <phoneticPr fontId="11" type="noConversion"/>
  </si>
  <si>
    <t>Germany</t>
    <phoneticPr fontId="11" type="noConversion"/>
  </si>
  <si>
    <t>France</t>
    <phoneticPr fontId="11" type="noConversion"/>
  </si>
  <si>
    <t>WID</t>
    <phoneticPr fontId="11" type="noConversion"/>
  </si>
  <si>
    <t>China</t>
    <phoneticPr fontId="11" type="noConversion"/>
  </si>
  <si>
    <t>Russia</t>
    <phoneticPr fontId="11" type="noConversion"/>
  </si>
  <si>
    <t>Private</t>
    <phoneticPr fontId="11" type="noConversion"/>
  </si>
  <si>
    <t>Public</t>
    <phoneticPr fontId="11" type="noConversion"/>
  </si>
  <si>
    <t>USA_1</t>
    <phoneticPr fontId="11" type="noConversion"/>
  </si>
  <si>
    <t>USA_2</t>
    <phoneticPr fontId="11" type="noConversion"/>
  </si>
  <si>
    <t>Gross Saving_1</t>
    <phoneticPr fontId="11" type="noConversion"/>
  </si>
  <si>
    <t>Net Saving_1</t>
    <phoneticPr fontId="11" type="noConversion"/>
  </si>
  <si>
    <t>Gross Saving_2</t>
    <phoneticPr fontId="11" type="noConversion"/>
  </si>
  <si>
    <t>Net Saving_2</t>
    <phoneticPr fontId="11" type="noConversion"/>
  </si>
  <si>
    <t>WB</t>
    <phoneticPr fontId="11" type="noConversion"/>
  </si>
  <si>
    <t>Gross Saving_2/GDP</t>
    <phoneticPr fontId="11" type="noConversion"/>
  </si>
  <si>
    <t>Uses, before 2002, tax is estimated using 1.7% of gdp (average rate after 2002)</t>
    <phoneticPr fontId="11" type="noConversion"/>
  </si>
  <si>
    <t>Use, data after 2016 is from World Bank data set</t>
    <phoneticPr fontId="11" type="noConversion"/>
  </si>
  <si>
    <t>Private net saving rate</t>
    <phoneticPr fontId="11" type="noConversion"/>
  </si>
  <si>
    <t>Public net saving rate</t>
    <phoneticPr fontId="11" type="noConversion"/>
  </si>
  <si>
    <t>Price Index for private domestic housing
(1999=100)</t>
    <phoneticPr fontId="11" type="noConversion"/>
  </si>
  <si>
    <t>Price Index for private domestic housing
(2016=100)</t>
  </si>
  <si>
    <t>Price Index for private domestic housing
(2016==100, adjusted CPI)</t>
  </si>
  <si>
    <t>Rental Index for private domestic housing
(1980=100)</t>
  </si>
  <si>
    <t>Rental Index for private domestic housing
(2016=100)</t>
  </si>
  <si>
    <t>Rental Index for private domestic housing
(2016=100, adjusted CPI)</t>
  </si>
  <si>
    <t>Rental Index for private domestic housing
(1980=100, adjusted CPI)</t>
  </si>
  <si>
    <t>Price Index for private domestic housing
(1981==100, adjusted CPI)</t>
    <phoneticPr fontId="11" type="noConversion"/>
  </si>
  <si>
    <t>HS Index (HK stock market</t>
    <phoneticPr fontId="11" type="noConversion"/>
  </si>
  <si>
    <t>current HKD</t>
    <phoneticPr fontId="11" type="noConversion"/>
  </si>
  <si>
    <t>https://tradingeconomics.com/hong-kong/stock-market</t>
    <phoneticPr fontId="11" type="noConversion"/>
  </si>
  <si>
    <t>HS Index (HK stock market (adjusted CPI)</t>
    <phoneticPr fontId="11" type="noConversion"/>
  </si>
  <si>
    <t>HS Index (HK stock market (1981==100 adjusted CPI)</t>
    <phoneticPr fontId="11" type="noConversion"/>
  </si>
  <si>
    <t>% adults own stock</t>
    <phoneticPr fontId="11" type="noConversion"/>
  </si>
  <si>
    <t>Hong Kong Stock Market Indix HIS (1981=100%</t>
  </si>
  <si>
    <t>Individual investor report Hong Kong Exchange Company</t>
    <phoneticPr fontId="11" type="noConversion"/>
  </si>
  <si>
    <t>Deposit rate (yearly)</t>
    <phoneticPr fontId="11" type="noConversion"/>
  </si>
  <si>
    <t>Best lending rate (yearly)</t>
    <phoneticPr fontId="11" type="noConversion"/>
  </si>
  <si>
    <t>Best lending rate (yearly, adjusted CPI</t>
    <phoneticPr fontId="11" type="noConversion"/>
  </si>
  <si>
    <t>CPI (last year=100%)</t>
    <phoneticPr fontId="11" type="noConversion"/>
  </si>
  <si>
    <t>Accumulation BLR (1981=100%, adjusted CPI)</t>
    <phoneticPr fontId="11" type="noConversion"/>
  </si>
  <si>
    <t>AX1: National Account (flow) and other Macro Series</t>
    <phoneticPr fontId="11" type="noConversion"/>
  </si>
  <si>
    <t>Housing</t>
    <phoneticPr fontId="11" type="noConversion"/>
  </si>
  <si>
    <t>Less than 40 m²</t>
  </si>
  <si>
    <t>40 m² to 69.9 m²</t>
  </si>
  <si>
    <t>70 m² to 99.9 m²</t>
  </si>
  <si>
    <t>100 m² to 159.9 m²</t>
  </si>
  <si>
    <t>160 m² or above</t>
  </si>
  <si>
    <t>unit</t>
    <phoneticPr fontId="11" type="noConversion"/>
  </si>
  <si>
    <t>https://www.rvd.gov.hk/doc/en/statistics/full.pdf</t>
    <phoneticPr fontId="11" type="noConversion"/>
  </si>
  <si>
    <t>Housing Stock</t>
    <phoneticPr fontId="11" type="noConversion"/>
  </si>
  <si>
    <t>Housing Complition</t>
    <phoneticPr fontId="11" type="noConversion"/>
  </si>
  <si>
    <t>港島</t>
  </si>
  <si>
    <t>九龍</t>
  </si>
  <si>
    <t>新九龍</t>
    <phoneticPr fontId="50" type="noConversion"/>
  </si>
  <si>
    <t>新界</t>
  </si>
  <si>
    <t xml:space="preserve"> </t>
  </si>
  <si>
    <t>District</t>
    <phoneticPr fontId="11" type="noConversion"/>
  </si>
  <si>
    <t>Housing Price</t>
    <phoneticPr fontId="11" type="noConversion"/>
  </si>
  <si>
    <r>
      <rPr>
        <sz val="10"/>
        <rFont val="華康細明體"/>
        <family val="3"/>
        <charset val="136"/>
      </rPr>
      <t>港島</t>
    </r>
  </si>
  <si>
    <r>
      <rPr>
        <sz val="10"/>
        <rFont val="華康細明體"/>
        <family val="3"/>
        <charset val="136"/>
      </rPr>
      <t>九龍</t>
    </r>
  </si>
  <si>
    <r>
      <rPr>
        <sz val="10"/>
        <rFont val="華康細明體"/>
        <family val="3"/>
        <charset val="136"/>
      </rPr>
      <t>新界</t>
    </r>
  </si>
  <si>
    <t>PopulaitonByDistrict</t>
  </si>
  <si>
    <t>HKD/M2</t>
    <phoneticPr fontId="11" type="noConversion"/>
  </si>
  <si>
    <t>HKD/M3</t>
  </si>
  <si>
    <t>HKD/M4</t>
  </si>
  <si>
    <t>HKD/M5</t>
  </si>
  <si>
    <t>HKD/M6</t>
  </si>
  <si>
    <t>HKD/M7</t>
  </si>
  <si>
    <t>HKD/M8</t>
  </si>
  <si>
    <t>HKD/M9</t>
  </si>
  <si>
    <t>HKD/M10</t>
  </si>
  <si>
    <t>HKD/M11</t>
  </si>
  <si>
    <t>HKD/M12</t>
  </si>
  <si>
    <t>HKD/M13</t>
  </si>
  <si>
    <t>HKD/M14</t>
  </si>
  <si>
    <t>HKD/M15</t>
  </si>
  <si>
    <t>HKD/M16</t>
  </si>
  <si>
    <t>HKD/M17</t>
  </si>
  <si>
    <t>HKD/M18</t>
  </si>
  <si>
    <t>HKD/M19</t>
  </si>
  <si>
    <t>HKD/M20</t>
  </si>
  <si>
    <t>HKD/M21</t>
  </si>
  <si>
    <t>Estimated Housing Price</t>
    <phoneticPr fontId="11" type="noConversion"/>
  </si>
  <si>
    <t>Weights by District</t>
    <phoneticPr fontId="11" type="noConversion"/>
  </si>
  <si>
    <t>Average Size of Unit</t>
    <phoneticPr fontId="11" type="noConversion"/>
  </si>
  <si>
    <t>Total Housing Value</t>
    <phoneticPr fontId="11" type="noConversion"/>
  </si>
  <si>
    <t>m2</t>
    <phoneticPr fontId="11" type="noConversion"/>
  </si>
  <si>
    <t>m3</t>
  </si>
  <si>
    <t>m4</t>
  </si>
  <si>
    <t>m5</t>
  </si>
  <si>
    <t>million HKD</t>
    <phoneticPr fontId="11" type="noConversion"/>
  </si>
  <si>
    <t>Housing Mortgage</t>
    <phoneticPr fontId="11" type="noConversion"/>
  </si>
  <si>
    <t>https://www.hkma.gov.hk/gb_chi/data-publications-and-research/data-and-statistics/monthly-statistical-bulletin/</t>
    <phoneticPr fontId="11" type="noConversion"/>
  </si>
  <si>
    <t>1985-1996, assuming mortgage growth rate 10%</t>
    <phoneticPr fontId="11" type="noConversion"/>
  </si>
  <si>
    <r>
      <t>β</t>
    </r>
    <r>
      <rPr>
        <vertAlign val="subscript"/>
        <sz val="12"/>
        <color theme="1"/>
        <rFont val="Times New Roman"/>
        <family val="1"/>
      </rPr>
      <t>housing_HK</t>
    </r>
    <phoneticPr fontId="11" type="noConversion"/>
  </si>
  <si>
    <r>
      <t>β</t>
    </r>
    <r>
      <rPr>
        <vertAlign val="subscript"/>
        <sz val="12"/>
        <color theme="1"/>
        <rFont val="Times New Roman"/>
        <family val="1"/>
      </rPr>
      <t>housing</t>
    </r>
    <phoneticPr fontId="11" type="noConversion"/>
  </si>
  <si>
    <t>US</t>
    <phoneticPr fontId="11" type="noConversion"/>
  </si>
  <si>
    <t>% of private wealth</t>
    <phoneticPr fontId="11" type="noConversion"/>
  </si>
  <si>
    <t>JPN</t>
    <phoneticPr fontId="11" type="noConversion"/>
  </si>
  <si>
    <t>CN</t>
    <phoneticPr fontId="11" type="noConversion"/>
  </si>
  <si>
    <t>Novokmet et al. 2018</t>
    <phoneticPr fontId="11" type="noConversion"/>
  </si>
  <si>
    <t>Piketty and Zucman 2014</t>
    <phoneticPr fontId="11" type="noConversion"/>
  </si>
  <si>
    <t>Piketty et al. 2019</t>
    <phoneticPr fontId="11" type="noConversion"/>
  </si>
  <si>
    <t>1996-2018</t>
    <phoneticPr fontId="11" type="noConversion"/>
  </si>
  <si>
    <t>0.0002% adults</t>
    <phoneticPr fontId="11" type="noConversion"/>
  </si>
  <si>
    <t>0.0002% wealth</t>
    <phoneticPr fontId="11" type="noConversion"/>
  </si>
  <si>
    <t>NI (2019 USD)</t>
    <phoneticPr fontId="11" type="noConversion"/>
  </si>
  <si>
    <t>Adult population (person)</t>
    <phoneticPr fontId="11" type="noConversion"/>
  </si>
  <si>
    <t>A4.0 Wealth top 0.001%  in HongKong (Rich List)</t>
    <phoneticPr fontId="11" type="noConversion"/>
  </si>
  <si>
    <t>household</t>
    <phoneticPr fontId="11" type="noConversion"/>
  </si>
  <si>
    <t>Assuming each household consist 5 individuals</t>
    <phoneticPr fontId="11" type="noConversion"/>
  </si>
  <si>
    <t>Assuming each household consist 5 individuals.</t>
    <phoneticPr fontId="11" type="noConversion"/>
  </si>
  <si>
    <t>AX10: Hong Assets in Hong Kong</t>
    <phoneticPr fontId="11" type="noConversion"/>
  </si>
  <si>
    <t>AX9: Top 0.001% wealth/National Inomce</t>
    <phoneticPr fontId="11" type="noConversion"/>
  </si>
  <si>
    <t>AX11: Growth of High Net Wealth Individuals (HNWI) in HongKong, 2008-2016</t>
    <phoneticPr fontId="11" type="noConversion"/>
  </si>
  <si>
    <t>Appendix</t>
    <phoneticPr fontId="11" type="noConversion"/>
  </si>
  <si>
    <t>Hong Kong, 1981-2020</t>
    <phoneticPr fontId="11" type="noConversion"/>
  </si>
  <si>
    <t>Last update: June 25, 2021</t>
    <phoneticPr fontId="109" type="noConversion"/>
  </si>
  <si>
    <t>Piketty and Yang</t>
    <phoneticPr fontId="11" type="noConversion"/>
  </si>
  <si>
    <t>Appendix D: Income and Wealth Data Set</t>
    <phoneticPr fontId="11" type="noConversion"/>
  </si>
  <si>
    <t>A4.1 Wealth top 0.001%  in HongKong and other countries (Rich List)</t>
    <phoneticPr fontId="11" type="noConversion"/>
  </si>
  <si>
    <t>Structure of National Account and Government Revenue</t>
    <phoneticPr fontId="11" type="noConversion"/>
  </si>
  <si>
    <t>Distribution of Wage Income and Total Income</t>
    <phoneticPr fontId="11" type="noConversion"/>
  </si>
  <si>
    <t>Evolution of Capital Share</t>
    <phoneticPr fontId="11" type="noConversion"/>
  </si>
  <si>
    <t>Evolution of Top Wealth</t>
    <phoneticPr fontId="11" type="noConversion"/>
  </si>
  <si>
    <t>AX12: Summary Statistics of Wage Income (top-decoded), 1981-2016</t>
    <phoneticPr fontId="11" type="noConversion"/>
  </si>
  <si>
    <t>AX13: Summary Statistics of Wage Income (top-decoded), 1981-2016, by age cohort</t>
    <phoneticPr fontId="11" type="noConversion"/>
  </si>
  <si>
    <t>AX8: Top 0.001% wealth/National Inomce</t>
    <phoneticPr fontId="11" type="noConversion"/>
  </si>
  <si>
    <t>A2.4: Income shares: Survey vs. Adj. Survey(individual series)</t>
    <phoneticPr fontId="11" type="noConversion"/>
  </si>
  <si>
    <t>A2.5: Growth rate in different income groups (Individual series)</t>
    <phoneticPr fontId="11" type="noConversion"/>
  </si>
  <si>
    <t>A2.6: Income decomposition by income sources and income groups (Individual series)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</si>
</sst>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76" formatCode="#,##0_ "/>
    <numFmt numFmtId="177" formatCode="0.0%"/>
    <numFmt numFmtId="178" formatCode="0_);[Red]\(0\)"/>
    <numFmt numFmtId="179" formatCode="0_ "/>
    <numFmt numFmtId="180" formatCode="0.00_ "/>
    <numFmt numFmtId="181" formatCode="0.0_);[Red]\(0.0\)"/>
    <numFmt numFmtId="182" formatCode="0.00_);[Red]\(0.00\)"/>
    <numFmt numFmtId="183" formatCode="_(* #,##0_);_(* \(#,##0\);_(* &quot;-&quot;??_);_(@_)"/>
    <numFmt numFmtId="184" formatCode="#,##0.00000_ "/>
    <numFmt numFmtId="185" formatCode="_-* #,##0_-;\-* #,##0_-;_-* &quot;-&quot;_-;_-@_-"/>
    <numFmt numFmtId="186" formatCode="_-* #,##0.00_-;\-* #,##0.00_-;_-* &quot;-&quot;??_-;_-@_-"/>
    <numFmt numFmtId="187" formatCode="0.00000000000000%"/>
    <numFmt numFmtId="188" formatCode="#,##0.0_);[Red]\(#,##0.0\)"/>
    <numFmt numFmtId="189" formatCode="0.0000%"/>
    <numFmt numFmtId="190" formatCode="##\ ##0"/>
    <numFmt numFmtId="191" formatCode="#,##0.00_ "/>
  </numFmts>
  <fonts count="112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8"/>
      <color theme="1"/>
      <name val="Baskerville"/>
      <family val="1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Baskerville"/>
      <family val="1"/>
    </font>
    <font>
      <sz val="10"/>
      <color theme="1"/>
      <name val="Baskerville"/>
      <family val="1"/>
    </font>
    <font>
      <sz val="10"/>
      <color rgb="FF92D050"/>
      <name val="Baskerville"/>
      <family val="1"/>
    </font>
    <font>
      <sz val="7"/>
      <color theme="1"/>
      <name val="Baskerville"/>
      <family val="1"/>
    </font>
    <font>
      <b/>
      <sz val="10"/>
      <color theme="1"/>
      <name val="Baskerville"/>
      <family val="1"/>
    </font>
    <font>
      <i/>
      <sz val="12"/>
      <color theme="0"/>
      <name val="Baskerville"/>
      <family val="1"/>
    </font>
    <font>
      <b/>
      <i/>
      <sz val="10"/>
      <color theme="0"/>
      <name val="Baskerville"/>
      <family val="1"/>
    </font>
    <font>
      <u/>
      <sz val="12"/>
      <color theme="10"/>
      <name val="等线"/>
      <family val="2"/>
      <scheme val="minor"/>
    </font>
    <font>
      <u/>
      <sz val="10"/>
      <color theme="10"/>
      <name val="Baskerville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2"/>
      <color theme="0"/>
      <name val="Baskerville"/>
      <family val="1"/>
    </font>
    <font>
      <sz val="12"/>
      <name val="Baskerville"/>
    </font>
    <font>
      <b/>
      <sz val="18"/>
      <name val="Baskerville"/>
    </font>
    <font>
      <sz val="10"/>
      <name val="Baskerville"/>
    </font>
    <font>
      <b/>
      <i/>
      <sz val="10"/>
      <name val="Baskerville"/>
    </font>
    <font>
      <b/>
      <sz val="10"/>
      <name val="Baskerville"/>
    </font>
    <font>
      <sz val="7"/>
      <name val="Baskerville"/>
    </font>
    <font>
      <sz val="12"/>
      <name val="Baskerville"/>
      <family val="1"/>
    </font>
    <font>
      <i/>
      <sz val="12"/>
      <color theme="0"/>
      <name val="Baskerville"/>
    </font>
    <font>
      <i/>
      <sz val="8"/>
      <name val="Baskerville"/>
      <family val="1"/>
    </font>
    <font>
      <sz val="7"/>
      <name val="Baskerville"/>
      <family val="1"/>
    </font>
    <font>
      <sz val="10"/>
      <name val="Baskerville"/>
      <family val="1"/>
    </font>
    <font>
      <b/>
      <sz val="10"/>
      <name val="Baskerville"/>
      <family val="1"/>
    </font>
    <font>
      <b/>
      <i/>
      <sz val="10"/>
      <name val="Baskerville"/>
      <family val="1"/>
    </font>
    <font>
      <b/>
      <sz val="9"/>
      <name val="Baskerville"/>
      <family val="1"/>
    </font>
    <font>
      <sz val="9"/>
      <name val="Baskerville"/>
      <family val="1"/>
    </font>
    <font>
      <sz val="11"/>
      <color rgb="FF000000"/>
      <name val="Calibri"/>
      <family val="2"/>
    </font>
    <font>
      <sz val="10"/>
      <color theme="1"/>
      <name val="Baskerville"/>
    </font>
    <font>
      <b/>
      <i/>
      <sz val="8"/>
      <name val="Baskerville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b/>
      <sz val="19"/>
      <color theme="1"/>
      <name val="Times New Roman"/>
      <family val="1"/>
    </font>
    <font>
      <sz val="10"/>
      <color rgb="FF92D050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0"/>
      <color theme="1"/>
      <name val="Times New Roman"/>
      <family val="1"/>
    </font>
    <font>
      <b/>
      <sz val="19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sz val="14"/>
      <name val="Times New Roman"/>
      <family val="1"/>
    </font>
    <font>
      <sz val="11"/>
      <color rgb="FF92D05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1"/>
      <name val="Times New Roman"/>
      <family val="1"/>
    </font>
    <font>
      <i/>
      <sz val="10"/>
      <color theme="1"/>
      <name val="Baskerville"/>
    </font>
    <font>
      <sz val="10"/>
      <name val="MS Sans Serif"/>
      <family val="2"/>
    </font>
    <font>
      <sz val="10"/>
      <name val="細明體"/>
      <family val="3"/>
      <charset val="136"/>
    </font>
    <font>
      <sz val="12"/>
      <color theme="1"/>
      <name val="等线"/>
      <family val="1"/>
      <charset val="136"/>
      <scheme val="minor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u/>
      <sz val="12"/>
      <color theme="10"/>
      <name val="等线"/>
      <family val="1"/>
      <charset val="136"/>
      <scheme val="minor"/>
    </font>
    <font>
      <u/>
      <sz val="12"/>
      <color theme="10"/>
      <name val="Times New Roman"/>
      <family val="1"/>
    </font>
    <font>
      <u/>
      <sz val="12"/>
      <color theme="10"/>
      <name val="新細明體"/>
      <family val="1"/>
      <charset val="136"/>
    </font>
    <font>
      <sz val="8"/>
      <name val="Baskerville"/>
      <family val="1"/>
    </font>
    <font>
      <sz val="12"/>
      <color indexed="8"/>
      <name val="Calibri"/>
      <family val="2"/>
    </font>
    <font>
      <sz val="12"/>
      <name val="Courier"/>
      <family val="3"/>
    </font>
    <font>
      <b/>
      <sz val="18"/>
      <color theme="1"/>
      <name val="Times New Roman"/>
      <family val="1"/>
    </font>
    <font>
      <i/>
      <sz val="8"/>
      <name val="Baskerville"/>
    </font>
    <font>
      <b/>
      <i/>
      <sz val="8"/>
      <color theme="0"/>
      <name val="Baskerville"/>
    </font>
    <font>
      <i/>
      <sz val="8"/>
      <color theme="1"/>
      <name val="Baskerville"/>
    </font>
    <font>
      <b/>
      <i/>
      <sz val="8"/>
      <color theme="1"/>
      <name val="Baskerville"/>
    </font>
    <font>
      <i/>
      <sz val="8"/>
      <color theme="1"/>
      <name val="Baskerville"/>
      <family val="1"/>
    </font>
    <font>
      <b/>
      <i/>
      <sz val="8"/>
      <color theme="1"/>
      <name val="Times New Roman"/>
      <family val="1"/>
    </font>
    <font>
      <b/>
      <i/>
      <sz val="8"/>
      <name val="Times New Roman"/>
      <family val="1"/>
    </font>
    <font>
      <i/>
      <sz val="8"/>
      <color theme="1"/>
      <name val="Times New Roman"/>
      <family val="1"/>
    </font>
    <font>
      <sz val="10.5"/>
      <color theme="1"/>
      <name val="Times New Roman"/>
      <family val="1"/>
    </font>
    <font>
      <sz val="8"/>
      <name val="Times New Roman"/>
      <family val="1"/>
    </font>
    <font>
      <sz val="7.5"/>
      <name val="華康細明體"/>
      <family val="3"/>
      <charset val="136"/>
    </font>
    <font>
      <sz val="10"/>
      <name val="華康細明體"/>
      <family val="3"/>
      <charset val="136"/>
    </font>
    <font>
      <vertAlign val="subscript"/>
      <sz val="12"/>
      <color theme="1"/>
      <name val="Times New Roman"/>
      <family val="1"/>
    </font>
    <font>
      <sz val="8"/>
      <color rgb="FF1F4F4B"/>
      <name val="Arial"/>
      <family val="2"/>
    </font>
    <font>
      <b/>
      <sz val="18"/>
      <name val="Times New Roman"/>
      <family val="1"/>
    </font>
    <font>
      <sz val="18"/>
      <color theme="1"/>
      <name val="等线"/>
      <family val="3"/>
      <charset val="134"/>
      <scheme val="minor"/>
    </font>
    <font>
      <sz val="12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5F9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theme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indexed="64"/>
      </left>
      <right style="thin">
        <color auto="1"/>
      </right>
      <top/>
      <bottom style="thick">
        <color indexed="64"/>
      </bottom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double">
        <color auto="1"/>
      </bottom>
      <diagonal/>
    </border>
    <border>
      <left style="dashed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77">
    <xf numFmtId="0" fontId="0" fillId="0" borderId="0"/>
    <xf numFmtId="9" fontId="8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Border="0" applyAlignment="0"/>
    <xf numFmtId="0" fontId="6" fillId="0" borderId="0"/>
    <xf numFmtId="9" fontId="6" fillId="0" borderId="0" applyFont="0" applyFill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69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77" fillId="0" borderId="0"/>
    <xf numFmtId="0" fontId="78" fillId="0" borderId="0"/>
    <xf numFmtId="0" fontId="78" fillId="0" borderId="0"/>
    <xf numFmtId="0" fontId="79" fillId="0" borderId="0">
      <alignment vertical="center"/>
    </xf>
    <xf numFmtId="0" fontId="78" fillId="0" borderId="0"/>
    <xf numFmtId="9" fontId="80" fillId="0" borderId="0" applyFont="0" applyFill="0" applyBorder="0" applyAlignment="0" applyProtection="0"/>
    <xf numFmtId="186" fontId="80" fillId="0" borderId="0" applyFont="0" applyFill="0" applyBorder="0" applyAlignment="0" applyProtection="0"/>
    <xf numFmtId="0" fontId="79" fillId="0" borderId="0">
      <alignment vertical="center"/>
    </xf>
    <xf numFmtId="37" fontId="78" fillId="0" borderId="0"/>
    <xf numFmtId="185" fontId="80" fillId="0" borderId="0" applyFont="0" applyFill="0" applyBorder="0" applyAlignment="0" applyProtection="0"/>
    <xf numFmtId="37" fontId="78" fillId="0" borderId="0"/>
    <xf numFmtId="0" fontId="80" fillId="0" borderId="0"/>
    <xf numFmtId="0" fontId="50" fillId="0" borderId="0">
      <alignment vertical="center"/>
    </xf>
    <xf numFmtId="0" fontId="80" fillId="0" borderId="0">
      <alignment vertical="center"/>
    </xf>
    <xf numFmtId="0" fontId="80" fillId="0" borderId="0"/>
    <xf numFmtId="0" fontId="81" fillId="0" borderId="0"/>
    <xf numFmtId="0" fontId="49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78" fillId="0" borderId="0"/>
    <xf numFmtId="9" fontId="81" fillId="0" borderId="0" applyFont="0" applyFill="0" applyBorder="0" applyAlignment="0" applyProtection="0"/>
    <xf numFmtId="0" fontId="78" fillId="0" borderId="0"/>
    <xf numFmtId="0" fontId="78" fillId="0" borderId="0"/>
    <xf numFmtId="0" fontId="80" fillId="0" borderId="0"/>
    <xf numFmtId="0" fontId="80" fillId="0" borderId="0"/>
    <xf numFmtId="0" fontId="69" fillId="0" borderId="0"/>
    <xf numFmtId="0" fontId="79" fillId="0" borderId="0">
      <alignment vertical="center"/>
    </xf>
    <xf numFmtId="0" fontId="69" fillId="0" borderId="0"/>
    <xf numFmtId="185" fontId="80" fillId="0" borderId="0" applyFont="0" applyFill="0" applyBorder="0" applyAlignment="0" applyProtection="0"/>
    <xf numFmtId="0" fontId="78" fillId="0" borderId="0"/>
    <xf numFmtId="0" fontId="80" fillId="0" borderId="0">
      <alignment vertical="center"/>
    </xf>
    <xf numFmtId="0" fontId="80" fillId="0" borderId="0">
      <alignment vertical="center"/>
    </xf>
    <xf numFmtId="0" fontId="78" fillId="0" borderId="0"/>
    <xf numFmtId="186" fontId="80" fillId="0" borderId="0" applyFont="0" applyFill="0" applyBorder="0" applyAlignment="0" applyProtection="0"/>
    <xf numFmtId="0" fontId="81" fillId="0" borderId="0"/>
    <xf numFmtId="0" fontId="81" fillId="0" borderId="0"/>
    <xf numFmtId="0" fontId="78" fillId="0" borderId="0"/>
    <xf numFmtId="0" fontId="78" fillId="0" borderId="0"/>
    <xf numFmtId="0" fontId="78" fillId="0" borderId="0"/>
    <xf numFmtId="0" fontId="51" fillId="0" borderId="0"/>
    <xf numFmtId="0" fontId="79" fillId="0" borderId="0">
      <alignment vertical="center"/>
    </xf>
    <xf numFmtId="0" fontId="79" fillId="0" borderId="0">
      <alignment vertical="center"/>
    </xf>
    <xf numFmtId="0" fontId="81" fillId="0" borderId="0"/>
    <xf numFmtId="0" fontId="78" fillId="0" borderId="0"/>
    <xf numFmtId="0" fontId="80" fillId="0" borderId="0"/>
    <xf numFmtId="0" fontId="78" fillId="0" borderId="0"/>
    <xf numFmtId="1" fontId="78" fillId="0" borderId="0"/>
    <xf numFmtId="0" fontId="80" fillId="0" borderId="0">
      <alignment vertical="center"/>
    </xf>
    <xf numFmtId="0" fontId="78" fillId="0" borderId="0"/>
    <xf numFmtId="0" fontId="86" fillId="0" borderId="0">
      <alignment vertical="center"/>
    </xf>
    <xf numFmtId="0" fontId="78" fillId="0" borderId="0"/>
    <xf numFmtId="0" fontId="78" fillId="0" borderId="0"/>
    <xf numFmtId="0" fontId="78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7" fillId="0" borderId="0"/>
    <xf numFmtId="9" fontId="81" fillId="0" borderId="0" applyFont="0" applyFill="0" applyBorder="0" applyAlignment="0" applyProtection="0"/>
    <xf numFmtId="9" fontId="8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11" fillId="0" borderId="0" applyNumberFormat="0" applyFill="0" applyBorder="0" applyAlignment="0" applyProtection="0"/>
    <xf numFmtId="0" fontId="1" fillId="0" borderId="0"/>
  </cellStyleXfs>
  <cellXfs count="1267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0" borderId="0" xfId="2" applyFont="1" applyAlignment="1">
      <alignment horizontal="center"/>
    </xf>
    <xf numFmtId="176" fontId="13" fillId="0" borderId="0" xfId="2" applyNumberFormat="1" applyFont="1" applyAlignment="1">
      <alignment horizontal="center"/>
    </xf>
    <xf numFmtId="38" fontId="13" fillId="2" borderId="0" xfId="2" applyNumberFormat="1" applyFont="1" applyFill="1" applyAlignment="1">
      <alignment horizontal="center"/>
    </xf>
    <xf numFmtId="38" fontId="13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176" fontId="14" fillId="0" borderId="0" xfId="2" applyNumberFormat="1" applyFont="1" applyAlignment="1">
      <alignment horizontal="center"/>
    </xf>
    <xf numFmtId="38" fontId="14" fillId="0" borderId="0" xfId="2" applyNumberFormat="1" applyFont="1" applyAlignment="1">
      <alignment horizontal="center"/>
    </xf>
    <xf numFmtId="0" fontId="14" fillId="2" borderId="0" xfId="2" applyFont="1" applyFill="1" applyAlignment="1">
      <alignment horizontal="center"/>
    </xf>
    <xf numFmtId="176" fontId="14" fillId="0" borderId="1" xfId="2" applyNumberFormat="1" applyFont="1" applyBorder="1" applyAlignment="1">
      <alignment horizontal="center"/>
    </xf>
    <xf numFmtId="176" fontId="14" fillId="0" borderId="2" xfId="2" applyNumberFormat="1" applyFont="1" applyBorder="1" applyAlignment="1">
      <alignment horizontal="center"/>
    </xf>
    <xf numFmtId="0" fontId="14" fillId="0" borderId="2" xfId="2" applyFont="1" applyBorder="1" applyAlignment="1">
      <alignment horizontal="center"/>
    </xf>
    <xf numFmtId="0" fontId="16" fillId="0" borderId="0" xfId="2" applyFont="1" applyAlignment="1">
      <alignment horizontal="center"/>
    </xf>
    <xf numFmtId="176" fontId="16" fillId="0" borderId="0" xfId="2" applyNumberFormat="1" applyFont="1" applyAlignment="1">
      <alignment horizontal="center"/>
    </xf>
    <xf numFmtId="38" fontId="16" fillId="0" borderId="0" xfId="2" applyNumberFormat="1" applyFont="1" applyAlignment="1">
      <alignment horizontal="center"/>
    </xf>
    <xf numFmtId="0" fontId="16" fillId="2" borderId="0" xfId="2" applyFont="1" applyFill="1" applyAlignment="1">
      <alignment horizontal="center"/>
    </xf>
    <xf numFmtId="176" fontId="16" fillId="0" borderId="0" xfId="2" applyNumberFormat="1" applyFont="1" applyAlignment="1">
      <alignment horizontal="center" vertical="center"/>
    </xf>
    <xf numFmtId="176" fontId="16" fillId="0" borderId="0" xfId="2" applyNumberFormat="1" applyFont="1" applyAlignment="1">
      <alignment horizontal="center" vertical="center" wrapText="1"/>
    </xf>
    <xf numFmtId="176" fontId="16" fillId="0" borderId="1" xfId="2" applyNumberFormat="1" applyFont="1" applyBorder="1" applyAlignment="1">
      <alignment horizontal="center" vertical="center"/>
    </xf>
    <xf numFmtId="176" fontId="16" fillId="0" borderId="2" xfId="2" applyNumberFormat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176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horizontal="center" vertical="center"/>
    </xf>
    <xf numFmtId="176" fontId="18" fillId="2" borderId="0" xfId="2" applyNumberFormat="1" applyFont="1" applyFill="1" applyAlignment="1">
      <alignment horizontal="left"/>
    </xf>
    <xf numFmtId="38" fontId="18" fillId="2" borderId="0" xfId="2" applyNumberFormat="1" applyFont="1" applyFill="1" applyAlignment="1">
      <alignment horizontal="left"/>
    </xf>
    <xf numFmtId="176" fontId="13" fillId="2" borderId="0" xfId="2" applyNumberFormat="1" applyFont="1" applyFill="1" applyAlignment="1">
      <alignment horizontal="center"/>
    </xf>
    <xf numFmtId="176" fontId="19" fillId="2" borderId="0" xfId="2" applyNumberFormat="1" applyFont="1" applyFill="1" applyAlignment="1">
      <alignment horizontal="center"/>
    </xf>
    <xf numFmtId="176" fontId="19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/>
    </xf>
    <xf numFmtId="0" fontId="21" fillId="0" borderId="0" xfId="4" applyFont="1" applyAlignment="1">
      <alignment horizontal="center"/>
    </xf>
    <xf numFmtId="176" fontId="14" fillId="0" borderId="0" xfId="2" applyNumberFormat="1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176" fontId="13" fillId="0" borderId="0" xfId="2" applyNumberFormat="1" applyFont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176" fontId="19" fillId="2" borderId="0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center" vertical="center"/>
    </xf>
    <xf numFmtId="176" fontId="16" fillId="0" borderId="0" xfId="2" applyNumberFormat="1" applyFont="1" applyBorder="1" applyAlignment="1">
      <alignment horizontal="center" vertical="center"/>
    </xf>
    <xf numFmtId="176" fontId="16" fillId="0" borderId="0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/>
    </xf>
    <xf numFmtId="176" fontId="15" fillId="0" borderId="0" xfId="2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0" xfId="2" applyFont="1" applyAlignment="1">
      <alignment horizontal="center" wrapText="1"/>
    </xf>
    <xf numFmtId="0" fontId="16" fillId="0" borderId="0" xfId="2" applyFont="1" applyAlignment="1">
      <alignment horizontal="center" vertical="center" wrapText="1"/>
    </xf>
    <xf numFmtId="0" fontId="16" fillId="2" borderId="0" xfId="2" applyFont="1" applyFill="1" applyAlignment="1">
      <alignment horizontal="center" wrapText="1"/>
    </xf>
    <xf numFmtId="38" fontId="16" fillId="0" borderId="0" xfId="2" applyNumberFormat="1" applyFont="1" applyAlignment="1">
      <alignment horizontal="center" vertical="center" wrapText="1"/>
    </xf>
    <xf numFmtId="176" fontId="16" fillId="0" borderId="2" xfId="2" applyNumberFormat="1" applyFont="1" applyBorder="1" applyAlignment="1">
      <alignment horizontal="center" vertical="center" wrapText="1"/>
    </xf>
    <xf numFmtId="176" fontId="16" fillId="0" borderId="1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wrapText="1"/>
    </xf>
    <xf numFmtId="0" fontId="16" fillId="0" borderId="0" xfId="2" applyFont="1" applyBorder="1" applyAlignment="1">
      <alignment horizontal="center" wrapText="1"/>
    </xf>
    <xf numFmtId="0" fontId="16" fillId="0" borderId="2" xfId="2" applyFont="1" applyBorder="1" applyAlignment="1">
      <alignment horizontal="center" wrapText="1"/>
    </xf>
    <xf numFmtId="0" fontId="16" fillId="0" borderId="1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5" fillId="2" borderId="0" xfId="2" applyFont="1" applyFill="1" applyAlignment="1">
      <alignment horizontal="left"/>
    </xf>
    <xf numFmtId="0" fontId="10" fillId="0" borderId="0" xfId="2" applyFont="1" applyAlignment="1"/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176" fontId="14" fillId="0" borderId="0" xfId="2" applyNumberFormat="1" applyFont="1" applyAlignment="1">
      <alignment horizontal="center" vertical="center"/>
    </xf>
    <xf numFmtId="38" fontId="13" fillId="0" borderId="0" xfId="2" applyNumberFormat="1" applyFont="1" applyAlignment="1">
      <alignment horizontal="center" vertical="center"/>
    </xf>
    <xf numFmtId="176" fontId="13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76" fontId="29" fillId="2" borderId="0" xfId="2" applyNumberFormat="1" applyFont="1" applyFill="1" applyAlignment="1">
      <alignment horizontal="center"/>
    </xf>
    <xf numFmtId="176" fontId="26" fillId="2" borderId="0" xfId="2" applyNumberFormat="1" applyFont="1" applyFill="1" applyAlignment="1">
      <alignment horizontal="center"/>
    </xf>
    <xf numFmtId="0" fontId="27" fillId="2" borderId="0" xfId="2" applyFont="1" applyFill="1" applyAlignment="1"/>
    <xf numFmtId="176" fontId="28" fillId="2" borderId="0" xfId="2" applyNumberFormat="1" applyFont="1" applyFill="1" applyAlignment="1">
      <alignment horizontal="center" vertical="center"/>
    </xf>
    <xf numFmtId="176" fontId="30" fillId="2" borderId="0" xfId="2" applyNumberFormat="1" applyFont="1" applyFill="1" applyAlignment="1">
      <alignment horizontal="center" vertical="center"/>
    </xf>
    <xf numFmtId="176" fontId="31" fillId="2" borderId="0" xfId="2" applyNumberFormat="1" applyFont="1" applyFill="1" applyAlignment="1">
      <alignment horizontal="center" vertical="center" wrapText="1"/>
    </xf>
    <xf numFmtId="176" fontId="31" fillId="2" borderId="0" xfId="2" applyNumberFormat="1" applyFont="1" applyFill="1" applyAlignment="1">
      <alignment horizontal="center" vertical="center"/>
    </xf>
    <xf numFmtId="176" fontId="28" fillId="2" borderId="0" xfId="2" applyNumberFormat="1" applyFont="1" applyFill="1" applyAlignment="1">
      <alignment horizontal="center"/>
    </xf>
    <xf numFmtId="38" fontId="16" fillId="0" borderId="1" xfId="2" applyNumberFormat="1" applyFont="1" applyBorder="1" applyAlignment="1">
      <alignment horizontal="center" vertical="center" wrapText="1"/>
    </xf>
    <xf numFmtId="38" fontId="16" fillId="0" borderId="0" xfId="2" applyNumberFormat="1" applyFont="1" applyBorder="1" applyAlignment="1">
      <alignment horizontal="center" vertical="center" wrapText="1"/>
    </xf>
    <xf numFmtId="38" fontId="16" fillId="0" borderId="2" xfId="2" applyNumberFormat="1" applyFont="1" applyBorder="1" applyAlignment="1">
      <alignment horizontal="center" vertical="center" wrapText="1"/>
    </xf>
    <xf numFmtId="38" fontId="16" fillId="0" borderId="1" xfId="2" applyNumberFormat="1" applyFont="1" applyBorder="1" applyAlignment="1">
      <alignment horizontal="center"/>
    </xf>
    <xf numFmtId="38" fontId="16" fillId="0" borderId="0" xfId="2" applyNumberFormat="1" applyFont="1" applyBorder="1" applyAlignment="1">
      <alignment horizontal="center"/>
    </xf>
    <xf numFmtId="38" fontId="16" fillId="0" borderId="2" xfId="2" applyNumberFormat="1" applyFont="1" applyBorder="1" applyAlignment="1">
      <alignment horizontal="center"/>
    </xf>
    <xf numFmtId="38" fontId="14" fillId="0" borderId="1" xfId="2" applyNumberFormat="1" applyFont="1" applyBorder="1" applyAlignment="1">
      <alignment horizontal="center"/>
    </xf>
    <xf numFmtId="38" fontId="14" fillId="0" borderId="0" xfId="2" applyNumberFormat="1" applyFont="1" applyBorder="1" applyAlignment="1">
      <alignment horizontal="center"/>
    </xf>
    <xf numFmtId="38" fontId="14" fillId="0" borderId="2" xfId="2" applyNumberFormat="1" applyFont="1" applyBorder="1" applyAlignment="1">
      <alignment horizontal="center"/>
    </xf>
    <xf numFmtId="38" fontId="16" fillId="0" borderId="0" xfId="2" applyNumberFormat="1" applyFont="1" applyAlignment="1">
      <alignment horizontal="center" wrapText="1"/>
    </xf>
    <xf numFmtId="0" fontId="13" fillId="2" borderId="0" xfId="2" applyFont="1" applyFill="1" applyAlignment="1">
      <alignment horizontal="center" vertical="center"/>
    </xf>
    <xf numFmtId="176" fontId="16" fillId="0" borderId="1" xfId="2" applyNumberFormat="1" applyFont="1" applyBorder="1" applyAlignment="1">
      <alignment horizontal="center" wrapText="1"/>
    </xf>
    <xf numFmtId="176" fontId="16" fillId="0" borderId="0" xfId="2" applyNumberFormat="1" applyFont="1" applyBorder="1" applyAlignment="1">
      <alignment horizontal="center" wrapText="1"/>
    </xf>
    <xf numFmtId="176" fontId="16" fillId="0" borderId="2" xfId="2" applyNumberFormat="1" applyFont="1" applyBorder="1" applyAlignment="1">
      <alignment horizontal="center" wrapText="1"/>
    </xf>
    <xf numFmtId="176" fontId="16" fillId="0" borderId="1" xfId="2" applyNumberFormat="1" applyFont="1" applyBorder="1" applyAlignment="1">
      <alignment horizontal="center"/>
    </xf>
    <xf numFmtId="176" fontId="16" fillId="0" borderId="0" xfId="2" applyNumberFormat="1" applyFont="1" applyBorder="1" applyAlignment="1">
      <alignment horizontal="center"/>
    </xf>
    <xf numFmtId="176" fontId="16" fillId="0" borderId="2" xfId="2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176" fontId="13" fillId="2" borderId="0" xfId="2" applyNumberFormat="1" applyFont="1" applyFill="1" applyAlignment="1">
      <alignment horizontal="center" vertical="center"/>
    </xf>
    <xf numFmtId="176" fontId="16" fillId="2" borderId="0" xfId="2" applyNumberFormat="1" applyFont="1" applyFill="1" applyAlignment="1">
      <alignment horizontal="center" wrapText="1"/>
    </xf>
    <xf numFmtId="176" fontId="16" fillId="2" borderId="0" xfId="2" applyNumberFormat="1" applyFont="1" applyFill="1" applyAlignment="1">
      <alignment horizontal="center"/>
    </xf>
    <xf numFmtId="176" fontId="14" fillId="2" borderId="0" xfId="2" applyNumberFormat="1" applyFont="1" applyFill="1" applyAlignment="1">
      <alignment horizontal="center"/>
    </xf>
    <xf numFmtId="0" fontId="33" fillId="2" borderId="0" xfId="2" applyFont="1" applyFill="1" applyAlignment="1">
      <alignment horizontal="left"/>
    </xf>
    <xf numFmtId="176" fontId="33" fillId="2" borderId="0" xfId="2" applyNumberFormat="1" applyFont="1" applyFill="1" applyAlignment="1">
      <alignment horizontal="left"/>
    </xf>
    <xf numFmtId="0" fontId="32" fillId="0" borderId="0" xfId="2" applyFont="1" applyAlignment="1">
      <alignment horizontal="center"/>
    </xf>
    <xf numFmtId="0" fontId="32" fillId="0" borderId="0" xfId="2" applyFont="1" applyAlignment="1">
      <alignment horizontal="center" vertical="center"/>
    </xf>
    <xf numFmtId="0" fontId="32" fillId="2" borderId="0" xfId="2" applyFont="1" applyFill="1" applyAlignment="1">
      <alignment horizontal="center"/>
    </xf>
    <xf numFmtId="176" fontId="34" fillId="0" borderId="0" xfId="2" applyNumberFormat="1" applyFont="1" applyBorder="1" applyAlignment="1">
      <alignment horizontal="center" vertical="center" wrapText="1"/>
    </xf>
    <xf numFmtId="176" fontId="35" fillId="0" borderId="0" xfId="2" applyNumberFormat="1" applyFont="1" applyBorder="1" applyAlignment="1">
      <alignment horizontal="center" vertical="center" wrapText="1"/>
    </xf>
    <xf numFmtId="176" fontId="35" fillId="0" borderId="0" xfId="2" applyNumberFormat="1" applyFont="1" applyBorder="1" applyAlignment="1">
      <alignment horizontal="center"/>
    </xf>
    <xf numFmtId="176" fontId="36" fillId="0" borderId="0" xfId="2" applyNumberFormat="1" applyFont="1" applyBorder="1" applyAlignment="1">
      <alignment horizontal="center"/>
    </xf>
    <xf numFmtId="0" fontId="36" fillId="0" borderId="0" xfId="2" applyFont="1" applyBorder="1" applyAlignment="1">
      <alignment horizontal="center"/>
    </xf>
    <xf numFmtId="0" fontId="36" fillId="0" borderId="0" xfId="2" applyFont="1" applyAlignment="1">
      <alignment horizontal="center"/>
    </xf>
    <xf numFmtId="0" fontId="26" fillId="0" borderId="0" xfId="2" applyFont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37" fillId="0" borderId="0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center" vertical="center" wrapText="1"/>
    </xf>
    <xf numFmtId="176" fontId="37" fillId="0" borderId="0" xfId="2" applyNumberFormat="1" applyFont="1" applyBorder="1" applyAlignment="1">
      <alignment horizontal="center" vertical="center" wrapText="1"/>
    </xf>
    <xf numFmtId="176" fontId="38" fillId="0" borderId="0" xfId="2" applyNumberFormat="1" applyFont="1" applyBorder="1" applyAlignment="1">
      <alignment horizontal="center" vertical="center" wrapText="1"/>
    </xf>
    <xf numFmtId="176" fontId="37" fillId="0" borderId="2" xfId="2" applyNumberFormat="1" applyFont="1" applyBorder="1" applyAlignment="1">
      <alignment horizontal="center" vertical="center" wrapText="1"/>
    </xf>
    <xf numFmtId="176" fontId="34" fillId="0" borderId="1" xfId="2" applyNumberFormat="1" applyFont="1" applyBorder="1" applyAlignment="1">
      <alignment horizontal="center" vertical="center" wrapText="1"/>
    </xf>
    <xf numFmtId="176" fontId="34" fillId="0" borderId="2" xfId="2" applyNumberFormat="1" applyFont="1" applyBorder="1" applyAlignment="1">
      <alignment horizontal="center" vertical="center" wrapText="1"/>
    </xf>
    <xf numFmtId="176" fontId="37" fillId="0" borderId="1" xfId="2" applyNumberFormat="1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36" fillId="0" borderId="0" xfId="2" applyFont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 wrapText="1"/>
    </xf>
    <xf numFmtId="176" fontId="39" fillId="0" borderId="2" xfId="2" applyNumberFormat="1" applyFont="1" applyBorder="1" applyAlignment="1">
      <alignment horizontal="center" vertical="center" wrapText="1"/>
    </xf>
    <xf numFmtId="176" fontId="40" fillId="0" borderId="0" xfId="2" applyNumberFormat="1" applyFont="1" applyAlignment="1">
      <alignment horizontal="center" vertical="center" wrapText="1"/>
    </xf>
    <xf numFmtId="176" fontId="40" fillId="2" borderId="0" xfId="2" applyNumberFormat="1" applyFont="1" applyFill="1" applyAlignment="1">
      <alignment horizontal="center" vertical="center" wrapText="1"/>
    </xf>
    <xf numFmtId="0" fontId="36" fillId="2" borderId="0" xfId="2" applyFont="1" applyFill="1" applyAlignment="1">
      <alignment horizontal="center" vertical="center" wrapText="1"/>
    </xf>
    <xf numFmtId="176" fontId="36" fillId="0" borderId="1" xfId="2" applyNumberFormat="1" applyFont="1" applyBorder="1" applyAlignment="1">
      <alignment horizontal="center" vertical="center" wrapText="1"/>
    </xf>
    <xf numFmtId="176" fontId="36" fillId="0" borderId="0" xfId="2" applyNumberFormat="1" applyFont="1" applyBorder="1" applyAlignment="1">
      <alignment horizontal="center" vertical="center" wrapText="1"/>
    </xf>
    <xf numFmtId="176" fontId="36" fillId="2" borderId="0" xfId="2" applyNumberFormat="1" applyFont="1" applyFill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38" fontId="42" fillId="0" borderId="1" xfId="2" applyNumberFormat="1" applyFont="1" applyBorder="1" applyAlignment="1">
      <alignment horizontal="center"/>
    </xf>
    <xf numFmtId="38" fontId="13" fillId="0" borderId="0" xfId="2" applyNumberFormat="1" applyFont="1" applyBorder="1" applyAlignment="1">
      <alignment horizontal="center"/>
    </xf>
    <xf numFmtId="38" fontId="13" fillId="0" borderId="0" xfId="2" applyNumberFormat="1" applyFont="1" applyBorder="1" applyAlignment="1">
      <alignment horizontal="center" vertical="center"/>
    </xf>
    <xf numFmtId="38" fontId="13" fillId="2" borderId="0" xfId="2" applyNumberFormat="1" applyFont="1" applyFill="1" applyBorder="1" applyAlignment="1">
      <alignment horizontal="center"/>
    </xf>
    <xf numFmtId="38" fontId="42" fillId="0" borderId="0" xfId="2" applyNumberFormat="1" applyFont="1" applyBorder="1" applyAlignment="1">
      <alignment horizontal="center"/>
    </xf>
    <xf numFmtId="176" fontId="43" fillId="0" borderId="0" xfId="2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/>
    <xf numFmtId="0" fontId="22" fillId="0" borderId="1" xfId="0" applyFont="1" applyBorder="1"/>
    <xf numFmtId="0" fontId="22" fillId="0" borderId="0" xfId="0" applyFont="1" applyBorder="1"/>
    <xf numFmtId="0" fontId="22" fillId="0" borderId="2" xfId="0" applyFont="1" applyBorder="1"/>
    <xf numFmtId="9" fontId="14" fillId="0" borderId="0" xfId="1" applyFont="1" applyAlignment="1">
      <alignment horizontal="center"/>
    </xf>
    <xf numFmtId="176" fontId="44" fillId="0" borderId="0" xfId="6" applyNumberFormat="1" applyFont="1"/>
    <xf numFmtId="176" fontId="45" fillId="0" borderId="0" xfId="6" applyNumberFormat="1" applyFont="1"/>
    <xf numFmtId="0" fontId="9" fillId="0" borderId="0" xfId="6" applyFont="1"/>
    <xf numFmtId="0" fontId="47" fillId="0" borderId="0" xfId="6" applyFont="1"/>
    <xf numFmtId="176" fontId="48" fillId="0" borderId="4" xfId="6" applyNumberFormat="1" applyFont="1" applyBorder="1" applyAlignment="1">
      <alignment horizontal="center" vertical="center"/>
    </xf>
    <xf numFmtId="176" fontId="48" fillId="0" borderId="9" xfId="6" applyNumberFormat="1" applyFont="1" applyBorder="1" applyAlignment="1">
      <alignment horizontal="center" vertical="center"/>
    </xf>
    <xf numFmtId="176" fontId="48" fillId="0" borderId="10" xfId="6" applyNumberFormat="1" applyFont="1" applyBorder="1" applyAlignment="1">
      <alignment horizontal="center" vertical="center"/>
    </xf>
    <xf numFmtId="176" fontId="48" fillId="0" borderId="11" xfId="6" applyNumberFormat="1" applyFont="1" applyBorder="1" applyAlignment="1">
      <alignment horizontal="center" vertical="center"/>
    </xf>
    <xf numFmtId="176" fontId="48" fillId="0" borderId="12" xfId="6" applyNumberFormat="1" applyFont="1" applyBorder="1" applyAlignment="1">
      <alignment horizontal="center" vertical="center"/>
    </xf>
    <xf numFmtId="0" fontId="48" fillId="0" borderId="0" xfId="6" applyFont="1"/>
    <xf numFmtId="176" fontId="50" fillId="0" borderId="13" xfId="6" applyNumberFormat="1" applyFont="1" applyBorder="1" applyAlignment="1">
      <alignment horizontal="center" vertical="center" wrapText="1"/>
    </xf>
    <xf numFmtId="176" fontId="50" fillId="0" borderId="14" xfId="6" applyNumberFormat="1" applyFont="1" applyBorder="1" applyAlignment="1">
      <alignment horizontal="center" vertical="center" wrapText="1"/>
    </xf>
    <xf numFmtId="176" fontId="50" fillId="0" borderId="1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/>
    </xf>
    <xf numFmtId="176" fontId="22" fillId="0" borderId="16" xfId="6" applyNumberFormat="1" applyFont="1" applyBorder="1" applyAlignment="1">
      <alignment horizontal="center" vertical="center" wrapText="1"/>
    </xf>
    <xf numFmtId="176" fontId="51" fillId="0" borderId="17" xfId="6" applyNumberFormat="1" applyFont="1" applyBorder="1" applyAlignment="1">
      <alignment horizontal="center" vertical="center" wrapText="1"/>
    </xf>
    <xf numFmtId="176" fontId="51" fillId="0" borderId="18" xfId="6" applyNumberFormat="1" applyFont="1" applyBorder="1" applyAlignment="1">
      <alignment horizontal="center" vertical="center" wrapText="1"/>
    </xf>
    <xf numFmtId="176" fontId="22" fillId="0" borderId="4" xfId="6" applyNumberFormat="1" applyFont="1" applyBorder="1" applyAlignment="1">
      <alignment horizontal="center" vertical="center" wrapText="1"/>
    </xf>
    <xf numFmtId="176" fontId="22" fillId="0" borderId="13" xfId="6" applyNumberFormat="1" applyFont="1" applyBorder="1" applyAlignment="1">
      <alignment horizontal="center" vertical="center" wrapText="1"/>
    </xf>
    <xf numFmtId="176" fontId="51" fillId="0" borderId="20" xfId="6" applyNumberFormat="1" applyFont="1" applyBorder="1" applyAlignment="1">
      <alignment horizontal="center" vertical="center" wrapText="1"/>
    </xf>
    <xf numFmtId="0" fontId="52" fillId="0" borderId="0" xfId="6" applyFont="1" applyAlignment="1">
      <alignment horizontal="center"/>
    </xf>
    <xf numFmtId="176" fontId="9" fillId="0" borderId="0" xfId="6" applyNumberFormat="1" applyFont="1"/>
    <xf numFmtId="176" fontId="53" fillId="0" borderId="0" xfId="6" applyNumberFormat="1" applyFont="1"/>
    <xf numFmtId="9" fontId="9" fillId="0" borderId="5" xfId="1" applyFont="1" applyFill="1" applyBorder="1" applyAlignment="1">
      <alignment horizontal="center"/>
    </xf>
    <xf numFmtId="0" fontId="9" fillId="0" borderId="0" xfId="6" applyFont="1" applyFill="1"/>
    <xf numFmtId="178" fontId="48" fillId="0" borderId="4" xfId="6" applyNumberFormat="1" applyFont="1" applyBorder="1" applyAlignment="1">
      <alignment horizontal="center" vertical="center"/>
    </xf>
    <xf numFmtId="178" fontId="49" fillId="0" borderId="4" xfId="6" applyNumberFormat="1" applyFont="1" applyBorder="1" applyAlignment="1">
      <alignment horizontal="center" vertical="center" wrapText="1"/>
    </xf>
    <xf numFmtId="178" fontId="22" fillId="0" borderId="16" xfId="6" applyNumberFormat="1" applyFont="1" applyBorder="1" applyAlignment="1">
      <alignment horizontal="center" vertical="center" wrapText="1"/>
    </xf>
    <xf numFmtId="178" fontId="22" fillId="0" borderId="4" xfId="6" applyNumberFormat="1" applyFont="1" applyBorder="1" applyAlignment="1">
      <alignment horizontal="center" vertical="center" wrapText="1"/>
    </xf>
    <xf numFmtId="178" fontId="9" fillId="0" borderId="4" xfId="6" applyNumberFormat="1" applyFont="1" applyBorder="1" applyAlignment="1">
      <alignment horizontal="center"/>
    </xf>
    <xf numFmtId="178" fontId="9" fillId="0" borderId="0" xfId="6" applyNumberFormat="1" applyFont="1" applyAlignment="1">
      <alignment horizontal="center"/>
    </xf>
    <xf numFmtId="179" fontId="44" fillId="0" borderId="0" xfId="6" applyNumberFormat="1" applyFont="1"/>
    <xf numFmtId="179" fontId="48" fillId="0" borderId="4" xfId="6" applyNumberFormat="1" applyFont="1" applyBorder="1" applyAlignment="1">
      <alignment horizontal="center" vertical="center"/>
    </xf>
    <xf numFmtId="179" fontId="22" fillId="0" borderId="4" xfId="6" applyNumberFormat="1" applyFont="1" applyBorder="1" applyAlignment="1">
      <alignment horizontal="center" vertical="center" wrapText="1"/>
    </xf>
    <xf numFmtId="179" fontId="22" fillId="0" borderId="16" xfId="6" applyNumberFormat="1" applyFont="1" applyBorder="1" applyAlignment="1">
      <alignment horizontal="center" vertical="center" wrapText="1"/>
    </xf>
    <xf numFmtId="9" fontId="53" fillId="0" borderId="0" xfId="1" applyFont="1" applyBorder="1" applyAlignment="1">
      <alignment horizontal="center"/>
    </xf>
    <xf numFmtId="9" fontId="53" fillId="0" borderId="14" xfId="1" applyFont="1" applyBorder="1" applyAlignment="1">
      <alignment horizontal="center"/>
    </xf>
    <xf numFmtId="9" fontId="53" fillId="0" borderId="13" xfId="1" applyFont="1" applyBorder="1" applyAlignment="1">
      <alignment horizontal="center"/>
    </xf>
    <xf numFmtId="179" fontId="9" fillId="0" borderId="22" xfId="6" applyNumberFormat="1" applyFont="1" applyBorder="1" applyAlignment="1">
      <alignment horizontal="center"/>
    </xf>
    <xf numFmtId="9" fontId="53" fillId="0" borderId="23" xfId="1" applyFont="1" applyBorder="1" applyAlignment="1">
      <alignment horizontal="center"/>
    </xf>
    <xf numFmtId="9" fontId="53" fillId="0" borderId="25" xfId="1" applyFont="1" applyBorder="1" applyAlignment="1">
      <alignment horizontal="center"/>
    </xf>
    <xf numFmtId="9" fontId="53" fillId="0" borderId="24" xfId="1" applyFont="1" applyBorder="1" applyAlignment="1">
      <alignment horizontal="center"/>
    </xf>
    <xf numFmtId="179" fontId="9" fillId="0" borderId="0" xfId="6" applyNumberFormat="1" applyFont="1"/>
    <xf numFmtId="176" fontId="22" fillId="0" borderId="5" xfId="6" applyNumberFormat="1" applyFont="1" applyBorder="1" applyAlignment="1">
      <alignment horizontal="center" vertical="center" wrapText="1"/>
    </xf>
    <xf numFmtId="176" fontId="22" fillId="0" borderId="27" xfId="6" applyNumberFormat="1" applyFont="1" applyBorder="1" applyAlignment="1">
      <alignment horizontal="center" vertical="center" wrapText="1"/>
    </xf>
    <xf numFmtId="179" fontId="22" fillId="0" borderId="4" xfId="6" applyNumberFormat="1" applyFont="1" applyBorder="1" applyAlignment="1">
      <alignment horizontal="center"/>
    </xf>
    <xf numFmtId="176" fontId="22" fillId="0" borderId="1" xfId="6" applyNumberFormat="1" applyFont="1" applyBorder="1" applyAlignment="1">
      <alignment horizontal="center"/>
    </xf>
    <xf numFmtId="176" fontId="51" fillId="0" borderId="26" xfId="6" quotePrefix="1" applyNumberFormat="1" applyFont="1" applyBorder="1" applyAlignment="1">
      <alignment horizontal="center" vertical="center" wrapText="1"/>
    </xf>
    <xf numFmtId="9" fontId="51" fillId="0" borderId="0" xfId="1" applyFont="1" applyBorder="1" applyAlignment="1">
      <alignment horizontal="center" vertical="center" wrapText="1"/>
    </xf>
    <xf numFmtId="9" fontId="51" fillId="0" borderId="0" xfId="1" applyFont="1" applyBorder="1" applyAlignment="1">
      <alignment horizontal="center"/>
    </xf>
    <xf numFmtId="179" fontId="22" fillId="0" borderId="22" xfId="6" applyNumberFormat="1" applyFont="1" applyBorder="1" applyAlignment="1">
      <alignment horizontal="center"/>
    </xf>
    <xf numFmtId="9" fontId="51" fillId="0" borderId="23" xfId="1" applyFont="1" applyBorder="1" applyAlignment="1">
      <alignment horizontal="center" vertical="center" wrapText="1"/>
    </xf>
    <xf numFmtId="177" fontId="22" fillId="0" borderId="14" xfId="1" applyNumberFormat="1" applyFont="1" applyBorder="1" applyAlignment="1">
      <alignment horizontal="center" vertical="center" wrapText="1"/>
    </xf>
    <xf numFmtId="176" fontId="22" fillId="0" borderId="14" xfId="6" applyNumberFormat="1" applyFont="1" applyBorder="1" applyAlignment="1">
      <alignment horizontal="center" vertical="center" wrapText="1"/>
    </xf>
    <xf numFmtId="177" fontId="22" fillId="0" borderId="0" xfId="1" applyNumberFormat="1" applyFont="1" applyBorder="1" applyAlignment="1">
      <alignment horizontal="center" vertical="center" wrapText="1"/>
    </xf>
    <xf numFmtId="177" fontId="22" fillId="0" borderId="14" xfId="1" applyNumberFormat="1" applyFont="1" applyBorder="1" applyAlignment="1">
      <alignment horizontal="center"/>
    </xf>
    <xf numFmtId="177" fontId="22" fillId="0" borderId="0" xfId="1" applyNumberFormat="1" applyFont="1" applyBorder="1" applyAlignment="1">
      <alignment horizontal="center"/>
    </xf>
    <xf numFmtId="9" fontId="51" fillId="0" borderId="14" xfId="1" applyFont="1" applyBorder="1" applyAlignment="1">
      <alignment horizontal="center" vertical="center" wrapText="1"/>
    </xf>
    <xf numFmtId="9" fontId="51" fillId="0" borderId="13" xfId="1" applyFont="1" applyBorder="1" applyAlignment="1">
      <alignment horizontal="center" vertical="center" wrapText="1"/>
    </xf>
    <xf numFmtId="176" fontId="51" fillId="0" borderId="31" xfId="6" applyNumberFormat="1" applyFont="1" applyBorder="1" applyAlignment="1">
      <alignment horizontal="center" vertical="center" wrapText="1"/>
    </xf>
    <xf numFmtId="9" fontId="51" fillId="0" borderId="26" xfId="1" applyFont="1" applyBorder="1" applyAlignment="1">
      <alignment horizontal="center" vertical="center" wrapText="1"/>
    </xf>
    <xf numFmtId="9" fontId="53" fillId="0" borderId="26" xfId="1" applyFont="1" applyBorder="1" applyAlignment="1">
      <alignment horizontal="center"/>
    </xf>
    <xf numFmtId="9" fontId="53" fillId="0" borderId="29" xfId="1" applyFont="1" applyBorder="1" applyAlignment="1">
      <alignment horizontal="center"/>
    </xf>
    <xf numFmtId="0" fontId="9" fillId="0" borderId="0" xfId="6" applyFont="1" applyBorder="1"/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80" fontId="9" fillId="0" borderId="2" xfId="0" applyNumberFormat="1" applyFont="1" applyBorder="1" applyAlignment="1">
      <alignment horizontal="left"/>
    </xf>
    <xf numFmtId="180" fontId="9" fillId="2" borderId="0" xfId="0" applyNumberFormat="1" applyFont="1" applyFill="1" applyAlignment="1">
      <alignment horizontal="left"/>
    </xf>
    <xf numFmtId="180" fontId="9" fillId="0" borderId="0" xfId="0" applyNumberFormat="1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180" fontId="9" fillId="0" borderId="33" xfId="0" applyNumberFormat="1" applyFont="1" applyBorder="1" applyAlignment="1">
      <alignment horizontal="left"/>
    </xf>
    <xf numFmtId="180" fontId="9" fillId="2" borderId="5" xfId="0" applyNumberFormat="1" applyFont="1" applyFill="1" applyBorder="1" applyAlignment="1">
      <alignment horizontal="left"/>
    </xf>
    <xf numFmtId="180" fontId="9" fillId="0" borderId="5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176" fontId="22" fillId="0" borderId="0" xfId="2" applyNumberFormat="1" applyFont="1" applyAlignment="1">
      <alignment horizontal="center" vertical="center" wrapText="1"/>
    </xf>
    <xf numFmtId="177" fontId="22" fillId="0" borderId="0" xfId="2" applyNumberFormat="1" applyFont="1" applyAlignment="1">
      <alignment horizontal="center" vertical="center"/>
    </xf>
    <xf numFmtId="176" fontId="22" fillId="0" borderId="0" xfId="2" applyNumberFormat="1" applyFont="1" applyAlignment="1">
      <alignment horizontal="center" vertical="center"/>
    </xf>
    <xf numFmtId="177" fontId="22" fillId="0" borderId="0" xfId="2" applyNumberFormat="1" applyFont="1" applyAlignment="1">
      <alignment horizontal="left" vertical="center"/>
    </xf>
    <xf numFmtId="176" fontId="51" fillId="0" borderId="0" xfId="2" applyNumberFormat="1" applyFont="1" applyAlignment="1">
      <alignment horizontal="center" vertical="center" wrapText="1"/>
    </xf>
    <xf numFmtId="176" fontId="55" fillId="0" borderId="0" xfId="2" applyNumberFormat="1" applyFont="1" applyAlignment="1">
      <alignment horizontal="center" vertical="center" wrapText="1"/>
    </xf>
    <xf numFmtId="177" fontId="55" fillId="0" borderId="0" xfId="2" applyNumberFormat="1" applyFont="1" applyAlignment="1">
      <alignment horizontal="center" vertical="center"/>
    </xf>
    <xf numFmtId="177" fontId="22" fillId="0" borderId="0" xfId="3" applyNumberFormat="1" applyFont="1" applyAlignment="1">
      <alignment horizontal="center" vertical="center"/>
    </xf>
    <xf numFmtId="0" fontId="54" fillId="0" borderId="0" xfId="2" applyFont="1" applyAlignment="1">
      <alignment horizontal="left" vertical="center"/>
    </xf>
    <xf numFmtId="176" fontId="51" fillId="0" borderId="15" xfId="6" applyNumberFormat="1" applyFont="1" applyBorder="1" applyAlignment="1">
      <alignment horizontal="center" vertical="center" wrapText="1"/>
    </xf>
    <xf numFmtId="176" fontId="22" fillId="0" borderId="0" xfId="6" applyNumberFormat="1" applyFont="1" applyBorder="1" applyAlignment="1">
      <alignment horizontal="center" vertical="center" wrapText="1"/>
    </xf>
    <xf numFmtId="9" fontId="51" fillId="0" borderId="15" xfId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/>
    </xf>
    <xf numFmtId="176" fontId="22" fillId="0" borderId="34" xfId="6" applyNumberFormat="1" applyFont="1" applyBorder="1" applyAlignment="1">
      <alignment horizontal="center"/>
    </xf>
    <xf numFmtId="176" fontId="51" fillId="0" borderId="29" xfId="6" quotePrefix="1" applyNumberFormat="1" applyFont="1" applyBorder="1" applyAlignment="1">
      <alignment horizontal="center" vertical="center" wrapText="1"/>
    </xf>
    <xf numFmtId="2" fontId="14" fillId="0" borderId="0" xfId="2" applyNumberFormat="1" applyFont="1" applyAlignment="1">
      <alignment horizontal="center"/>
    </xf>
    <xf numFmtId="176" fontId="17" fillId="2" borderId="0" xfId="2" applyNumberFormat="1" applyFont="1" applyFill="1" applyBorder="1" applyAlignment="1">
      <alignment horizontal="center" vertical="center"/>
    </xf>
    <xf numFmtId="176" fontId="36" fillId="2" borderId="0" xfId="2" applyNumberFormat="1" applyFont="1" applyFill="1" applyBorder="1" applyAlignment="1">
      <alignment horizontal="center" vertical="center" wrapText="1"/>
    </xf>
    <xf numFmtId="176" fontId="16" fillId="2" borderId="0" xfId="2" applyNumberFormat="1" applyFont="1" applyFill="1" applyBorder="1" applyAlignment="1">
      <alignment horizontal="center" wrapText="1"/>
    </xf>
    <xf numFmtId="176" fontId="16" fillId="2" borderId="0" xfId="2" applyNumberFormat="1" applyFont="1" applyFill="1" applyBorder="1" applyAlignment="1">
      <alignment horizontal="center"/>
    </xf>
    <xf numFmtId="176" fontId="16" fillId="2" borderId="0" xfId="2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/>
    </xf>
    <xf numFmtId="178" fontId="51" fillId="0" borderId="5" xfId="6" applyNumberFormat="1" applyFont="1" applyBorder="1" applyAlignment="1">
      <alignment horizontal="center" vertical="center" wrapText="1"/>
    </xf>
    <xf numFmtId="178" fontId="51" fillId="0" borderId="21" xfId="6" applyNumberFormat="1" applyFont="1" applyBorder="1" applyAlignment="1">
      <alignment horizontal="center" vertical="center" wrapText="1"/>
    </xf>
    <xf numFmtId="178" fontId="51" fillId="0" borderId="0" xfId="6" applyNumberFormat="1" applyFont="1" applyBorder="1" applyAlignment="1">
      <alignment horizontal="center" vertical="center" wrapText="1"/>
    </xf>
    <xf numFmtId="178" fontId="51" fillId="0" borderId="19" xfId="6" applyNumberFormat="1" applyFont="1" applyBorder="1" applyAlignment="1">
      <alignment horizontal="center" vertical="center" wrapText="1"/>
    </xf>
    <xf numFmtId="178" fontId="51" fillId="0" borderId="15" xfId="6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/>
    </xf>
    <xf numFmtId="176" fontId="22" fillId="0" borderId="33" xfId="6" applyNumberFormat="1" applyFont="1" applyBorder="1" applyAlignment="1">
      <alignment horizontal="center" vertical="center" wrapText="1"/>
    </xf>
    <xf numFmtId="176" fontId="51" fillId="0" borderId="1" xfId="6" applyNumberFormat="1" applyFont="1" applyBorder="1" applyAlignment="1">
      <alignment horizontal="center"/>
    </xf>
    <xf numFmtId="176" fontId="51" fillId="0" borderId="2" xfId="6" applyNumberFormat="1" applyFont="1" applyBorder="1" applyAlignment="1">
      <alignment horizontal="center"/>
    </xf>
    <xf numFmtId="176" fontId="50" fillId="0" borderId="0" xfId="6" applyNumberFormat="1" applyFont="1" applyBorder="1" applyAlignment="1">
      <alignment horizontal="center" vertical="center" wrapText="1"/>
    </xf>
    <xf numFmtId="178" fontId="9" fillId="0" borderId="22" xfId="6" applyNumberFormat="1" applyFont="1" applyBorder="1" applyAlignment="1">
      <alignment horizontal="center"/>
    </xf>
    <xf numFmtId="177" fontId="9" fillId="0" borderId="23" xfId="1" applyNumberFormat="1" applyFont="1" applyBorder="1" applyAlignment="1">
      <alignment horizontal="center"/>
    </xf>
    <xf numFmtId="177" fontId="22" fillId="0" borderId="25" xfId="1" applyNumberFormat="1" applyFont="1" applyBorder="1" applyAlignment="1">
      <alignment horizontal="center"/>
    </xf>
    <xf numFmtId="9" fontId="51" fillId="0" borderId="2" xfId="1" applyFont="1" applyBorder="1" applyAlignment="1">
      <alignment horizontal="center"/>
    </xf>
    <xf numFmtId="177" fontId="53" fillId="0" borderId="15" xfId="1" applyNumberFormat="1" applyFont="1" applyBorder="1" applyAlignment="1">
      <alignment horizontal="center"/>
    </xf>
    <xf numFmtId="177" fontId="53" fillId="0" borderId="35" xfId="1" applyNumberFormat="1" applyFont="1" applyBorder="1" applyAlignment="1">
      <alignment horizontal="center"/>
    </xf>
    <xf numFmtId="178" fontId="9" fillId="0" borderId="16" xfId="6" applyNumberFormat="1" applyFont="1" applyBorder="1" applyAlignment="1">
      <alignment horizontal="center"/>
    </xf>
    <xf numFmtId="177" fontId="22" fillId="0" borderId="18" xfId="1" applyNumberFormat="1" applyFont="1" applyBorder="1" applyAlignment="1">
      <alignment horizontal="center" vertical="center" wrapText="1"/>
    </xf>
    <xf numFmtId="176" fontId="22" fillId="0" borderId="18" xfId="6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13" xfId="6" applyNumberFormat="1" applyFont="1" applyBorder="1" applyAlignment="1">
      <alignment horizontal="center" vertical="center" wrapText="1"/>
    </xf>
    <xf numFmtId="176" fontId="48" fillId="0" borderId="40" xfId="6" applyNumberFormat="1" applyFont="1" applyBorder="1" applyAlignment="1">
      <alignment horizontal="center" vertical="center"/>
    </xf>
    <xf numFmtId="176" fontId="48" fillId="0" borderId="41" xfId="6" applyNumberFormat="1" applyFont="1" applyBorder="1" applyAlignment="1">
      <alignment horizontal="center" vertical="center"/>
    </xf>
    <xf numFmtId="176" fontId="50" fillId="0" borderId="26" xfId="6" applyNumberFormat="1" applyFont="1" applyBorder="1" applyAlignment="1">
      <alignment horizontal="center" vertical="center" wrapText="1"/>
    </xf>
    <xf numFmtId="176" fontId="22" fillId="0" borderId="26" xfId="6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177" fontId="22" fillId="0" borderId="15" xfId="1" applyNumberFormat="1" applyFont="1" applyBorder="1" applyAlignment="1">
      <alignment horizontal="center" vertical="center" wrapText="1"/>
    </xf>
    <xf numFmtId="177" fontId="22" fillId="0" borderId="19" xfId="1" applyNumberFormat="1" applyFont="1" applyBorder="1" applyAlignment="1">
      <alignment horizontal="center" vertical="center" wrapText="1"/>
    </xf>
    <xf numFmtId="9" fontId="53" fillId="0" borderId="15" xfId="1" applyFont="1" applyBorder="1" applyAlignment="1">
      <alignment horizontal="center"/>
    </xf>
    <xf numFmtId="9" fontId="53" fillId="0" borderId="35" xfId="1" applyFont="1" applyBorder="1" applyAlignment="1">
      <alignment horizontal="center"/>
    </xf>
    <xf numFmtId="0" fontId="52" fillId="0" borderId="0" xfId="6" applyFont="1" applyBorder="1" applyAlignment="1">
      <alignment horizontal="center"/>
    </xf>
    <xf numFmtId="0" fontId="52" fillId="0" borderId="15" xfId="6" applyFont="1" applyBorder="1" applyAlignment="1">
      <alignment horizontal="center"/>
    </xf>
    <xf numFmtId="0" fontId="9" fillId="0" borderId="15" xfId="6" applyFont="1" applyBorder="1"/>
    <xf numFmtId="0" fontId="52" fillId="0" borderId="26" xfId="6" applyFont="1" applyBorder="1" applyAlignment="1">
      <alignment horizontal="center"/>
    </xf>
    <xf numFmtId="176" fontId="51" fillId="0" borderId="32" xfId="6" applyNumberFormat="1" applyFont="1" applyBorder="1" applyAlignment="1">
      <alignment horizontal="center" vertical="center" wrapText="1"/>
    </xf>
    <xf numFmtId="176" fontId="22" fillId="0" borderId="28" xfId="6" applyNumberFormat="1" applyFont="1" applyBorder="1" applyAlignment="1">
      <alignment horizontal="center" vertical="center" wrapText="1"/>
    </xf>
    <xf numFmtId="176" fontId="51" fillId="0" borderId="26" xfId="6" applyNumberFormat="1" applyFont="1" applyBorder="1" applyAlignment="1">
      <alignment horizontal="center"/>
    </xf>
    <xf numFmtId="177" fontId="9" fillId="0" borderId="35" xfId="1" applyNumberFormat="1" applyFont="1" applyBorder="1" applyAlignment="1">
      <alignment horizontal="center"/>
    </xf>
    <xf numFmtId="176" fontId="55" fillId="0" borderId="0" xfId="6" applyNumberFormat="1" applyFont="1" applyBorder="1" applyAlignment="1">
      <alignment horizontal="center"/>
    </xf>
    <xf numFmtId="178" fontId="56" fillId="0" borderId="4" xfId="6" applyNumberFormat="1" applyFont="1" applyBorder="1" applyAlignment="1">
      <alignment horizontal="center" vertical="center"/>
    </xf>
    <xf numFmtId="0" fontId="23" fillId="0" borderId="0" xfId="6" applyFont="1"/>
    <xf numFmtId="0" fontId="23" fillId="0" borderId="0" xfId="6" applyFont="1" applyBorder="1"/>
    <xf numFmtId="176" fontId="22" fillId="0" borderId="32" xfId="6" applyNumberFormat="1" applyFont="1" applyBorder="1" applyAlignment="1">
      <alignment horizontal="center" vertical="center" wrapText="1"/>
    </xf>
    <xf numFmtId="177" fontId="22" fillId="0" borderId="23" xfId="1" applyNumberFormat="1" applyFont="1" applyBorder="1" applyAlignment="1">
      <alignment horizontal="center"/>
    </xf>
    <xf numFmtId="177" fontId="9" fillId="0" borderId="29" xfId="1" applyNumberFormat="1" applyFont="1" applyBorder="1" applyAlignment="1">
      <alignment horizontal="center"/>
    </xf>
    <xf numFmtId="177" fontId="22" fillId="0" borderId="13" xfId="1" applyNumberFormat="1" applyFont="1" applyBorder="1" applyAlignment="1">
      <alignment horizontal="center" vertical="center" wrapText="1"/>
    </xf>
    <xf numFmtId="177" fontId="22" fillId="0" borderId="17" xfId="1" applyNumberFormat="1" applyFont="1" applyBorder="1" applyAlignment="1">
      <alignment horizontal="center" vertical="center" wrapText="1"/>
    </xf>
    <xf numFmtId="177" fontId="9" fillId="0" borderId="24" xfId="1" applyNumberFormat="1" applyFont="1" applyBorder="1" applyAlignment="1">
      <alignment horizontal="center"/>
    </xf>
    <xf numFmtId="179" fontId="23" fillId="0" borderId="0" xfId="6" applyNumberFormat="1" applyFont="1" applyBorder="1" applyAlignment="1">
      <alignment horizontal="left"/>
    </xf>
    <xf numFmtId="182" fontId="58" fillId="0" borderId="0" xfId="1" applyNumberFormat="1" applyFont="1" applyBorder="1" applyAlignment="1">
      <alignment horizontal="center"/>
    </xf>
    <xf numFmtId="177" fontId="58" fillId="0" borderId="0" xfId="1" applyNumberFormat="1" applyFont="1" applyBorder="1" applyAlignment="1">
      <alignment horizontal="center"/>
    </xf>
    <xf numFmtId="9" fontId="58" fillId="0" borderId="0" xfId="1" applyFont="1" applyBorder="1" applyAlignment="1">
      <alignment horizontal="center"/>
    </xf>
    <xf numFmtId="0" fontId="23" fillId="0" borderId="0" xfId="0" applyFont="1"/>
    <xf numFmtId="177" fontId="23" fillId="0" borderId="0" xfId="0" applyNumberFormat="1" applyFont="1" applyAlignment="1">
      <alignment horizontal="center"/>
    </xf>
    <xf numFmtId="177" fontId="23" fillId="0" borderId="0" xfId="1" applyNumberFormat="1" applyFont="1" applyAlignment="1">
      <alignment horizontal="center"/>
    </xf>
    <xf numFmtId="178" fontId="51" fillId="0" borderId="17" xfId="6" applyNumberFormat="1" applyFont="1" applyBorder="1" applyAlignment="1">
      <alignment horizontal="center" vertical="center" wrapText="1"/>
    </xf>
    <xf numFmtId="178" fontId="51" fillId="0" borderId="13" xfId="6" applyNumberFormat="1" applyFont="1" applyBorder="1" applyAlignment="1">
      <alignment horizontal="center" vertical="center" wrapText="1"/>
    </xf>
    <xf numFmtId="178" fontId="53" fillId="0" borderId="13" xfId="6" applyNumberFormat="1" applyFont="1" applyBorder="1" applyAlignment="1">
      <alignment horizontal="center" vertical="center" wrapText="1"/>
    </xf>
    <xf numFmtId="177" fontId="53" fillId="0" borderId="13" xfId="1" applyNumberFormat="1" applyFont="1" applyBorder="1" applyAlignment="1">
      <alignment horizontal="center"/>
    </xf>
    <xf numFmtId="177" fontId="53" fillId="0" borderId="24" xfId="1" applyNumberFormat="1" applyFont="1" applyBorder="1" applyAlignment="1">
      <alignment horizontal="center"/>
    </xf>
    <xf numFmtId="178" fontId="51" fillId="0" borderId="18" xfId="6" applyNumberFormat="1" applyFont="1" applyBorder="1" applyAlignment="1">
      <alignment horizontal="center" vertical="center" wrapText="1"/>
    </xf>
    <xf numFmtId="178" fontId="51" fillId="0" borderId="14" xfId="6" applyNumberFormat="1" applyFont="1" applyBorder="1" applyAlignment="1">
      <alignment horizontal="center" vertical="center" wrapText="1"/>
    </xf>
    <xf numFmtId="178" fontId="56" fillId="0" borderId="4" xfId="6" applyNumberFormat="1" applyFont="1" applyBorder="1" applyAlignment="1">
      <alignment horizontal="center" vertical="center" wrapText="1"/>
    </xf>
    <xf numFmtId="0" fontId="23" fillId="0" borderId="0" xfId="6" applyFont="1" applyAlignment="1">
      <alignment wrapText="1"/>
    </xf>
    <xf numFmtId="176" fontId="9" fillId="0" borderId="0" xfId="6" applyNumberFormat="1" applyFont="1" applyFill="1"/>
    <xf numFmtId="176" fontId="48" fillId="0" borderId="0" xfId="6" applyNumberFormat="1" applyFont="1" applyFill="1" applyBorder="1" applyAlignment="1">
      <alignment horizontal="center" vertical="center"/>
    </xf>
    <xf numFmtId="176" fontId="22" fillId="0" borderId="0" xfId="6" applyNumberFormat="1" applyFont="1" applyFill="1" applyBorder="1" applyAlignment="1">
      <alignment horizontal="center" vertical="center" wrapText="1"/>
    </xf>
    <xf numFmtId="176" fontId="53" fillId="0" borderId="0" xfId="6" applyNumberFormat="1" applyFont="1" applyFill="1"/>
    <xf numFmtId="9" fontId="22" fillId="0" borderId="0" xfId="1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10" fontId="9" fillId="0" borderId="0" xfId="1" applyNumberFormat="1" applyFont="1" applyAlignment="1"/>
    <xf numFmtId="176" fontId="51" fillId="0" borderId="0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177" fontId="9" fillId="0" borderId="0" xfId="6" applyNumberFormat="1" applyFont="1"/>
    <xf numFmtId="183" fontId="9" fillId="0" borderId="0" xfId="8" applyNumberFormat="1" applyFont="1" applyFill="1" applyAlignment="1"/>
    <xf numFmtId="0" fontId="9" fillId="0" borderId="5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 vertical="center" wrapText="1"/>
    </xf>
    <xf numFmtId="0" fontId="9" fillId="0" borderId="19" xfId="6" applyFont="1" applyFill="1" applyBorder="1" applyAlignment="1">
      <alignment horizontal="center"/>
    </xf>
    <xf numFmtId="183" fontId="9" fillId="0" borderId="0" xfId="8" applyNumberFormat="1" applyFont="1" applyFill="1" applyBorder="1" applyAlignment="1">
      <alignment horizontal="center"/>
    </xf>
    <xf numFmtId="10" fontId="9" fillId="0" borderId="0" xfId="1" applyNumberFormat="1" applyFont="1" applyBorder="1" applyAlignment="1"/>
    <xf numFmtId="178" fontId="9" fillId="0" borderId="22" xfId="6" applyNumberFormat="1" applyFont="1" applyFill="1" applyBorder="1" applyAlignment="1">
      <alignment horizontal="center"/>
    </xf>
    <xf numFmtId="176" fontId="51" fillId="0" borderId="23" xfId="6" applyNumberFormat="1" applyFont="1" applyFill="1" applyBorder="1" applyAlignment="1">
      <alignment horizontal="center" vertical="center" wrapText="1"/>
    </xf>
    <xf numFmtId="183" fontId="9" fillId="0" borderId="23" xfId="8" applyNumberFormat="1" applyFont="1" applyFill="1" applyBorder="1" applyAlignment="1">
      <alignment horizontal="center"/>
    </xf>
    <xf numFmtId="10" fontId="9" fillId="0" borderId="23" xfId="1" applyNumberFormat="1" applyFont="1" applyBorder="1" applyAlignment="1"/>
    <xf numFmtId="183" fontId="9" fillId="0" borderId="0" xfId="6" applyNumberFormat="1" applyFont="1" applyFill="1"/>
    <xf numFmtId="183" fontId="9" fillId="0" borderId="0" xfId="6" applyNumberFormat="1" applyFont="1"/>
    <xf numFmtId="176" fontId="51" fillId="0" borderId="28" xfId="6" applyNumberFormat="1" applyFont="1" applyBorder="1" applyAlignment="1">
      <alignment horizontal="center" vertical="center" wrapText="1"/>
    </xf>
    <xf numFmtId="176" fontId="51" fillId="0" borderId="5" xfId="6" applyNumberFormat="1" applyFont="1" applyBorder="1" applyAlignment="1">
      <alignment horizontal="center" vertical="center" wrapText="1"/>
    </xf>
    <xf numFmtId="176" fontId="51" fillId="0" borderId="19" xfId="6" applyNumberFormat="1" applyFont="1" applyBorder="1" applyAlignment="1">
      <alignment horizontal="center" vertical="center" wrapText="1"/>
    </xf>
    <xf numFmtId="176" fontId="51" fillId="0" borderId="21" xfId="6" applyNumberFormat="1" applyFont="1" applyBorder="1" applyAlignment="1">
      <alignment horizontal="center" vertical="center" wrapText="1"/>
    </xf>
    <xf numFmtId="176" fontId="22" fillId="0" borderId="1" xfId="6" applyNumberFormat="1" applyFont="1" applyBorder="1" applyAlignment="1">
      <alignment horizontal="center" vertical="center" wrapText="1"/>
    </xf>
    <xf numFmtId="176" fontId="51" fillId="0" borderId="1" xfId="6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2" xfId="6" applyNumberFormat="1" applyFont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wrapText="1"/>
    </xf>
    <xf numFmtId="176" fontId="51" fillId="0" borderId="14" xfId="6" applyNumberFormat="1" applyFont="1" applyBorder="1" applyAlignment="1">
      <alignment horizontal="center" vertical="center" wrapText="1"/>
    </xf>
    <xf numFmtId="176" fontId="51" fillId="0" borderId="15" xfId="6" applyNumberFormat="1" applyFont="1" applyBorder="1" applyAlignment="1">
      <alignment horizontal="center" vertical="center" wrapText="1"/>
    </xf>
    <xf numFmtId="176" fontId="51" fillId="0" borderId="26" xfId="6" applyNumberFormat="1" applyFont="1" applyBorder="1" applyAlignment="1">
      <alignment horizontal="center" vertical="center" wrapText="1"/>
    </xf>
    <xf numFmtId="176" fontId="51" fillId="0" borderId="30" xfId="6" applyNumberFormat="1" applyFont="1" applyBorder="1" applyAlignment="1">
      <alignment horizontal="center" vertical="center" wrapText="1"/>
    </xf>
    <xf numFmtId="176" fontId="51" fillId="0" borderId="13" xfId="6" applyNumberFormat="1" applyFont="1" applyBorder="1" applyAlignment="1">
      <alignment horizontal="center" vertical="center" wrapText="1"/>
    </xf>
    <xf numFmtId="176" fontId="48" fillId="0" borderId="0" xfId="6" applyNumberFormat="1" applyFont="1" applyBorder="1" applyAlignment="1">
      <alignment horizontal="center" vertical="center"/>
    </xf>
    <xf numFmtId="176" fontId="48" fillId="0" borderId="15" xfId="6" applyNumberFormat="1" applyFont="1" applyBorder="1" applyAlignment="1">
      <alignment horizontal="center" vertical="center"/>
    </xf>
    <xf numFmtId="178" fontId="9" fillId="0" borderId="4" xfId="6" applyNumberFormat="1" applyFont="1" applyFill="1" applyBorder="1" applyAlignment="1">
      <alignment horizontal="center"/>
    </xf>
    <xf numFmtId="176" fontId="22" fillId="0" borderId="26" xfId="6" applyNumberFormat="1" applyFont="1" applyFill="1" applyBorder="1" applyAlignment="1">
      <alignment horizontal="center" vertical="center" wrapText="1"/>
    </xf>
    <xf numFmtId="177" fontId="22" fillId="0" borderId="0" xfId="1" applyNumberFormat="1" applyFont="1" applyFill="1" applyBorder="1" applyAlignment="1">
      <alignment horizontal="center" vertical="center" wrapText="1"/>
    </xf>
    <xf numFmtId="9" fontId="22" fillId="0" borderId="0" xfId="1" applyFont="1" applyFill="1" applyBorder="1" applyAlignment="1">
      <alignment horizontal="center" vertical="center" wrapText="1"/>
    </xf>
    <xf numFmtId="9" fontId="22" fillId="0" borderId="13" xfId="1" applyFont="1" applyFill="1" applyBorder="1" applyAlignment="1">
      <alignment horizontal="center" vertical="center" wrapText="1"/>
    </xf>
    <xf numFmtId="177" fontId="22" fillId="0" borderId="14" xfId="1" applyNumberFormat="1" applyFont="1" applyFill="1" applyBorder="1" applyAlignment="1">
      <alignment horizontal="center" vertical="center" wrapText="1"/>
    </xf>
    <xf numFmtId="177" fontId="9" fillId="0" borderId="26" xfId="1" applyNumberFormat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0" borderId="15" xfId="1" applyFont="1" applyFill="1" applyBorder="1" applyAlignment="1">
      <alignment horizontal="center"/>
    </xf>
    <xf numFmtId="178" fontId="9" fillId="0" borderId="0" xfId="6" applyNumberFormat="1" applyFont="1" applyFill="1" applyAlignment="1">
      <alignment horizontal="center"/>
    </xf>
    <xf numFmtId="178" fontId="48" fillId="0" borderId="4" xfId="6" applyNumberFormat="1" applyFont="1" applyFill="1" applyBorder="1" applyAlignment="1">
      <alignment horizontal="center" vertical="center"/>
    </xf>
    <xf numFmtId="176" fontId="48" fillId="0" borderId="40" xfId="6" applyNumberFormat="1" applyFont="1" applyFill="1" applyBorder="1" applyAlignment="1">
      <alignment horizontal="center" vertical="center"/>
    </xf>
    <xf numFmtId="176" fontId="48" fillId="0" borderId="10" xfId="6" applyNumberFormat="1" applyFont="1" applyFill="1" applyBorder="1" applyAlignment="1">
      <alignment horizontal="center" vertical="center"/>
    </xf>
    <xf numFmtId="176" fontId="48" fillId="0" borderId="12" xfId="6" applyNumberFormat="1" applyFont="1" applyFill="1" applyBorder="1" applyAlignment="1">
      <alignment horizontal="center" vertical="center"/>
    </xf>
    <xf numFmtId="178" fontId="56" fillId="0" borderId="4" xfId="6" applyNumberFormat="1" applyFont="1" applyFill="1" applyBorder="1" applyAlignment="1">
      <alignment horizontal="center" vertical="center"/>
    </xf>
    <xf numFmtId="178" fontId="49" fillId="0" borderId="4" xfId="6" applyNumberFormat="1" applyFont="1" applyFill="1" applyBorder="1" applyAlignment="1">
      <alignment horizontal="center" vertical="center" wrapText="1"/>
    </xf>
    <xf numFmtId="176" fontId="50" fillId="0" borderId="26" xfId="6" applyNumberFormat="1" applyFont="1" applyFill="1" applyBorder="1" applyAlignment="1">
      <alignment horizontal="center" vertical="center" wrapText="1"/>
    </xf>
    <xf numFmtId="176" fontId="50" fillId="0" borderId="13" xfId="6" applyNumberFormat="1" applyFont="1" applyFill="1" applyBorder="1" applyAlignment="1">
      <alignment horizontal="center" vertical="center" wrapText="1"/>
    </xf>
    <xf numFmtId="176" fontId="50" fillId="0" borderId="14" xfId="6" applyNumberFormat="1" applyFont="1" applyFill="1" applyBorder="1" applyAlignment="1">
      <alignment horizontal="center" vertical="center" wrapText="1"/>
    </xf>
    <xf numFmtId="176" fontId="50" fillId="0" borderId="15" xfId="6" applyNumberFormat="1" applyFont="1" applyFill="1" applyBorder="1" applyAlignment="1">
      <alignment horizontal="center" vertical="center" wrapText="1"/>
    </xf>
    <xf numFmtId="178" fontId="22" fillId="0" borderId="16" xfId="6" applyNumberFormat="1" applyFont="1" applyFill="1" applyBorder="1" applyAlignment="1">
      <alignment horizontal="center" vertical="center" wrapText="1"/>
    </xf>
    <xf numFmtId="176" fontId="51" fillId="0" borderId="28" xfId="6" applyNumberFormat="1" applyFont="1" applyFill="1" applyBorder="1" applyAlignment="1">
      <alignment horizontal="center" vertical="center" wrapText="1"/>
    </xf>
    <xf numFmtId="176" fontId="51" fillId="0" borderId="17" xfId="6" applyNumberFormat="1" applyFont="1" applyFill="1" applyBorder="1" applyAlignment="1">
      <alignment horizontal="center" vertical="center" wrapText="1"/>
    </xf>
    <xf numFmtId="176" fontId="51" fillId="0" borderId="18" xfId="6" applyNumberFormat="1" applyFont="1" applyFill="1" applyBorder="1" applyAlignment="1">
      <alignment horizontal="center" vertical="center" wrapText="1"/>
    </xf>
    <xf numFmtId="176" fontId="51" fillId="0" borderId="19" xfId="6" applyNumberFormat="1" applyFont="1" applyFill="1" applyBorder="1" applyAlignment="1">
      <alignment horizontal="center" vertical="center" wrapText="1"/>
    </xf>
    <xf numFmtId="178" fontId="22" fillId="0" borderId="4" xfId="6" applyNumberFormat="1" applyFont="1" applyFill="1" applyBorder="1" applyAlignment="1">
      <alignment horizontal="center" vertical="center" wrapText="1"/>
    </xf>
    <xf numFmtId="176" fontId="22" fillId="0" borderId="13" xfId="6" applyNumberFormat="1" applyFont="1" applyFill="1" applyBorder="1" applyAlignment="1">
      <alignment horizontal="center" vertical="center" wrapText="1"/>
    </xf>
    <xf numFmtId="176" fontId="51" fillId="0" borderId="20" xfId="6" applyNumberFormat="1" applyFont="1" applyFill="1" applyBorder="1" applyAlignment="1">
      <alignment horizontal="center" vertical="center" wrapText="1"/>
    </xf>
    <xf numFmtId="176" fontId="51" fillId="0" borderId="21" xfId="6" applyNumberFormat="1" applyFont="1" applyFill="1" applyBorder="1" applyAlignment="1">
      <alignment horizontal="center" vertical="center" wrapText="1"/>
    </xf>
    <xf numFmtId="176" fontId="51" fillId="0" borderId="13" xfId="6" applyNumberFormat="1" applyFont="1" applyFill="1" applyBorder="1" applyAlignment="1">
      <alignment horizontal="center" vertical="center" wrapText="1"/>
    </xf>
    <xf numFmtId="177" fontId="22" fillId="0" borderId="14" xfId="1" applyNumberFormat="1" applyFont="1" applyFill="1" applyBorder="1" applyAlignment="1">
      <alignment horizontal="center"/>
    </xf>
    <xf numFmtId="177" fontId="22" fillId="0" borderId="0" xfId="1" applyNumberFormat="1" applyFont="1" applyFill="1" applyBorder="1" applyAlignment="1">
      <alignment horizontal="center"/>
    </xf>
    <xf numFmtId="177" fontId="22" fillId="0" borderId="13" xfId="1" applyNumberFormat="1" applyFont="1" applyFill="1" applyBorder="1" applyAlignment="1">
      <alignment horizontal="center" vertical="center" wrapText="1"/>
    </xf>
    <xf numFmtId="176" fontId="61" fillId="0" borderId="0" xfId="6" applyNumberFormat="1" applyFont="1" applyBorder="1" applyAlignment="1">
      <alignment horizontal="left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/>
    </xf>
    <xf numFmtId="176" fontId="9" fillId="0" borderId="0" xfId="1" applyNumberFormat="1" applyFont="1" applyBorder="1" applyAlignment="1"/>
    <xf numFmtId="0" fontId="9" fillId="0" borderId="15" xfId="6" applyFont="1" applyFill="1" applyBorder="1" applyAlignment="1">
      <alignment horizontal="center" vertical="center" wrapText="1"/>
    </xf>
    <xf numFmtId="176" fontId="9" fillId="0" borderId="15" xfId="1" applyNumberFormat="1" applyFont="1" applyBorder="1" applyAlignment="1"/>
    <xf numFmtId="176" fontId="9" fillId="0" borderId="23" xfId="1" applyNumberFormat="1" applyFont="1" applyBorder="1" applyAlignment="1"/>
    <xf numFmtId="176" fontId="9" fillId="0" borderId="35" xfId="1" applyNumberFormat="1" applyFont="1" applyBorder="1" applyAlignment="1"/>
    <xf numFmtId="176" fontId="48" fillId="0" borderId="11" xfId="6" applyNumberFormat="1" applyFont="1" applyFill="1" applyBorder="1" applyAlignment="1">
      <alignment horizontal="center" vertical="center"/>
    </xf>
    <xf numFmtId="177" fontId="9" fillId="0" borderId="29" xfId="1" applyNumberFormat="1" applyFont="1" applyFill="1" applyBorder="1" applyAlignment="1">
      <alignment horizontal="center"/>
    </xf>
    <xf numFmtId="177" fontId="22" fillId="0" borderId="23" xfId="1" applyNumberFormat="1" applyFont="1" applyFill="1" applyBorder="1" applyAlignment="1">
      <alignment horizontal="center"/>
    </xf>
    <xf numFmtId="9" fontId="22" fillId="0" borderId="23" xfId="1" applyFont="1" applyFill="1" applyBorder="1" applyAlignment="1">
      <alignment horizontal="center" vertical="center" wrapText="1"/>
    </xf>
    <xf numFmtId="9" fontId="22" fillId="0" borderId="24" xfId="1" applyFont="1" applyFill="1" applyBorder="1" applyAlignment="1">
      <alignment horizontal="center" vertical="center" wrapText="1"/>
    </xf>
    <xf numFmtId="177" fontId="22" fillId="0" borderId="25" xfId="1" applyNumberFormat="1" applyFont="1" applyFill="1" applyBorder="1" applyAlignment="1">
      <alignment horizontal="center"/>
    </xf>
    <xf numFmtId="177" fontId="22" fillId="0" borderId="23" xfId="1" applyNumberFormat="1" applyFont="1" applyFill="1" applyBorder="1" applyAlignment="1">
      <alignment horizontal="center" vertical="center" wrapText="1"/>
    </xf>
    <xf numFmtId="9" fontId="9" fillId="0" borderId="23" xfId="1" applyFont="1" applyFill="1" applyBorder="1" applyAlignment="1">
      <alignment horizontal="center"/>
    </xf>
    <xf numFmtId="9" fontId="9" fillId="0" borderId="35" xfId="1" applyFont="1" applyFill="1" applyBorder="1" applyAlignment="1">
      <alignment horizontal="center"/>
    </xf>
    <xf numFmtId="176" fontId="48" fillId="2" borderId="9" xfId="6" applyNumberFormat="1" applyFont="1" applyFill="1" applyBorder="1" applyAlignment="1">
      <alignment horizontal="center" vertical="center"/>
    </xf>
    <xf numFmtId="176" fontId="57" fillId="2" borderId="0" xfId="6" applyNumberFormat="1" applyFont="1" applyFill="1" applyBorder="1" applyAlignment="1">
      <alignment horizontal="center" vertical="center" wrapText="1"/>
    </xf>
    <xf numFmtId="176" fontId="50" fillId="2" borderId="0" xfId="6" applyNumberFormat="1" applyFont="1" applyFill="1" applyBorder="1" applyAlignment="1">
      <alignment horizontal="center" vertical="center" wrapText="1"/>
    </xf>
    <xf numFmtId="176" fontId="51" fillId="2" borderId="5" xfId="6" applyNumberFormat="1" applyFont="1" applyFill="1" applyBorder="1" applyAlignment="1">
      <alignment horizontal="center" vertical="center" wrapText="1"/>
    </xf>
    <xf numFmtId="176" fontId="22" fillId="2" borderId="0" xfId="6" applyNumberFormat="1" applyFont="1" applyFill="1" applyBorder="1" applyAlignment="1">
      <alignment horizontal="center" vertical="center" wrapText="1"/>
    </xf>
    <xf numFmtId="177" fontId="22" fillId="2" borderId="0" xfId="1" applyNumberFormat="1" applyFont="1" applyFill="1" applyBorder="1" applyAlignment="1">
      <alignment horizontal="center" vertical="center" wrapText="1"/>
    </xf>
    <xf numFmtId="9" fontId="22" fillId="2" borderId="0" xfId="1" applyFont="1" applyFill="1" applyBorder="1" applyAlignment="1">
      <alignment horizontal="center" vertical="center" wrapText="1"/>
    </xf>
    <xf numFmtId="9" fontId="22" fillId="2" borderId="23" xfId="1" applyFont="1" applyFill="1" applyBorder="1" applyAlignment="1">
      <alignment horizontal="center" vertical="center" wrapText="1"/>
    </xf>
    <xf numFmtId="0" fontId="9" fillId="0" borderId="0" xfId="6" applyFont="1" applyFill="1" applyBorder="1"/>
    <xf numFmtId="176" fontId="48" fillId="2" borderId="0" xfId="6" applyNumberFormat="1" applyFont="1" applyFill="1" applyBorder="1" applyAlignment="1">
      <alignment horizontal="center" vertical="center"/>
    </xf>
    <xf numFmtId="177" fontId="9" fillId="2" borderId="23" xfId="1" applyNumberFormat="1" applyFont="1" applyFill="1" applyBorder="1" applyAlignment="1">
      <alignment horizontal="center"/>
    </xf>
    <xf numFmtId="176" fontId="64" fillId="0" borderId="0" xfId="2" applyNumberFormat="1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0" fontId="51" fillId="0" borderId="0" xfId="2" applyFont="1" applyBorder="1" applyAlignment="1">
      <alignment horizontal="center" vertical="center" wrapText="1"/>
    </xf>
    <xf numFmtId="0" fontId="65" fillId="0" borderId="0" xfId="2" applyFont="1" applyBorder="1" applyAlignment="1">
      <alignment horizontal="center" vertical="center" wrapText="1"/>
    </xf>
    <xf numFmtId="0" fontId="65" fillId="0" borderId="2" xfId="2" applyFont="1" applyBorder="1" applyAlignment="1">
      <alignment horizontal="center" vertical="center" wrapText="1"/>
    </xf>
    <xf numFmtId="176" fontId="51" fillId="0" borderId="1" xfId="2" applyNumberFormat="1" applyFont="1" applyBorder="1" applyAlignment="1">
      <alignment horizontal="center" vertical="center" wrapText="1"/>
    </xf>
    <xf numFmtId="176" fontId="51" fillId="0" borderId="0" xfId="2" applyNumberFormat="1" applyFont="1" applyBorder="1" applyAlignment="1">
      <alignment horizontal="center" vertical="center" wrapText="1"/>
    </xf>
    <xf numFmtId="176" fontId="65" fillId="0" borderId="0" xfId="2" applyNumberFormat="1" applyFont="1" applyBorder="1" applyAlignment="1">
      <alignment horizontal="center" vertical="center" wrapText="1"/>
    </xf>
    <xf numFmtId="176" fontId="68" fillId="0" borderId="0" xfId="2" applyNumberFormat="1" applyFont="1" applyBorder="1" applyAlignment="1">
      <alignment horizontal="center" vertical="center" wrapText="1"/>
    </xf>
    <xf numFmtId="0" fontId="68" fillId="0" borderId="1" xfId="2" applyFont="1" applyBorder="1" applyAlignment="1">
      <alignment horizontal="center" wrapText="1"/>
    </xf>
    <xf numFmtId="0" fontId="68" fillId="0" borderId="0" xfId="2" applyFont="1" applyBorder="1" applyAlignment="1">
      <alignment horizontal="center" wrapText="1"/>
    </xf>
    <xf numFmtId="176" fontId="68" fillId="0" borderId="1" xfId="2" applyNumberFormat="1" applyFont="1" applyBorder="1" applyAlignment="1">
      <alignment horizontal="center" vertical="center" wrapText="1"/>
    </xf>
    <xf numFmtId="176" fontId="68" fillId="0" borderId="0" xfId="2" applyNumberFormat="1" applyFont="1" applyBorder="1" applyAlignment="1">
      <alignment horizontal="center" vertical="center"/>
    </xf>
    <xf numFmtId="0" fontId="68" fillId="0" borderId="1" xfId="2" applyFont="1" applyBorder="1" applyAlignment="1">
      <alignment horizontal="center"/>
    </xf>
    <xf numFmtId="0" fontId="68" fillId="0" borderId="0" xfId="2" applyFont="1" applyBorder="1" applyAlignment="1">
      <alignment horizontal="center"/>
    </xf>
    <xf numFmtId="0" fontId="68" fillId="0" borderId="2" xfId="2" applyFont="1" applyBorder="1" applyAlignment="1">
      <alignment horizontal="center"/>
    </xf>
    <xf numFmtId="176" fontId="68" fillId="0" borderId="1" xfId="2" applyNumberFormat="1" applyFont="1" applyBorder="1" applyAlignment="1">
      <alignment horizontal="center"/>
    </xf>
    <xf numFmtId="176" fontId="68" fillId="0" borderId="0" xfId="2" applyNumberFormat="1" applyFont="1" applyBorder="1" applyAlignment="1">
      <alignment horizontal="center"/>
    </xf>
    <xf numFmtId="176" fontId="22" fillId="0" borderId="0" xfId="2" applyNumberFormat="1" applyFont="1" applyBorder="1" applyAlignment="1">
      <alignment horizontal="center"/>
    </xf>
    <xf numFmtId="176" fontId="22" fillId="0" borderId="1" xfId="2" applyNumberFormat="1" applyFont="1" applyBorder="1" applyAlignment="1">
      <alignment horizontal="center"/>
    </xf>
    <xf numFmtId="176" fontId="22" fillId="0" borderId="2" xfId="2" applyNumberFormat="1" applyFont="1" applyBorder="1" applyAlignment="1">
      <alignment horizontal="center"/>
    </xf>
    <xf numFmtId="176" fontId="51" fillId="0" borderId="0" xfId="2" applyNumberFormat="1" applyFont="1" applyBorder="1" applyAlignment="1">
      <alignment horizontal="center"/>
    </xf>
    <xf numFmtId="9" fontId="22" fillId="0" borderId="0" xfId="1" applyFont="1" applyBorder="1" applyAlignment="1">
      <alignment horizontal="center"/>
    </xf>
    <xf numFmtId="9" fontId="22" fillId="0" borderId="1" xfId="1" applyFont="1" applyBorder="1" applyAlignment="1">
      <alignment horizontal="center"/>
    </xf>
    <xf numFmtId="9" fontId="22" fillId="0" borderId="2" xfId="1" applyFont="1" applyBorder="1" applyAlignment="1">
      <alignment horizontal="center"/>
    </xf>
    <xf numFmtId="0" fontId="60" fillId="0" borderId="4" xfId="2" applyFont="1" applyBorder="1" applyAlignment="1">
      <alignment horizontal="center" vertical="center"/>
    </xf>
    <xf numFmtId="0" fontId="51" fillId="0" borderId="4" xfId="2" applyFont="1" applyBorder="1" applyAlignment="1">
      <alignment horizontal="center" vertical="center" wrapText="1"/>
    </xf>
    <xf numFmtId="176" fontId="67" fillId="0" borderId="0" xfId="2" applyNumberFormat="1" applyFont="1" applyBorder="1" applyAlignment="1">
      <alignment horizontal="center" vertical="center" wrapText="1"/>
    </xf>
    <xf numFmtId="0" fontId="51" fillId="0" borderId="15" xfId="2" applyFont="1" applyBorder="1" applyAlignment="1">
      <alignment horizontal="center" vertical="center" wrapText="1"/>
    </xf>
    <xf numFmtId="0" fontId="68" fillId="0" borderId="4" xfId="2" applyFont="1" applyBorder="1" applyAlignment="1">
      <alignment horizontal="center" vertical="center" wrapText="1"/>
    </xf>
    <xf numFmtId="0" fontId="68" fillId="0" borderId="15" xfId="2" applyFont="1" applyBorder="1" applyAlignment="1">
      <alignment horizontal="center" wrapText="1"/>
    </xf>
    <xf numFmtId="0" fontId="68" fillId="0" borderId="4" xfId="2" applyFont="1" applyBorder="1" applyAlignment="1">
      <alignment horizontal="center" vertical="center"/>
    </xf>
    <xf numFmtId="0" fontId="68" fillId="0" borderId="15" xfId="2" applyFont="1" applyBorder="1" applyAlignment="1">
      <alignment horizontal="center"/>
    </xf>
    <xf numFmtId="0" fontId="22" fillId="0" borderId="43" xfId="2" applyFont="1" applyBorder="1" applyAlignment="1">
      <alignment horizontal="center"/>
    </xf>
    <xf numFmtId="0" fontId="22" fillId="0" borderId="15" xfId="2" applyFont="1" applyBorder="1" applyAlignment="1">
      <alignment horizontal="center"/>
    </xf>
    <xf numFmtId="0" fontId="22" fillId="0" borderId="44" xfId="2" applyFont="1" applyBorder="1" applyAlignment="1">
      <alignment horizontal="center"/>
    </xf>
    <xf numFmtId="9" fontId="22" fillId="0" borderId="23" xfId="1" applyFont="1" applyBorder="1" applyAlignment="1">
      <alignment horizontal="center"/>
    </xf>
    <xf numFmtId="9" fontId="22" fillId="0" borderId="34" xfId="1" applyFont="1" applyBorder="1" applyAlignment="1">
      <alignment horizontal="center"/>
    </xf>
    <xf numFmtId="9" fontId="22" fillId="0" borderId="39" xfId="1" applyFont="1" applyBorder="1" applyAlignment="1">
      <alignment horizontal="center"/>
    </xf>
    <xf numFmtId="2" fontId="22" fillId="0" borderId="15" xfId="2" applyNumberFormat="1" applyFont="1" applyBorder="1" applyAlignment="1">
      <alignment horizontal="center"/>
    </xf>
    <xf numFmtId="2" fontId="22" fillId="0" borderId="35" xfId="2" applyNumberFormat="1" applyFont="1" applyBorder="1" applyAlignment="1">
      <alignment horizontal="center"/>
    </xf>
    <xf numFmtId="176" fontId="22" fillId="0" borderId="20" xfId="6" applyNumberFormat="1" applyFont="1" applyBorder="1" applyAlignment="1">
      <alignment horizontal="center" vertical="center" wrapText="1"/>
    </xf>
    <xf numFmtId="177" fontId="9" fillId="0" borderId="25" xfId="1" applyNumberFormat="1" applyFont="1" applyBorder="1" applyAlignment="1">
      <alignment horizontal="center"/>
    </xf>
    <xf numFmtId="9" fontId="51" fillId="0" borderId="30" xfId="1" applyFont="1" applyBorder="1" applyAlignment="1">
      <alignment horizontal="center" vertical="center" wrapText="1"/>
    </xf>
    <xf numFmtId="9" fontId="53" fillId="0" borderId="30" xfId="1" applyFont="1" applyBorder="1" applyAlignment="1">
      <alignment horizontal="center"/>
    </xf>
    <xf numFmtId="9" fontId="53" fillId="0" borderId="45" xfId="1" applyFont="1" applyBorder="1" applyAlignment="1">
      <alignment horizontal="center"/>
    </xf>
    <xf numFmtId="9" fontId="52" fillId="0" borderId="0" xfId="1" applyFont="1" applyBorder="1" applyAlignment="1">
      <alignment horizontal="center"/>
    </xf>
    <xf numFmtId="9" fontId="52" fillId="0" borderId="15" xfId="1" applyFont="1" applyBorder="1" applyAlignment="1">
      <alignment horizontal="center"/>
    </xf>
    <xf numFmtId="0" fontId="52" fillId="0" borderId="2" xfId="6" applyFont="1" applyBorder="1" applyAlignment="1">
      <alignment horizontal="center"/>
    </xf>
    <xf numFmtId="0" fontId="9" fillId="0" borderId="2" xfId="6" applyFont="1" applyBorder="1"/>
    <xf numFmtId="176" fontId="51" fillId="0" borderId="0" xfId="6" applyNumberFormat="1" applyFont="1" applyBorder="1" applyAlignment="1">
      <alignment horizontal="center" vertical="center" wrapText="1"/>
    </xf>
    <xf numFmtId="176" fontId="51" fillId="0" borderId="13" xfId="6" applyNumberFormat="1" applyFont="1" applyBorder="1" applyAlignment="1">
      <alignment horizontal="center" vertical="center" wrapText="1"/>
    </xf>
    <xf numFmtId="176" fontId="51" fillId="0" borderId="14" xfId="6" applyNumberFormat="1" applyFont="1" applyBorder="1" applyAlignment="1">
      <alignment horizontal="center" vertical="center" wrapText="1"/>
    </xf>
    <xf numFmtId="176" fontId="51" fillId="0" borderId="15" xfId="6" applyNumberFormat="1" applyFont="1" applyBorder="1" applyAlignment="1">
      <alignment horizontal="center" vertical="center" wrapText="1"/>
    </xf>
    <xf numFmtId="176" fontId="48" fillId="0" borderId="0" xfId="6" applyNumberFormat="1" applyFont="1" applyBorder="1" applyAlignment="1">
      <alignment horizontal="center" vertical="center"/>
    </xf>
    <xf numFmtId="176" fontId="48" fillId="0" borderId="15" xfId="6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9" fontId="53" fillId="0" borderId="26" xfId="1" applyFont="1" applyFill="1" applyBorder="1" applyAlignment="1">
      <alignment horizontal="center"/>
    </xf>
    <xf numFmtId="9" fontId="53" fillId="0" borderId="0" xfId="1" applyFont="1" applyFill="1" applyBorder="1" applyAlignment="1">
      <alignment horizontal="center"/>
    </xf>
    <xf numFmtId="9" fontId="53" fillId="0" borderId="14" xfId="1" applyFont="1" applyFill="1" applyBorder="1" applyAlignment="1">
      <alignment horizontal="center"/>
    </xf>
    <xf numFmtId="9" fontId="53" fillId="0" borderId="13" xfId="1" applyFont="1" applyFill="1" applyBorder="1" applyAlignment="1">
      <alignment horizontal="center"/>
    </xf>
    <xf numFmtId="9" fontId="53" fillId="0" borderId="30" xfId="1" applyFont="1" applyFill="1" applyBorder="1" applyAlignment="1">
      <alignment horizontal="center"/>
    </xf>
    <xf numFmtId="9" fontId="53" fillId="0" borderId="15" xfId="1" applyFont="1" applyFill="1" applyBorder="1" applyAlignment="1">
      <alignment horizontal="center"/>
    </xf>
    <xf numFmtId="9" fontId="22" fillId="0" borderId="23" xfId="1" applyNumberFormat="1" applyFont="1" applyFill="1" applyBorder="1" applyAlignment="1">
      <alignment horizontal="center" vertical="center" wrapText="1"/>
    </xf>
    <xf numFmtId="9" fontId="51" fillId="0" borderId="0" xfId="1" applyFont="1" applyFill="1" applyBorder="1" applyAlignment="1">
      <alignment horizontal="center" vertical="center" wrapText="1"/>
    </xf>
    <xf numFmtId="9" fontId="9" fillId="0" borderId="0" xfId="1" applyFont="1" applyFill="1" applyBorder="1" applyAlignment="1">
      <alignment horizontal="center" vertical="center" wrapText="1"/>
    </xf>
    <xf numFmtId="9" fontId="9" fillId="0" borderId="0" xfId="1" applyFont="1" applyBorder="1" applyAlignment="1">
      <alignment horizontal="center"/>
    </xf>
    <xf numFmtId="49" fontId="9" fillId="0" borderId="0" xfId="1" applyNumberFormat="1" applyFont="1" applyFill="1" applyBorder="1" applyAlignment="1">
      <alignment horizontal="center" vertical="center" wrapText="1"/>
    </xf>
    <xf numFmtId="6" fontId="9" fillId="0" borderId="0" xfId="1" applyNumberFormat="1" applyFont="1" applyFill="1" applyBorder="1" applyAlignment="1">
      <alignment horizontal="left"/>
    </xf>
    <xf numFmtId="0" fontId="0" fillId="0" borderId="0" xfId="0" applyAlignment="1"/>
    <xf numFmtId="49" fontId="9" fillId="0" borderId="0" xfId="1" applyNumberFormat="1" applyFont="1" applyAlignment="1">
      <alignment horizontal="center"/>
    </xf>
    <xf numFmtId="9" fontId="9" fillId="0" borderId="0" xfId="1" applyFont="1" applyAlignment="1">
      <alignment horizontal="left"/>
    </xf>
    <xf numFmtId="9" fontId="9" fillId="0" borderId="2" xfId="1" applyFont="1" applyFill="1" applyBorder="1" applyAlignment="1">
      <alignment horizontal="center" vertical="center" wrapText="1"/>
    </xf>
    <xf numFmtId="9" fontId="9" fillId="0" borderId="2" xfId="1" applyFont="1" applyFill="1" applyBorder="1" applyAlignment="1">
      <alignment horizontal="center"/>
    </xf>
    <xf numFmtId="9" fontId="9" fillId="0" borderId="2" xfId="1" applyFont="1" applyBorder="1" applyAlignment="1">
      <alignment horizontal="center"/>
    </xf>
    <xf numFmtId="0" fontId="51" fillId="0" borderId="4" xfId="9" applyFont="1" applyBorder="1" applyAlignment="1" applyProtection="1">
      <alignment horizontal="right" wrapText="1"/>
    </xf>
    <xf numFmtId="3" fontId="51" fillId="0" borderId="0" xfId="9" applyNumberFormat="1" applyFont="1" applyBorder="1" applyAlignment="1" applyProtection="1">
      <alignment horizontal="right" wrapText="1"/>
    </xf>
    <xf numFmtId="0" fontId="51" fillId="0" borderId="0" xfId="9" applyFont="1" applyBorder="1" applyAlignment="1" applyProtection="1">
      <alignment horizontal="right" wrapText="1"/>
    </xf>
    <xf numFmtId="3" fontId="51" fillId="0" borderId="15" xfId="9" applyNumberFormat="1" applyFont="1" applyBorder="1" applyAlignment="1" applyProtection="1">
      <alignment horizontal="right" wrapText="1"/>
    </xf>
    <xf numFmtId="0" fontId="51" fillId="0" borderId="23" xfId="9" applyFont="1" applyBorder="1" applyAlignment="1" applyProtection="1">
      <alignment horizontal="right" wrapText="1"/>
    </xf>
    <xf numFmtId="3" fontId="51" fillId="0" borderId="23" xfId="9" applyNumberFormat="1" applyFont="1" applyBorder="1" applyAlignment="1" applyProtection="1">
      <alignment horizontal="right" wrapText="1"/>
    </xf>
    <xf numFmtId="3" fontId="51" fillId="0" borderId="35" xfId="9" applyNumberFormat="1" applyFont="1" applyBorder="1" applyAlignment="1" applyProtection="1">
      <alignment horizontal="right" wrapText="1"/>
    </xf>
    <xf numFmtId="3" fontId="51" fillId="0" borderId="14" xfId="9" applyNumberFormat="1" applyFont="1" applyBorder="1" applyAlignment="1" applyProtection="1">
      <alignment horizontal="right" wrapText="1"/>
    </xf>
    <xf numFmtId="0" fontId="51" fillId="0" borderId="13" xfId="9" applyFont="1" applyBorder="1" applyAlignment="1" applyProtection="1">
      <alignment horizontal="right" wrapText="1"/>
    </xf>
    <xf numFmtId="3" fontId="51" fillId="0" borderId="13" xfId="9" applyNumberFormat="1" applyFont="1" applyBorder="1" applyAlignment="1" applyProtection="1">
      <alignment horizontal="right" wrapText="1"/>
    </xf>
    <xf numFmtId="3" fontId="51" fillId="0" borderId="25" xfId="9" applyNumberFormat="1" applyFont="1" applyBorder="1" applyAlignment="1" applyProtection="1">
      <alignment horizontal="right" wrapText="1"/>
    </xf>
    <xf numFmtId="3" fontId="51" fillId="0" borderId="24" xfId="9" applyNumberFormat="1" applyFont="1" applyBorder="1" applyAlignment="1" applyProtection="1">
      <alignment horizontal="right" wrapText="1"/>
    </xf>
    <xf numFmtId="3" fontId="51" fillId="0" borderId="53" xfId="9" applyNumberFormat="1" applyFont="1" applyBorder="1" applyAlignment="1" applyProtection="1">
      <alignment horizontal="right" wrapText="1"/>
    </xf>
    <xf numFmtId="3" fontId="51" fillId="0" borderId="52" xfId="9" applyNumberFormat="1" applyFont="1" applyBorder="1" applyAlignment="1" applyProtection="1">
      <alignment horizontal="right" wrapText="1"/>
    </xf>
    <xf numFmtId="0" fontId="51" fillId="0" borderId="14" xfId="9" applyFont="1" applyBorder="1" applyAlignment="1" applyProtection="1">
      <alignment horizontal="right" wrapText="1"/>
    </xf>
    <xf numFmtId="0" fontId="51" fillId="0" borderId="25" xfId="9" applyFont="1" applyBorder="1" applyAlignment="1" applyProtection="1">
      <alignment horizontal="right" wrapText="1"/>
    </xf>
    <xf numFmtId="0" fontId="69" fillId="0" borderId="0" xfId="9" applyAlignment="1">
      <alignment wrapText="1"/>
    </xf>
    <xf numFmtId="0" fontId="70" fillId="0" borderId="0" xfId="9" applyFont="1" applyBorder="1" applyAlignment="1" applyProtection="1">
      <alignment vertical="top" wrapText="1"/>
    </xf>
    <xf numFmtId="0" fontId="70" fillId="0" borderId="0" xfId="9" applyFont="1" applyBorder="1" applyAlignment="1" applyProtection="1">
      <alignment horizontal="left" vertical="top" wrapText="1"/>
    </xf>
    <xf numFmtId="0" fontId="4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1" fillId="0" borderId="0" xfId="9" applyFont="1" applyBorder="1" applyAlignment="1" applyProtection="1">
      <alignment horizontal="center" vertical="center" wrapText="1"/>
    </xf>
    <xf numFmtId="0" fontId="51" fillId="0" borderId="14" xfId="9" applyFont="1" applyBorder="1" applyAlignment="1" applyProtection="1">
      <alignment horizontal="center" vertical="center" wrapText="1"/>
    </xf>
    <xf numFmtId="176" fontId="60" fillId="0" borderId="0" xfId="2" applyNumberFormat="1" applyFont="1" applyBorder="1" applyAlignment="1">
      <alignment horizontal="center" vertical="center" wrapText="1"/>
    </xf>
    <xf numFmtId="177" fontId="13" fillId="0" borderId="0" xfId="1" applyNumberFormat="1" applyFont="1" applyAlignment="1">
      <alignment horizontal="center"/>
    </xf>
    <xf numFmtId="177" fontId="51" fillId="0" borderId="0" xfId="1" applyNumberFormat="1" applyFont="1" applyBorder="1" applyAlignment="1">
      <alignment horizontal="center" vertical="center" wrapText="1"/>
    </xf>
    <xf numFmtId="177" fontId="68" fillId="0" borderId="0" xfId="1" applyNumberFormat="1" applyFont="1" applyBorder="1" applyAlignment="1">
      <alignment horizontal="center" wrapText="1"/>
    </xf>
    <xf numFmtId="177" fontId="68" fillId="0" borderId="0" xfId="1" applyNumberFormat="1" applyFont="1" applyBorder="1" applyAlignment="1">
      <alignment horizontal="center"/>
    </xf>
    <xf numFmtId="177" fontId="60" fillId="0" borderId="0" xfId="1" applyNumberFormat="1" applyFont="1" applyBorder="1" applyAlignment="1">
      <alignment horizontal="center"/>
    </xf>
    <xf numFmtId="176" fontId="51" fillId="0" borderId="15" xfId="2" applyNumberFormat="1" applyFont="1" applyBorder="1" applyAlignment="1">
      <alignment horizontal="center"/>
    </xf>
    <xf numFmtId="9" fontId="51" fillId="0" borderId="15" xfId="1" applyFont="1" applyBorder="1" applyAlignment="1">
      <alignment horizontal="center"/>
    </xf>
    <xf numFmtId="177" fontId="60" fillId="0" borderId="23" xfId="1" applyNumberFormat="1" applyFont="1" applyBorder="1" applyAlignment="1">
      <alignment horizontal="center"/>
    </xf>
    <xf numFmtId="9" fontId="51" fillId="0" borderId="35" xfId="1" applyFont="1" applyBorder="1" applyAlignment="1">
      <alignment horizontal="center"/>
    </xf>
    <xf numFmtId="0" fontId="51" fillId="0" borderId="13" xfId="2" applyFont="1" applyBorder="1" applyAlignment="1">
      <alignment horizontal="center" vertical="center" wrapText="1"/>
    </xf>
    <xf numFmtId="0" fontId="68" fillId="0" borderId="14" xfId="2" applyFont="1" applyBorder="1" applyAlignment="1">
      <alignment horizontal="center" wrapText="1"/>
    </xf>
    <xf numFmtId="0" fontId="68" fillId="0" borderId="13" xfId="2" applyFont="1" applyBorder="1" applyAlignment="1">
      <alignment horizontal="center" wrapText="1"/>
    </xf>
    <xf numFmtId="0" fontId="68" fillId="0" borderId="14" xfId="2" applyFont="1" applyBorder="1" applyAlignment="1">
      <alignment horizontal="center"/>
    </xf>
    <xf numFmtId="0" fontId="68" fillId="0" borderId="13" xfId="2" applyFont="1" applyBorder="1" applyAlignment="1">
      <alignment horizontal="center"/>
    </xf>
    <xf numFmtId="176" fontId="22" fillId="0" borderId="14" xfId="2" applyNumberFormat="1" applyFont="1" applyBorder="1" applyAlignment="1">
      <alignment horizontal="center"/>
    </xf>
    <xf numFmtId="176" fontId="51" fillId="0" borderId="13" xfId="2" applyNumberFormat="1" applyFont="1" applyBorder="1" applyAlignment="1">
      <alignment horizontal="center"/>
    </xf>
    <xf numFmtId="177" fontId="22" fillId="0" borderId="13" xfId="1" applyNumberFormat="1" applyFont="1" applyBorder="1" applyAlignment="1">
      <alignment horizontal="center"/>
    </xf>
    <xf numFmtId="177" fontId="22" fillId="0" borderId="24" xfId="1" applyNumberFormat="1" applyFont="1" applyBorder="1" applyAlignment="1">
      <alignment horizontal="center"/>
    </xf>
    <xf numFmtId="0" fontId="51" fillId="0" borderId="13" xfId="9" applyFont="1" applyBorder="1" applyAlignment="1" applyProtection="1">
      <alignment horizontal="center" vertical="center" wrapText="1"/>
    </xf>
    <xf numFmtId="0" fontId="51" fillId="0" borderId="15" xfId="9" applyFont="1" applyBorder="1" applyAlignment="1" applyProtection="1">
      <alignment horizontal="center" vertical="center" wrapText="1"/>
    </xf>
    <xf numFmtId="176" fontId="22" fillId="0" borderId="13" xfId="2" applyNumberFormat="1" applyFont="1" applyBorder="1" applyAlignment="1">
      <alignment horizontal="center"/>
    </xf>
    <xf numFmtId="177" fontId="51" fillId="0" borderId="14" xfId="1" applyNumberFormat="1" applyFont="1" applyBorder="1" applyAlignment="1">
      <alignment horizontal="center" vertical="center" wrapText="1"/>
    </xf>
    <xf numFmtId="177" fontId="51" fillId="0" borderId="13" xfId="1" applyNumberFormat="1" applyFont="1" applyBorder="1" applyAlignment="1">
      <alignment horizontal="center" vertical="center" wrapText="1"/>
    </xf>
    <xf numFmtId="177" fontId="68" fillId="0" borderId="14" xfId="1" applyNumberFormat="1" applyFont="1" applyBorder="1" applyAlignment="1">
      <alignment horizontal="center" wrapText="1"/>
    </xf>
    <xf numFmtId="177" fontId="68" fillId="0" borderId="13" xfId="1" applyNumberFormat="1" applyFont="1" applyBorder="1" applyAlignment="1">
      <alignment horizontal="center" wrapText="1"/>
    </xf>
    <xf numFmtId="177" fontId="68" fillId="0" borderId="14" xfId="1" applyNumberFormat="1" applyFont="1" applyBorder="1" applyAlignment="1">
      <alignment horizontal="center"/>
    </xf>
    <xf numFmtId="177" fontId="68" fillId="0" borderId="13" xfId="1" applyNumberFormat="1" applyFont="1" applyBorder="1" applyAlignment="1">
      <alignment horizontal="center"/>
    </xf>
    <xf numFmtId="177" fontId="60" fillId="0" borderId="14" xfId="1" applyNumberFormat="1" applyFont="1" applyBorder="1" applyAlignment="1">
      <alignment horizontal="center"/>
    </xf>
    <xf numFmtId="177" fontId="60" fillId="0" borderId="25" xfId="1" applyNumberFormat="1" applyFont="1" applyBorder="1" applyAlignment="1">
      <alignment horizontal="center"/>
    </xf>
    <xf numFmtId="0" fontId="51" fillId="0" borderId="54" xfId="2" applyFont="1" applyBorder="1" applyAlignment="1">
      <alignment horizontal="center" vertical="center" wrapText="1"/>
    </xf>
    <xf numFmtId="0" fontId="51" fillId="0" borderId="54" xfId="9" applyFont="1" applyBorder="1" applyAlignment="1" applyProtection="1">
      <alignment horizontal="center" vertical="center" wrapText="1"/>
    </xf>
    <xf numFmtId="0" fontId="68" fillId="0" borderId="54" xfId="2" applyFont="1" applyBorder="1" applyAlignment="1">
      <alignment horizontal="center" wrapText="1"/>
    </xf>
    <xf numFmtId="0" fontId="68" fillId="0" borderId="54" xfId="2" applyFont="1" applyBorder="1" applyAlignment="1">
      <alignment horizontal="center"/>
    </xf>
    <xf numFmtId="176" fontId="51" fillId="0" borderId="54" xfId="2" applyNumberFormat="1" applyFont="1" applyBorder="1" applyAlignment="1">
      <alignment horizontal="center"/>
    </xf>
    <xf numFmtId="9" fontId="51" fillId="0" borderId="54" xfId="1" applyFont="1" applyBorder="1" applyAlignment="1">
      <alignment horizontal="center"/>
    </xf>
    <xf numFmtId="9" fontId="51" fillId="0" borderId="51" xfId="1" applyFont="1" applyBorder="1" applyAlignment="1">
      <alignment horizontal="center"/>
    </xf>
    <xf numFmtId="9" fontId="65" fillId="0" borderId="0" xfId="1" applyFont="1" applyBorder="1" applyAlignment="1">
      <alignment horizontal="center"/>
    </xf>
    <xf numFmtId="9" fontId="65" fillId="0" borderId="23" xfId="1" applyFont="1" applyBorder="1" applyAlignment="1">
      <alignment horizontal="center"/>
    </xf>
    <xf numFmtId="9" fontId="60" fillId="0" borderId="0" xfId="1" applyFont="1" applyBorder="1" applyAlignment="1">
      <alignment horizontal="center"/>
    </xf>
    <xf numFmtId="10" fontId="22" fillId="0" borderId="14" xfId="1" applyNumberFormat="1" applyFont="1" applyBorder="1" applyAlignment="1">
      <alignment horizontal="center"/>
    </xf>
    <xf numFmtId="0" fontId="9" fillId="2" borderId="0" xfId="0" applyFont="1" applyFill="1"/>
    <xf numFmtId="0" fontId="20" fillId="0" borderId="0" xfId="4" applyAlignment="1">
      <alignment horizontal="center" vertical="center" wrapText="1"/>
    </xf>
    <xf numFmtId="0" fontId="20" fillId="0" borderId="0" xfId="4" applyAlignment="1">
      <alignment horizontal="left" vertical="top" wrapText="1"/>
    </xf>
    <xf numFmtId="9" fontId="9" fillId="0" borderId="0" xfId="1" applyFont="1" applyAlignment="1"/>
    <xf numFmtId="9" fontId="55" fillId="0" borderId="0" xfId="1" applyFont="1" applyFill="1" applyBorder="1" applyAlignment="1">
      <alignment horizontal="center" vertical="center" wrapText="1"/>
    </xf>
    <xf numFmtId="9" fontId="72" fillId="0" borderId="0" xfId="1" applyFont="1" applyBorder="1" applyAlignment="1">
      <alignment horizontal="center"/>
    </xf>
    <xf numFmtId="9" fontId="9" fillId="0" borderId="0" xfId="1" applyFont="1" applyAlignment="1">
      <alignment horizontal="center"/>
    </xf>
    <xf numFmtId="177" fontId="53" fillId="0" borderId="0" xfId="1" applyNumberFormat="1" applyFont="1" applyBorder="1" applyAlignment="1">
      <alignment horizontal="center"/>
    </xf>
    <xf numFmtId="179" fontId="22" fillId="0" borderId="0" xfId="6" applyNumberFormat="1" applyFont="1" applyBorder="1" applyAlignment="1">
      <alignment horizontal="center" vertical="center" wrapText="1"/>
    </xf>
    <xf numFmtId="179" fontId="22" fillId="0" borderId="5" xfId="6" applyNumberFormat="1" applyFont="1" applyBorder="1" applyAlignment="1">
      <alignment horizontal="center" vertical="center" wrapText="1"/>
    </xf>
    <xf numFmtId="178" fontId="9" fillId="0" borderId="0" xfId="6" applyNumberFormat="1" applyFont="1" applyBorder="1" applyAlignment="1">
      <alignment horizontal="center"/>
    </xf>
    <xf numFmtId="38" fontId="53" fillId="0" borderId="0" xfId="1" applyNumberFormat="1" applyFont="1" applyBorder="1" applyAlignment="1">
      <alignment horizontal="center"/>
    </xf>
    <xf numFmtId="10" fontId="53" fillId="0" borderId="0" xfId="1" applyNumberFormat="1" applyFont="1" applyBorder="1" applyAlignment="1">
      <alignment horizontal="center"/>
    </xf>
    <xf numFmtId="181" fontId="53" fillId="0" borderId="15" xfId="1" applyNumberFormat="1" applyFont="1" applyBorder="1" applyAlignment="1">
      <alignment horizontal="center"/>
    </xf>
    <xf numFmtId="177" fontId="53" fillId="0" borderId="23" xfId="1" applyNumberFormat="1" applyFont="1" applyBorder="1" applyAlignment="1">
      <alignment horizontal="center"/>
    </xf>
    <xf numFmtId="181" fontId="53" fillId="0" borderId="35" xfId="1" applyNumberFormat="1" applyFont="1" applyBorder="1" applyAlignment="1">
      <alignment horizontal="center"/>
    </xf>
    <xf numFmtId="179" fontId="22" fillId="0" borderId="13" xfId="6" applyNumberFormat="1" applyFont="1" applyBorder="1" applyAlignment="1">
      <alignment horizontal="center" vertical="center" wrapText="1"/>
    </xf>
    <xf numFmtId="179" fontId="22" fillId="0" borderId="17" xfId="6" applyNumberFormat="1" applyFont="1" applyBorder="1" applyAlignment="1">
      <alignment horizontal="center" vertical="center" wrapText="1"/>
    </xf>
    <xf numFmtId="182" fontId="9" fillId="0" borderId="13" xfId="6" applyNumberFormat="1" applyFont="1" applyBorder="1" applyAlignment="1">
      <alignment horizontal="center"/>
    </xf>
    <xf numFmtId="9" fontId="9" fillId="0" borderId="13" xfId="1" applyFont="1" applyBorder="1" applyAlignment="1">
      <alignment horizontal="center"/>
    </xf>
    <xf numFmtId="9" fontId="53" fillId="0" borderId="0" xfId="1" applyNumberFormat="1" applyFont="1" applyBorder="1" applyAlignment="1">
      <alignment horizontal="center"/>
    </xf>
    <xf numFmtId="178" fontId="9" fillId="0" borderId="4" xfId="6" applyNumberFormat="1" applyFont="1" applyBorder="1" applyAlignment="1"/>
    <xf numFmtId="178" fontId="9" fillId="0" borderId="47" xfId="6" applyNumberFormat="1" applyFont="1" applyBorder="1" applyAlignment="1">
      <alignment horizontal="center"/>
    </xf>
    <xf numFmtId="178" fontId="9" fillId="0" borderId="48" xfId="6" applyNumberFormat="1" applyFont="1" applyBorder="1" applyAlignment="1">
      <alignment horizontal="center"/>
    </xf>
    <xf numFmtId="182" fontId="9" fillId="0" borderId="55" xfId="6" applyNumberFormat="1" applyFont="1" applyBorder="1" applyAlignment="1">
      <alignment horizontal="center"/>
    </xf>
    <xf numFmtId="38" fontId="53" fillId="0" borderId="48" xfId="1" applyNumberFormat="1" applyFont="1" applyBorder="1" applyAlignment="1">
      <alignment horizontal="center"/>
    </xf>
    <xf numFmtId="10" fontId="53" fillId="0" borderId="48" xfId="1" applyNumberFormat="1" applyFont="1" applyBorder="1" applyAlignment="1">
      <alignment horizontal="center"/>
    </xf>
    <xf numFmtId="9" fontId="53" fillId="0" borderId="48" xfId="1" applyFont="1" applyBorder="1" applyAlignment="1">
      <alignment horizontal="center"/>
    </xf>
    <xf numFmtId="181" fontId="53" fillId="0" borderId="49" xfId="1" applyNumberFormat="1" applyFont="1" applyBorder="1" applyAlignment="1">
      <alignment horizontal="center"/>
    </xf>
    <xf numFmtId="9" fontId="9" fillId="0" borderId="24" xfId="1" applyFont="1" applyBorder="1" applyAlignment="1">
      <alignment horizontal="center"/>
    </xf>
    <xf numFmtId="9" fontId="53" fillId="0" borderId="23" xfId="1" applyNumberFormat="1" applyFont="1" applyBorder="1" applyAlignment="1">
      <alignment horizontal="center"/>
    </xf>
    <xf numFmtId="9" fontId="9" fillId="0" borderId="23" xfId="1" applyFont="1" applyBorder="1" applyAlignment="1">
      <alignment horizontal="center"/>
    </xf>
    <xf numFmtId="182" fontId="53" fillId="0" borderId="0" xfId="1" applyNumberFormat="1" applyFont="1" applyBorder="1" applyAlignment="1">
      <alignment horizontal="center"/>
    </xf>
    <xf numFmtId="182" fontId="53" fillId="0" borderId="23" xfId="1" applyNumberFormat="1" applyFont="1" applyBorder="1" applyAlignment="1">
      <alignment horizontal="center"/>
    </xf>
    <xf numFmtId="179" fontId="9" fillId="0" borderId="47" xfId="6" applyNumberFormat="1" applyFont="1" applyBorder="1" applyAlignment="1">
      <alignment horizontal="center"/>
    </xf>
    <xf numFmtId="182" fontId="53" fillId="0" borderId="48" xfId="1" applyNumberFormat="1" applyFont="1" applyBorder="1" applyAlignment="1">
      <alignment horizontal="center"/>
    </xf>
    <xf numFmtId="9" fontId="23" fillId="0" borderId="0" xfId="1" applyFont="1" applyBorder="1" applyAlignment="1">
      <alignment horizontal="center"/>
    </xf>
    <xf numFmtId="9" fontId="23" fillId="0" borderId="37" xfId="1" applyFont="1" applyFill="1" applyBorder="1" applyAlignment="1">
      <alignment horizontal="center"/>
    </xf>
    <xf numFmtId="9" fontId="23" fillId="0" borderId="37" xfId="1" applyFont="1" applyBorder="1" applyAlignment="1">
      <alignment horizontal="center"/>
    </xf>
    <xf numFmtId="9" fontId="23" fillId="0" borderId="0" xfId="1" applyFont="1" applyFill="1" applyBorder="1" applyAlignment="1">
      <alignment horizontal="center"/>
    </xf>
    <xf numFmtId="38" fontId="53" fillId="0" borderId="14" xfId="6" applyNumberFormat="1" applyFont="1" applyBorder="1" applyAlignment="1">
      <alignment horizontal="center" vertical="center" wrapText="1"/>
    </xf>
    <xf numFmtId="38" fontId="53" fillId="0" borderId="56" xfId="6" applyNumberFormat="1" applyFont="1" applyBorder="1" applyAlignment="1">
      <alignment horizontal="center" vertical="center" wrapText="1"/>
    </xf>
    <xf numFmtId="178" fontId="53" fillId="0" borderId="55" xfId="6" applyNumberFormat="1" applyFont="1" applyBorder="1" applyAlignment="1">
      <alignment horizontal="center" vertical="center" wrapText="1"/>
    </xf>
    <xf numFmtId="9" fontId="53" fillId="0" borderId="14" xfId="1" applyFont="1" applyBorder="1" applyAlignment="1">
      <alignment horizontal="center" vertical="center" wrapText="1"/>
    </xf>
    <xf numFmtId="9" fontId="53" fillId="0" borderId="13" xfId="1" applyFont="1" applyBorder="1" applyAlignment="1">
      <alignment horizontal="center" vertical="center" wrapText="1"/>
    </xf>
    <xf numFmtId="9" fontId="53" fillId="0" borderId="25" xfId="1" applyFont="1" applyBorder="1" applyAlignment="1">
      <alignment horizontal="center" vertical="center" wrapText="1"/>
    </xf>
    <xf numFmtId="9" fontId="53" fillId="0" borderId="24" xfId="1" applyFont="1" applyBorder="1" applyAlignment="1">
      <alignment horizontal="center" vertical="center" wrapText="1"/>
    </xf>
    <xf numFmtId="178" fontId="53" fillId="0" borderId="13" xfId="1" applyNumberFormat="1" applyFont="1" applyBorder="1" applyAlignment="1">
      <alignment horizontal="center"/>
    </xf>
    <xf numFmtId="182" fontId="53" fillId="0" borderId="21" xfId="1" applyNumberFormat="1" applyFont="1" applyBorder="1" applyAlignment="1">
      <alignment horizontal="center"/>
    </xf>
    <xf numFmtId="178" fontId="53" fillId="0" borderId="42" xfId="6" applyNumberFormat="1" applyFont="1" applyBorder="1" applyAlignment="1">
      <alignment horizontal="center" vertical="center" wrapText="1"/>
    </xf>
    <xf numFmtId="177" fontId="51" fillId="0" borderId="0" xfId="1" applyNumberFormat="1" applyFont="1" applyBorder="1" applyAlignment="1">
      <alignment horizontal="center" vertical="center" wrapText="1"/>
    </xf>
    <xf numFmtId="177" fontId="51" fillId="0" borderId="13" xfId="1" applyNumberFormat="1" applyFont="1" applyBorder="1" applyAlignment="1">
      <alignment horizontal="center" vertical="center" wrapText="1"/>
    </xf>
    <xf numFmtId="176" fontId="51" fillId="0" borderId="26" xfId="6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1" xfId="6" applyNumberFormat="1" applyFont="1" applyBorder="1" applyAlignment="1">
      <alignment horizontal="center" vertical="center" wrapText="1"/>
    </xf>
    <xf numFmtId="176" fontId="51" fillId="0" borderId="2" xfId="6" applyNumberFormat="1" applyFont="1" applyBorder="1" applyAlignment="1">
      <alignment horizontal="center" vertical="center" wrapText="1"/>
    </xf>
    <xf numFmtId="9" fontId="52" fillId="0" borderId="0" xfId="6" applyNumberFormat="1" applyFont="1" applyAlignment="1">
      <alignment horizontal="center"/>
    </xf>
    <xf numFmtId="179" fontId="9" fillId="0" borderId="4" xfId="6" applyNumberFormat="1" applyFont="1" applyBorder="1" applyAlignment="1">
      <alignment horizontal="center"/>
    </xf>
    <xf numFmtId="178" fontId="53" fillId="0" borderId="0" xfId="1" applyNumberFormat="1" applyFont="1" applyBorder="1" applyAlignment="1">
      <alignment horizontal="center"/>
    </xf>
    <xf numFmtId="178" fontId="53" fillId="0" borderId="48" xfId="1" applyNumberFormat="1" applyFont="1" applyBorder="1" applyAlignment="1">
      <alignment horizontal="center"/>
    </xf>
    <xf numFmtId="9" fontId="53" fillId="0" borderId="56" xfId="1" applyFont="1" applyBorder="1" applyAlignment="1">
      <alignment horizontal="center"/>
    </xf>
    <xf numFmtId="9" fontId="15" fillId="0" borderId="0" xfId="1" applyFont="1" applyBorder="1" applyAlignment="1">
      <alignment horizontal="center"/>
    </xf>
    <xf numFmtId="9" fontId="36" fillId="0" borderId="0" xfId="1" applyFont="1" applyBorder="1" applyAlignment="1">
      <alignment horizontal="center"/>
    </xf>
    <xf numFmtId="176" fontId="15" fillId="0" borderId="0" xfId="2" applyNumberFormat="1" applyFont="1" applyAlignment="1">
      <alignment horizontal="center"/>
    </xf>
    <xf numFmtId="176" fontId="53" fillId="0" borderId="1" xfId="6" applyNumberFormat="1" applyFont="1" applyBorder="1"/>
    <xf numFmtId="176" fontId="53" fillId="0" borderId="0" xfId="6" applyNumberFormat="1" applyFont="1" applyBorder="1"/>
    <xf numFmtId="176" fontId="53" fillId="0" borderId="2" xfId="6" applyNumberFormat="1" applyFont="1" applyBorder="1"/>
    <xf numFmtId="0" fontId="9" fillId="0" borderId="26" xfId="6" applyFont="1" applyBorder="1"/>
    <xf numFmtId="9" fontId="52" fillId="0" borderId="1" xfId="1" applyFont="1" applyBorder="1" applyAlignment="1">
      <alignment horizontal="center"/>
    </xf>
    <xf numFmtId="0" fontId="9" fillId="0" borderId="1" xfId="6" applyFont="1" applyBorder="1"/>
    <xf numFmtId="176" fontId="53" fillId="0" borderId="34" xfId="6" applyNumberFormat="1" applyFont="1" applyBorder="1"/>
    <xf numFmtId="176" fontId="53" fillId="0" borderId="23" xfId="6" applyNumberFormat="1" applyFont="1" applyBorder="1"/>
    <xf numFmtId="0" fontId="9" fillId="0" borderId="23" xfId="6" applyFont="1" applyBorder="1"/>
    <xf numFmtId="0" fontId="9" fillId="0" borderId="35" xfId="6" applyFont="1" applyBorder="1"/>
    <xf numFmtId="9" fontId="52" fillId="0" borderId="0" xfId="1" applyFont="1" applyAlignment="1">
      <alignment horizontal="center"/>
    </xf>
    <xf numFmtId="0" fontId="22" fillId="0" borderId="58" xfId="2" applyFont="1" applyBorder="1" applyAlignment="1">
      <alignment horizontal="center"/>
    </xf>
    <xf numFmtId="9" fontId="22" fillId="0" borderId="57" xfId="1" applyFont="1" applyBorder="1" applyAlignment="1">
      <alignment horizontal="center"/>
    </xf>
    <xf numFmtId="9" fontId="22" fillId="0" borderId="59" xfId="1" applyFont="1" applyBorder="1" applyAlignment="1">
      <alignment horizontal="center"/>
    </xf>
    <xf numFmtId="177" fontId="22" fillId="0" borderId="60" xfId="1" applyNumberFormat="1" applyFont="1" applyBorder="1" applyAlignment="1">
      <alignment horizontal="center"/>
    </xf>
    <xf numFmtId="177" fontId="22" fillId="0" borderId="57" xfId="1" applyNumberFormat="1" applyFont="1" applyBorder="1" applyAlignment="1">
      <alignment horizontal="center"/>
    </xf>
    <xf numFmtId="177" fontId="22" fillId="0" borderId="61" xfId="1" applyNumberFormat="1" applyFont="1" applyBorder="1" applyAlignment="1">
      <alignment horizontal="center"/>
    </xf>
    <xf numFmtId="10" fontId="22" fillId="0" borderId="60" xfId="1" applyNumberFormat="1" applyFont="1" applyBorder="1" applyAlignment="1">
      <alignment horizontal="center"/>
    </xf>
    <xf numFmtId="9" fontId="51" fillId="0" borderId="62" xfId="1" applyFont="1" applyBorder="1" applyAlignment="1">
      <alignment horizontal="center"/>
    </xf>
    <xf numFmtId="9" fontId="51" fillId="0" borderId="57" xfId="1" applyFont="1" applyBorder="1" applyAlignment="1">
      <alignment horizontal="center"/>
    </xf>
    <xf numFmtId="9" fontId="51" fillId="0" borderId="63" xfId="1" applyFont="1" applyBorder="1" applyAlignment="1">
      <alignment horizontal="center"/>
    </xf>
    <xf numFmtId="0" fontId="14" fillId="0" borderId="57" xfId="2" applyFont="1" applyBorder="1" applyAlignment="1">
      <alignment horizontal="center"/>
    </xf>
    <xf numFmtId="177" fontId="60" fillId="0" borderId="60" xfId="1" applyNumberFormat="1" applyFont="1" applyBorder="1" applyAlignment="1">
      <alignment horizontal="center"/>
    </xf>
    <xf numFmtId="177" fontId="60" fillId="0" borderId="57" xfId="1" applyNumberFormat="1" applyFont="1" applyBorder="1" applyAlignment="1">
      <alignment horizontal="center"/>
    </xf>
    <xf numFmtId="9" fontId="65" fillId="0" borderId="57" xfId="1" applyFont="1" applyBorder="1" applyAlignment="1">
      <alignment horizontal="center"/>
    </xf>
    <xf numFmtId="176" fontId="55" fillId="0" borderId="0" xfId="2" applyNumberFormat="1" applyFont="1" applyAlignment="1">
      <alignment horizontal="center" vertical="center"/>
    </xf>
    <xf numFmtId="176" fontId="73" fillId="0" borderId="2" xfId="6" applyNumberFormat="1" applyFont="1" applyBorder="1" applyAlignment="1">
      <alignment horizontal="center" vertical="center" wrapText="1"/>
    </xf>
    <xf numFmtId="176" fontId="73" fillId="0" borderId="5" xfId="6" applyNumberFormat="1" applyFont="1" applyBorder="1" applyAlignment="1">
      <alignment horizontal="center" vertical="center" wrapText="1"/>
    </xf>
    <xf numFmtId="176" fontId="73" fillId="0" borderId="0" xfId="6" applyNumberFormat="1" applyFont="1" applyBorder="1" applyAlignment="1">
      <alignment horizontal="center" vertical="center" wrapText="1"/>
    </xf>
    <xf numFmtId="9" fontId="73" fillId="0" borderId="0" xfId="1" applyFont="1" applyBorder="1" applyAlignment="1">
      <alignment horizontal="center" vertical="center" wrapText="1"/>
    </xf>
    <xf numFmtId="9" fontId="73" fillId="0" borderId="23" xfId="1" applyFont="1" applyBorder="1" applyAlignment="1">
      <alignment horizontal="center" vertical="center" wrapText="1"/>
    </xf>
    <xf numFmtId="176" fontId="74" fillId="0" borderId="5" xfId="6" applyNumberFormat="1" applyFont="1" applyBorder="1" applyAlignment="1">
      <alignment horizontal="center" vertical="center" wrapText="1"/>
    </xf>
    <xf numFmtId="176" fontId="73" fillId="0" borderId="0" xfId="6" applyNumberFormat="1" applyFont="1" applyBorder="1" applyAlignment="1">
      <alignment horizontal="center"/>
    </xf>
    <xf numFmtId="9" fontId="73" fillId="0" borderId="0" xfId="1" applyFont="1" applyBorder="1" applyAlignment="1">
      <alignment horizontal="center"/>
    </xf>
    <xf numFmtId="176" fontId="75" fillId="0" borderId="0" xfId="6" applyNumberFormat="1" applyFont="1" applyBorder="1"/>
    <xf numFmtId="176" fontId="75" fillId="0" borderId="23" xfId="6" applyNumberFormat="1" applyFont="1" applyBorder="1"/>
    <xf numFmtId="176" fontId="74" fillId="0" borderId="33" xfId="6" applyNumberFormat="1" applyFont="1" applyBorder="1" applyAlignment="1">
      <alignment horizontal="center" vertical="center" wrapText="1"/>
    </xf>
    <xf numFmtId="9" fontId="73" fillId="0" borderId="2" xfId="1" applyFont="1" applyBorder="1" applyAlignment="1">
      <alignment horizontal="center" vertical="center" wrapText="1"/>
    </xf>
    <xf numFmtId="176" fontId="73" fillId="0" borderId="2" xfId="6" applyNumberFormat="1" applyFont="1" applyBorder="1" applyAlignment="1">
      <alignment horizontal="center"/>
    </xf>
    <xf numFmtId="9" fontId="73" fillId="0" borderId="2" xfId="1" applyFont="1" applyBorder="1" applyAlignment="1">
      <alignment horizontal="center"/>
    </xf>
    <xf numFmtId="176" fontId="75" fillId="0" borderId="2" xfId="6" applyNumberFormat="1" applyFont="1" applyBorder="1"/>
    <xf numFmtId="176" fontId="75" fillId="0" borderId="39" xfId="6" applyNumberFormat="1" applyFont="1" applyBorder="1"/>
    <xf numFmtId="0" fontId="20" fillId="0" borderId="0" xfId="4" applyFill="1" applyBorder="1" applyAlignment="1" applyProtection="1">
      <alignment vertical="top"/>
    </xf>
    <xf numFmtId="176" fontId="51" fillId="0" borderId="23" xfId="6" applyNumberFormat="1" applyFont="1" applyBorder="1" applyAlignment="1">
      <alignment horizontal="center"/>
    </xf>
    <xf numFmtId="9" fontId="53" fillId="0" borderId="0" xfId="1" applyFont="1" applyAlignment="1"/>
    <xf numFmtId="10" fontId="53" fillId="0" borderId="0" xfId="1" applyNumberFormat="1" applyFont="1" applyAlignment="1"/>
    <xf numFmtId="10" fontId="53" fillId="0" borderId="0" xfId="1" applyNumberFormat="1" applyFont="1" applyAlignment="1">
      <alignment horizontal="center"/>
    </xf>
    <xf numFmtId="184" fontId="53" fillId="0" borderId="0" xfId="6" applyNumberFormat="1" applyFont="1"/>
    <xf numFmtId="177" fontId="55" fillId="0" borderId="0" xfId="1" applyNumberFormat="1" applyFont="1" applyBorder="1" applyAlignment="1">
      <alignment horizontal="center" vertical="center" wrapText="1"/>
    </xf>
    <xf numFmtId="177" fontId="55" fillId="0" borderId="13" xfId="1" applyNumberFormat="1" applyFont="1" applyBorder="1" applyAlignment="1">
      <alignment horizontal="center" vertical="center" wrapText="1"/>
    </xf>
    <xf numFmtId="177" fontId="72" fillId="0" borderId="23" xfId="1" applyNumberFormat="1" applyFont="1" applyBorder="1" applyAlignment="1">
      <alignment horizontal="center"/>
    </xf>
    <xf numFmtId="177" fontId="72" fillId="0" borderId="24" xfId="1" applyNumberFormat="1" applyFont="1" applyBorder="1" applyAlignment="1">
      <alignment horizontal="center"/>
    </xf>
    <xf numFmtId="177" fontId="55" fillId="0" borderId="17" xfId="1" applyNumberFormat="1" applyFont="1" applyBorder="1" applyAlignment="1">
      <alignment horizontal="center" vertical="center" wrapText="1"/>
    </xf>
    <xf numFmtId="9" fontId="76" fillId="0" borderId="0" xfId="1" applyFont="1" applyAlignment="1">
      <alignment horizontal="center"/>
    </xf>
    <xf numFmtId="177" fontId="60" fillId="0" borderId="0" xfId="1" applyNumberFormat="1" applyFont="1" applyBorder="1" applyAlignment="1">
      <alignment horizontal="center" vertical="center" wrapText="1"/>
    </xf>
    <xf numFmtId="177" fontId="51" fillId="0" borderId="17" xfId="1" applyNumberFormat="1" applyFont="1" applyBorder="1" applyAlignment="1">
      <alignment horizontal="center" vertical="center" wrapText="1"/>
    </xf>
    <xf numFmtId="176" fontId="22" fillId="0" borderId="0" xfId="6" applyNumberFormat="1" applyFont="1" applyBorder="1" applyAlignment="1">
      <alignment horizontal="center"/>
    </xf>
    <xf numFmtId="176" fontId="22" fillId="0" borderId="23" xfId="6" applyNumberFormat="1" applyFont="1" applyBorder="1" applyAlignment="1">
      <alignment horizontal="center"/>
    </xf>
    <xf numFmtId="176" fontId="22" fillId="0" borderId="31" xfId="6" applyNumberFormat="1" applyFont="1" applyBorder="1" applyAlignment="1">
      <alignment horizontal="center" vertical="center" wrapText="1"/>
    </xf>
    <xf numFmtId="176" fontId="51" fillId="0" borderId="0" xfId="6" quotePrefix="1" applyNumberFormat="1" applyFont="1" applyBorder="1" applyAlignment="1">
      <alignment horizontal="center" vertical="center" wrapText="1"/>
    </xf>
    <xf numFmtId="0" fontId="48" fillId="0" borderId="0" xfId="6" applyFont="1" applyAlignment="1">
      <alignment horizontal="center" wrapText="1"/>
    </xf>
    <xf numFmtId="9" fontId="22" fillId="0" borderId="1" xfId="1" applyFont="1" applyBorder="1" applyAlignment="1"/>
    <xf numFmtId="176" fontId="51" fillId="0" borderId="0" xfId="6" applyNumberFormat="1" applyFont="1" applyBorder="1" applyAlignment="1">
      <alignment horizontal="center" vertical="center" wrapText="1"/>
    </xf>
    <xf numFmtId="176" fontId="51" fillId="0" borderId="15" xfId="6" applyNumberFormat="1" applyFont="1" applyBorder="1" applyAlignment="1">
      <alignment horizontal="center" vertical="center" wrapText="1"/>
    </xf>
    <xf numFmtId="0" fontId="0" fillId="0" borderId="0" xfId="0" applyBorder="1"/>
    <xf numFmtId="177" fontId="9" fillId="0" borderId="0" xfId="1" applyNumberFormat="1" applyFont="1" applyBorder="1" applyAlignment="1">
      <alignment horizontal="center"/>
    </xf>
    <xf numFmtId="10" fontId="53" fillId="0" borderId="23" xfId="1" applyNumberFormat="1" applyFont="1" applyBorder="1" applyAlignment="1">
      <alignment horizontal="center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15" xfId="6" applyNumberFormat="1" applyFont="1" applyBorder="1" applyAlignment="1">
      <alignment horizontal="center" vertical="center" wrapText="1"/>
    </xf>
    <xf numFmtId="177" fontId="53" fillId="0" borderId="0" xfId="1" applyNumberFormat="1" applyFont="1" applyBorder="1" applyAlignment="1">
      <alignment horizontal="center" vertical="center" wrapText="1"/>
    </xf>
    <xf numFmtId="177" fontId="53" fillId="0" borderId="23" xfId="1" applyNumberFormat="1" applyFont="1" applyBorder="1" applyAlignment="1">
      <alignment horizontal="center" vertical="center" wrapText="1"/>
    </xf>
    <xf numFmtId="176" fontId="48" fillId="0" borderId="14" xfId="6" applyNumberFormat="1" applyFont="1" applyBorder="1" applyAlignment="1">
      <alignment horizontal="center" vertical="center"/>
    </xf>
    <xf numFmtId="179" fontId="22" fillId="0" borderId="14" xfId="6" applyNumberFormat="1" applyFont="1" applyBorder="1" applyAlignment="1">
      <alignment horizontal="center" vertical="center" wrapText="1"/>
    </xf>
    <xf numFmtId="179" fontId="22" fillId="0" borderId="18" xfId="6" applyNumberFormat="1" applyFont="1" applyBorder="1" applyAlignment="1">
      <alignment horizontal="center" vertical="center" wrapText="1"/>
    </xf>
    <xf numFmtId="38" fontId="9" fillId="0" borderId="14" xfId="1" applyNumberFormat="1" applyFont="1" applyBorder="1" applyAlignment="1">
      <alignment horizontal="center"/>
    </xf>
    <xf numFmtId="38" fontId="9" fillId="0" borderId="0" xfId="1" applyNumberFormat="1" applyFont="1" applyBorder="1" applyAlignment="1">
      <alignment horizontal="center"/>
    </xf>
    <xf numFmtId="38" fontId="53" fillId="0" borderId="15" xfId="1" applyNumberFormat="1" applyFont="1" applyBorder="1" applyAlignment="1">
      <alignment horizontal="center" vertical="center" wrapText="1"/>
    </xf>
    <xf numFmtId="38" fontId="9" fillId="0" borderId="25" xfId="1" applyNumberFormat="1" applyFont="1" applyBorder="1" applyAlignment="1">
      <alignment horizontal="center"/>
    </xf>
    <xf numFmtId="38" fontId="9" fillId="0" borderId="23" xfId="1" applyNumberFormat="1" applyFont="1" applyBorder="1" applyAlignment="1">
      <alignment horizontal="center"/>
    </xf>
    <xf numFmtId="38" fontId="53" fillId="0" borderId="35" xfId="1" applyNumberFormat="1" applyFont="1" applyBorder="1" applyAlignment="1">
      <alignment horizontal="center" vertical="center" wrapText="1"/>
    </xf>
    <xf numFmtId="38" fontId="9" fillId="0" borderId="15" xfId="1" applyNumberFormat="1" applyFont="1" applyBorder="1" applyAlignment="1">
      <alignment horizontal="center"/>
    </xf>
    <xf numFmtId="38" fontId="9" fillId="0" borderId="35" xfId="1" applyNumberFormat="1" applyFont="1" applyBorder="1" applyAlignment="1">
      <alignment horizontal="center"/>
    </xf>
    <xf numFmtId="38" fontId="0" fillId="0" borderId="0" xfId="0" applyNumberFormat="1"/>
    <xf numFmtId="9" fontId="14" fillId="0" borderId="0" xfId="2" applyNumberFormat="1" applyFont="1" applyAlignment="1">
      <alignment horizontal="center"/>
    </xf>
    <xf numFmtId="176" fontId="51" fillId="0" borderId="5" xfId="6" applyNumberFormat="1" applyFont="1" applyBorder="1" applyAlignment="1">
      <alignment horizontal="center" vertical="center" wrapText="1"/>
    </xf>
    <xf numFmtId="176" fontId="51" fillId="0" borderId="19" xfId="6" applyNumberFormat="1" applyFont="1" applyBorder="1" applyAlignment="1">
      <alignment horizontal="center" vertical="center" wrapText="1"/>
    </xf>
    <xf numFmtId="176" fontId="51" fillId="0" borderId="26" xfId="6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21" xfId="6" applyNumberFormat="1" applyFont="1" applyBorder="1" applyAlignment="1">
      <alignment horizontal="center" vertical="center" wrapText="1"/>
    </xf>
    <xf numFmtId="176" fontId="22" fillId="0" borderId="1" xfId="6" applyNumberFormat="1" applyFont="1" applyBorder="1" applyAlignment="1">
      <alignment horizontal="center" vertical="center" wrapText="1"/>
    </xf>
    <xf numFmtId="176" fontId="51" fillId="0" borderId="1" xfId="6" applyNumberFormat="1" applyFont="1" applyBorder="1" applyAlignment="1">
      <alignment horizontal="center" vertical="center" wrapText="1"/>
    </xf>
    <xf numFmtId="176" fontId="51" fillId="0" borderId="15" xfId="6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0" fontId="8" fillId="0" borderId="0" xfId="0" applyFont="1"/>
    <xf numFmtId="176" fontId="85" fillId="0" borderId="0" xfId="2" applyNumberFormat="1" applyFont="1" applyBorder="1" applyAlignment="1">
      <alignment horizontal="center" vertical="center" wrapText="1"/>
    </xf>
    <xf numFmtId="38" fontId="22" fillId="0" borderId="0" xfId="2" applyNumberFormat="1" applyFont="1" applyAlignment="1">
      <alignment horizontal="center"/>
    </xf>
    <xf numFmtId="9" fontId="51" fillId="0" borderId="23" xfId="1" applyFont="1" applyBorder="1" applyAlignment="1">
      <alignment horizontal="center"/>
    </xf>
    <xf numFmtId="176" fontId="51" fillId="0" borderId="0" xfId="1" applyNumberFormat="1" applyFont="1" applyBorder="1" applyAlignment="1">
      <alignment horizontal="center"/>
    </xf>
    <xf numFmtId="176" fontId="51" fillId="0" borderId="23" xfId="6" quotePrefix="1" applyNumberFormat="1" applyFont="1" applyBorder="1" applyAlignment="1">
      <alignment horizontal="center" vertical="center" wrapText="1"/>
    </xf>
    <xf numFmtId="176" fontId="51" fillId="0" borderId="23" xfId="1" applyNumberFormat="1" applyFont="1" applyBorder="1" applyAlignment="1">
      <alignment horizontal="center"/>
    </xf>
    <xf numFmtId="176" fontId="48" fillId="0" borderId="30" xfId="6" applyNumberFormat="1" applyFont="1" applyBorder="1" applyAlignment="1">
      <alignment horizontal="center" vertical="center"/>
    </xf>
    <xf numFmtId="176" fontId="51" fillId="0" borderId="64" xfId="6" applyNumberFormat="1" applyFont="1" applyBorder="1" applyAlignment="1">
      <alignment horizontal="center" vertical="center" wrapText="1"/>
    </xf>
    <xf numFmtId="38" fontId="52" fillId="0" borderId="0" xfId="6" applyNumberFormat="1" applyFont="1" applyAlignment="1">
      <alignment horizontal="center"/>
    </xf>
    <xf numFmtId="38" fontId="9" fillId="0" borderId="0" xfId="6" applyNumberFormat="1" applyFont="1"/>
    <xf numFmtId="176" fontId="51" fillId="0" borderId="65" xfId="6" applyNumberFormat="1" applyFont="1" applyBorder="1" applyAlignment="1">
      <alignment horizontal="center" vertical="center" wrapText="1"/>
    </xf>
    <xf numFmtId="176" fontId="48" fillId="0" borderId="66" xfId="6" applyNumberFormat="1" applyFont="1" applyBorder="1" applyAlignment="1">
      <alignment horizontal="center" vertical="center"/>
    </xf>
    <xf numFmtId="176" fontId="48" fillId="0" borderId="50" xfId="6" applyNumberFormat="1" applyFont="1" applyBorder="1" applyAlignment="1">
      <alignment horizontal="center" vertical="center"/>
    </xf>
    <xf numFmtId="187" fontId="0" fillId="0" borderId="0" xfId="0" applyNumberFormat="1"/>
    <xf numFmtId="183" fontId="52" fillId="0" borderId="0" xfId="8" applyNumberFormat="1" applyFont="1" applyAlignment="1">
      <alignment horizontal="center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13" xfId="6" applyNumberFormat="1" applyFont="1" applyBorder="1" applyAlignment="1">
      <alignment horizontal="center" vertical="center" wrapText="1"/>
    </xf>
    <xf numFmtId="176" fontId="51" fillId="0" borderId="15" xfId="6" applyNumberFormat="1" applyFont="1" applyBorder="1" applyAlignment="1">
      <alignment horizontal="center" vertical="center" wrapText="1"/>
    </xf>
    <xf numFmtId="176" fontId="9" fillId="0" borderId="0" xfId="6" applyNumberFormat="1" applyFont="1" applyBorder="1" applyAlignment="1">
      <alignment horizontal="center" vertical="center"/>
    </xf>
    <xf numFmtId="176" fontId="9" fillId="0" borderId="15" xfId="6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76" fontId="22" fillId="0" borderId="1" xfId="6" applyNumberFormat="1" applyFont="1" applyBorder="1" applyAlignment="1">
      <alignment horizontal="center" vertical="center" wrapText="1"/>
    </xf>
    <xf numFmtId="0" fontId="9" fillId="0" borderId="0" xfId="0" applyFont="1" applyBorder="1"/>
    <xf numFmtId="178" fontId="51" fillId="0" borderId="65" xfId="6" applyNumberFormat="1" applyFont="1" applyBorder="1" applyAlignment="1">
      <alignment horizontal="center" vertical="center" wrapText="1"/>
    </xf>
    <xf numFmtId="178" fontId="53" fillId="0" borderId="0" xfId="6" applyNumberFormat="1" applyFont="1" applyBorder="1" applyAlignment="1">
      <alignment horizontal="center" vertical="center" wrapText="1"/>
    </xf>
    <xf numFmtId="188" fontId="9" fillId="0" borderId="0" xfId="0" applyNumberFormat="1" applyFont="1" applyBorder="1" applyAlignment="1">
      <alignment horizontal="center"/>
    </xf>
    <xf numFmtId="9" fontId="0" fillId="0" borderId="0" xfId="1" applyFont="1" applyAlignment="1"/>
    <xf numFmtId="0" fontId="88" fillId="0" borderId="36" xfId="0" applyFont="1" applyBorder="1" applyAlignment="1">
      <alignment horizontal="left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9" fontId="9" fillId="0" borderId="15" xfId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9" fontId="9" fillId="0" borderId="35" xfId="1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9" fontId="9" fillId="0" borderId="9" xfId="1" applyFont="1" applyBorder="1" applyAlignment="1">
      <alignment horizontal="center"/>
    </xf>
    <xf numFmtId="9" fontId="9" fillId="0" borderId="12" xfId="1" applyFont="1" applyBorder="1" applyAlignment="1">
      <alignment horizontal="center"/>
    </xf>
    <xf numFmtId="9" fontId="72" fillId="0" borderId="13" xfId="1" applyFont="1" applyBorder="1" applyAlignment="1">
      <alignment horizontal="center"/>
    </xf>
    <xf numFmtId="0" fontId="0" fillId="0" borderId="15" xfId="0" applyBorder="1"/>
    <xf numFmtId="188" fontId="9" fillId="0" borderId="15" xfId="0" applyNumberFormat="1" applyFont="1" applyBorder="1" applyAlignment="1">
      <alignment horizontal="center"/>
    </xf>
    <xf numFmtId="176" fontId="22" fillId="0" borderId="65" xfId="6" applyNumberFormat="1" applyFont="1" applyBorder="1" applyAlignment="1">
      <alignment horizontal="center" vertical="center" wrapText="1"/>
    </xf>
    <xf numFmtId="176" fontId="22" fillId="0" borderId="45" xfId="6" applyNumberFormat="1" applyFont="1" applyBorder="1" applyAlignment="1">
      <alignment horizontal="center"/>
    </xf>
    <xf numFmtId="176" fontId="52" fillId="0" borderId="0" xfId="6" applyNumberFormat="1" applyFont="1" applyAlignment="1">
      <alignment horizontal="center"/>
    </xf>
    <xf numFmtId="0" fontId="9" fillId="0" borderId="0" xfId="6" applyFont="1" applyBorder="1" applyAlignment="1">
      <alignment horizontal="center" vertical="center"/>
    </xf>
    <xf numFmtId="9" fontId="9" fillId="0" borderId="0" xfId="1" applyFont="1" applyBorder="1" applyAlignment="1"/>
    <xf numFmtId="0" fontId="9" fillId="0" borderId="15" xfId="6" applyFont="1" applyBorder="1" applyAlignment="1">
      <alignment horizontal="center" vertical="center"/>
    </xf>
    <xf numFmtId="9" fontId="0" fillId="0" borderId="0" xfId="0" applyNumberFormat="1"/>
    <xf numFmtId="43" fontId="8" fillId="0" borderId="0" xfId="8" applyFont="1" applyAlignment="1"/>
    <xf numFmtId="43" fontId="9" fillId="0" borderId="0" xfId="8" applyFont="1" applyFill="1" applyBorder="1" applyAlignment="1">
      <alignment horizontal="center"/>
    </xf>
    <xf numFmtId="176" fontId="39" fillId="0" borderId="0" xfId="2" applyNumberFormat="1" applyFont="1" applyBorder="1" applyAlignment="1">
      <alignment horizontal="center" vertical="center" wrapText="1"/>
    </xf>
    <xf numFmtId="0" fontId="10" fillId="0" borderId="0" xfId="2" applyFont="1" applyBorder="1" applyAlignment="1"/>
    <xf numFmtId="176" fontId="19" fillId="2" borderId="0" xfId="2" applyNumberFormat="1" applyFont="1" applyFill="1" applyBorder="1" applyAlignment="1">
      <alignment horizontal="center"/>
    </xf>
    <xf numFmtId="9" fontId="14" fillId="0" borderId="0" xfId="1" applyFont="1" applyBorder="1" applyAlignment="1">
      <alignment horizontal="center"/>
    </xf>
    <xf numFmtId="9" fontId="14" fillId="0" borderId="2" xfId="1" applyFont="1" applyBorder="1" applyAlignment="1">
      <alignment horizontal="center"/>
    </xf>
    <xf numFmtId="176" fontId="89" fillId="0" borderId="0" xfId="2" applyNumberFormat="1" applyFont="1" applyAlignment="1">
      <alignment horizontal="center" vertical="center" wrapText="1"/>
    </xf>
    <xf numFmtId="176" fontId="90" fillId="2" borderId="0" xfId="2" applyNumberFormat="1" applyFont="1" applyFill="1" applyAlignment="1">
      <alignment horizontal="center"/>
    </xf>
    <xf numFmtId="176" fontId="91" fillId="0" borderId="0" xfId="2" applyNumberFormat="1" applyFont="1" applyAlignment="1">
      <alignment horizontal="center"/>
    </xf>
    <xf numFmtId="0" fontId="92" fillId="0" borderId="0" xfId="2" applyFont="1" applyAlignment="1"/>
    <xf numFmtId="176" fontId="91" fillId="0" borderId="0" xfId="2" applyNumberFormat="1" applyFont="1" applyAlignment="1">
      <alignment horizontal="center" vertical="center"/>
    </xf>
    <xf numFmtId="176" fontId="93" fillId="0" borderId="0" xfId="2" applyNumberFormat="1" applyFont="1" applyAlignment="1">
      <alignment horizontal="center" vertical="center" wrapText="1"/>
    </xf>
    <xf numFmtId="176" fontId="93" fillId="0" borderId="0" xfId="2" applyNumberFormat="1" applyFont="1" applyAlignment="1">
      <alignment horizontal="center" vertical="center"/>
    </xf>
    <xf numFmtId="176" fontId="93" fillId="0" borderId="0" xfId="2" applyNumberFormat="1" applyFont="1" applyAlignment="1">
      <alignment horizontal="center"/>
    </xf>
    <xf numFmtId="0" fontId="93" fillId="0" borderId="0" xfId="2" applyFont="1" applyAlignment="1">
      <alignment horizontal="center"/>
    </xf>
    <xf numFmtId="176" fontId="66" fillId="0" borderId="0" xfId="2" applyNumberFormat="1" applyFont="1" applyBorder="1" applyAlignment="1">
      <alignment horizontal="center" vertical="center" wrapText="1"/>
    </xf>
    <xf numFmtId="176" fontId="94" fillId="0" borderId="9" xfId="2" applyNumberFormat="1" applyFont="1" applyBorder="1" applyAlignment="1">
      <alignment horizontal="center" vertical="center"/>
    </xf>
    <xf numFmtId="176" fontId="94" fillId="0" borderId="50" xfId="2" applyNumberFormat="1" applyFont="1" applyBorder="1" applyAlignment="1">
      <alignment horizontal="center" vertical="center"/>
    </xf>
    <xf numFmtId="176" fontId="95" fillId="0" borderId="0" xfId="2" applyNumberFormat="1" applyFont="1" applyBorder="1" applyAlignment="1">
      <alignment horizontal="center" vertical="center" wrapText="1"/>
    </xf>
    <xf numFmtId="176" fontId="95" fillId="0" borderId="2" xfId="2" applyNumberFormat="1" applyFont="1" applyBorder="1" applyAlignment="1">
      <alignment horizontal="center" vertical="center" wrapText="1"/>
    </xf>
    <xf numFmtId="176" fontId="96" fillId="0" borderId="0" xfId="2" applyNumberFormat="1" applyFont="1" applyBorder="1" applyAlignment="1">
      <alignment horizontal="center" vertical="center" wrapText="1"/>
    </xf>
    <xf numFmtId="176" fontId="96" fillId="0" borderId="2" xfId="2" applyNumberFormat="1" applyFont="1" applyBorder="1" applyAlignment="1">
      <alignment horizontal="center" vertical="center" wrapText="1"/>
    </xf>
    <xf numFmtId="176" fontId="96" fillId="0" borderId="0" xfId="2" applyNumberFormat="1" applyFont="1" applyBorder="1" applyAlignment="1">
      <alignment horizontal="center" vertical="center"/>
    </xf>
    <xf numFmtId="176" fontId="96" fillId="0" borderId="2" xfId="2" applyNumberFormat="1" applyFont="1" applyBorder="1" applyAlignment="1">
      <alignment horizontal="center" vertical="center"/>
    </xf>
    <xf numFmtId="176" fontId="96" fillId="0" borderId="0" xfId="2" applyNumberFormat="1" applyFont="1" applyBorder="1" applyAlignment="1">
      <alignment horizontal="center"/>
    </xf>
    <xf numFmtId="176" fontId="96" fillId="0" borderId="2" xfId="2" applyNumberFormat="1" applyFont="1" applyBorder="1" applyAlignment="1">
      <alignment horizontal="center"/>
    </xf>
    <xf numFmtId="9" fontId="96" fillId="0" borderId="0" xfId="1" applyFont="1" applyBorder="1" applyAlignment="1">
      <alignment horizontal="center"/>
    </xf>
    <xf numFmtId="9" fontId="96" fillId="0" borderId="2" xfId="1" applyFont="1" applyBorder="1" applyAlignment="1">
      <alignment horizontal="center"/>
    </xf>
    <xf numFmtId="9" fontId="13" fillId="0" borderId="0" xfId="1" applyFont="1" applyAlignment="1">
      <alignment horizontal="center"/>
    </xf>
    <xf numFmtId="0" fontId="36" fillId="0" borderId="2" xfId="2" applyFont="1" applyBorder="1" applyAlignment="1">
      <alignment horizontal="center" vertical="center" wrapText="1"/>
    </xf>
    <xf numFmtId="9" fontId="14" fillId="0" borderId="0" xfId="2" applyNumberFormat="1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178" fontId="13" fillId="0" borderId="0" xfId="2" applyNumberFormat="1" applyFont="1" applyAlignment="1">
      <alignment horizontal="center"/>
    </xf>
    <xf numFmtId="178" fontId="13" fillId="0" borderId="0" xfId="2" applyNumberFormat="1" applyFont="1" applyAlignment="1">
      <alignment horizontal="center" vertical="center"/>
    </xf>
    <xf numFmtId="178" fontId="13" fillId="2" borderId="0" xfId="2" applyNumberFormat="1" applyFont="1" applyFill="1" applyAlignment="1">
      <alignment horizontal="center"/>
    </xf>
    <xf numFmtId="178" fontId="36" fillId="0" borderId="1" xfId="2" applyNumberFormat="1" applyFont="1" applyBorder="1" applyAlignment="1">
      <alignment horizontal="center" vertical="center" wrapText="1"/>
    </xf>
    <xf numFmtId="178" fontId="16" fillId="0" borderId="1" xfId="2" applyNumberFormat="1" applyFont="1" applyBorder="1" applyAlignment="1">
      <alignment horizontal="center" wrapText="1"/>
    </xf>
    <xf numFmtId="178" fontId="16" fillId="0" borderId="1" xfId="2" applyNumberFormat="1" applyFont="1" applyBorder="1" applyAlignment="1">
      <alignment horizontal="center"/>
    </xf>
    <xf numFmtId="178" fontId="14" fillId="0" borderId="1" xfId="2" applyNumberFormat="1" applyFont="1" applyBorder="1" applyAlignment="1">
      <alignment horizontal="center"/>
    </xf>
    <xf numFmtId="178" fontId="14" fillId="0" borderId="1" xfId="1" applyNumberFormat="1" applyFont="1" applyBorder="1" applyAlignment="1">
      <alignment horizontal="center"/>
    </xf>
    <xf numFmtId="178" fontId="14" fillId="0" borderId="0" xfId="2" applyNumberFormat="1" applyFont="1" applyAlignment="1">
      <alignment horizontal="center"/>
    </xf>
    <xf numFmtId="178" fontId="36" fillId="0" borderId="0" xfId="2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13" fillId="2" borderId="0" xfId="2" applyFont="1" applyFill="1" applyBorder="1" applyAlignment="1">
      <alignment horizontal="center"/>
    </xf>
    <xf numFmtId="178" fontId="14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left" wrapText="1"/>
    </xf>
    <xf numFmtId="178" fontId="20" fillId="0" borderId="1" xfId="4" applyNumberFormat="1" applyBorder="1" applyAlignment="1">
      <alignment horizontal="left" wrapText="1"/>
    </xf>
    <xf numFmtId="0" fontId="97" fillId="0" borderId="0" xfId="0" applyFont="1"/>
    <xf numFmtId="9" fontId="36" fillId="0" borderId="0" xfId="2" applyNumberFormat="1" applyFont="1" applyBorder="1" applyAlignment="1">
      <alignment horizontal="center"/>
    </xf>
    <xf numFmtId="177" fontId="14" fillId="0" borderId="0" xfId="2" applyNumberFormat="1" applyFont="1" applyAlignment="1">
      <alignment horizontal="center"/>
    </xf>
    <xf numFmtId="9" fontId="55" fillId="0" borderId="1" xfId="1" applyFont="1" applyBorder="1" applyAlignment="1">
      <alignment horizontal="center"/>
    </xf>
    <xf numFmtId="9" fontId="55" fillId="0" borderId="15" xfId="1" applyFont="1" applyBorder="1" applyAlignment="1">
      <alignment horizontal="center"/>
    </xf>
    <xf numFmtId="189" fontId="22" fillId="0" borderId="0" xfId="1" applyNumberFormat="1" applyFont="1" applyAlignment="1">
      <alignment horizontal="center" vertical="center"/>
    </xf>
    <xf numFmtId="177" fontId="51" fillId="0" borderId="0" xfId="1" applyNumberFormat="1" applyFont="1" applyBorder="1" applyAlignment="1">
      <alignment horizontal="center" vertical="center" wrapText="1"/>
    </xf>
    <xf numFmtId="177" fontId="51" fillId="0" borderId="13" xfId="1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2" xfId="6" applyNumberFormat="1" applyFont="1" applyBorder="1" applyAlignment="1">
      <alignment horizontal="center" vertical="center" wrapText="1"/>
    </xf>
    <xf numFmtId="176" fontId="36" fillId="0" borderId="0" xfId="1" applyNumberFormat="1" applyFont="1" applyBorder="1" applyAlignment="1">
      <alignment horizontal="center"/>
    </xf>
    <xf numFmtId="176" fontId="36" fillId="0" borderId="0" xfId="2" applyNumberFormat="1" applyFont="1" applyAlignment="1">
      <alignment horizontal="center"/>
    </xf>
    <xf numFmtId="0" fontId="13" fillId="0" borderId="0" xfId="2" applyFont="1" applyAlignment="1"/>
    <xf numFmtId="176" fontId="36" fillId="0" borderId="1" xfId="2" applyNumberFormat="1" applyFont="1" applyBorder="1" applyAlignment="1">
      <alignment horizontal="center"/>
    </xf>
    <xf numFmtId="0" fontId="37" fillId="0" borderId="1" xfId="2" applyFont="1" applyBorder="1" applyAlignment="1">
      <alignment horizontal="center" vertical="center" wrapText="1"/>
    </xf>
    <xf numFmtId="176" fontId="38" fillId="0" borderId="2" xfId="2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98" fillId="0" borderId="0" xfId="0" applyFont="1" applyBorder="1" applyAlignment="1">
      <alignment horizontal="centerContinuous" vertical="top"/>
    </xf>
    <xf numFmtId="0" fontId="98" fillId="0" borderId="2" xfId="0" applyFont="1" applyBorder="1" applyAlignment="1">
      <alignment horizontal="centerContinuous" vertical="top"/>
    </xf>
    <xf numFmtId="0" fontId="99" fillId="0" borderId="2" xfId="0" applyFont="1" applyBorder="1" applyAlignment="1">
      <alignment horizontal="center"/>
    </xf>
    <xf numFmtId="0" fontId="98" fillId="0" borderId="2" xfId="0" applyFont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28" fillId="0" borderId="0" xfId="2" applyFont="1" applyBorder="1" applyAlignment="1">
      <alignment horizontal="center" vertical="center" wrapText="1"/>
    </xf>
    <xf numFmtId="0" fontId="98" fillId="0" borderId="0" xfId="0" applyFont="1" applyBorder="1" applyAlignment="1">
      <alignment horizontal="centerContinuous"/>
    </xf>
    <xf numFmtId="0" fontId="99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190" fontId="98" fillId="0" borderId="0" xfId="0" applyNumberFormat="1" applyFont="1" applyBorder="1" applyAlignment="1">
      <alignment horizontal="right"/>
    </xf>
    <xf numFmtId="190" fontId="51" fillId="0" borderId="0" xfId="0" applyNumberFormat="1" applyFont="1" applyBorder="1" applyAlignment="1">
      <alignment horizontal="center"/>
    </xf>
    <xf numFmtId="176" fontId="51" fillId="0" borderId="0" xfId="0" applyNumberFormat="1" applyFont="1" applyBorder="1" applyAlignment="1">
      <alignment horizontal="center"/>
    </xf>
    <xf numFmtId="0" fontId="98" fillId="0" borderId="1" xfId="0" applyFont="1" applyBorder="1" applyAlignment="1">
      <alignment horizontal="centerContinuous"/>
    </xf>
    <xf numFmtId="0" fontId="98" fillId="0" borderId="1" xfId="0" applyFont="1" applyBorder="1" applyAlignment="1">
      <alignment horizontal="centerContinuous" vertical="top"/>
    </xf>
    <xf numFmtId="190" fontId="98" fillId="0" borderId="1" xfId="0" applyNumberFormat="1" applyFont="1" applyBorder="1" applyAlignment="1">
      <alignment horizontal="right"/>
    </xf>
    <xf numFmtId="176" fontId="51" fillId="0" borderId="1" xfId="0" applyNumberFormat="1" applyFont="1" applyBorder="1" applyAlignment="1">
      <alignment horizontal="center"/>
    </xf>
    <xf numFmtId="190" fontId="51" fillId="0" borderId="2" xfId="0" applyNumberFormat="1" applyFont="1" applyBorder="1" applyAlignment="1">
      <alignment horizontal="center"/>
    </xf>
    <xf numFmtId="176" fontId="42" fillId="0" borderId="0" xfId="2" applyNumberFormat="1" applyFont="1" applyAlignment="1">
      <alignment horizontal="center"/>
    </xf>
    <xf numFmtId="176" fontId="42" fillId="0" borderId="0" xfId="2" applyNumberFormat="1" applyFont="1" applyAlignment="1">
      <alignment horizontal="center" vertical="center"/>
    </xf>
    <xf numFmtId="176" fontId="42" fillId="2" borderId="0" xfId="2" applyNumberFormat="1" applyFont="1" applyFill="1" applyAlignment="1">
      <alignment horizontal="center"/>
    </xf>
    <xf numFmtId="9" fontId="55" fillId="0" borderId="0" xfId="1" applyFont="1" applyBorder="1" applyAlignment="1">
      <alignment horizontal="center"/>
    </xf>
    <xf numFmtId="176" fontId="38" fillId="0" borderId="1" xfId="2" applyNumberFormat="1" applyFont="1" applyBorder="1" applyAlignment="1">
      <alignment horizontal="center" vertical="center" wrapText="1"/>
    </xf>
    <xf numFmtId="176" fontId="36" fillId="0" borderId="1" xfId="0" applyNumberFormat="1" applyFont="1" applyBorder="1" applyAlignment="1">
      <alignment horizontal="center"/>
    </xf>
    <xf numFmtId="176" fontId="36" fillId="0" borderId="0" xfId="0" applyNumberFormat="1" applyFont="1" applyBorder="1" applyAlignment="1">
      <alignment horizontal="center"/>
    </xf>
    <xf numFmtId="176" fontId="36" fillId="0" borderId="2" xfId="0" applyNumberFormat="1" applyFont="1" applyBorder="1" applyAlignment="1">
      <alignment horizontal="center"/>
    </xf>
    <xf numFmtId="176" fontId="14" fillId="0" borderId="0" xfId="2" applyNumberFormat="1" applyFont="1" applyBorder="1" applyAlignment="1">
      <alignment horizontal="center" wrapText="1"/>
    </xf>
    <xf numFmtId="176" fontId="14" fillId="0" borderId="2" xfId="2" applyNumberFormat="1" applyFont="1" applyBorder="1" applyAlignment="1">
      <alignment horizontal="center" wrapText="1"/>
    </xf>
    <xf numFmtId="176" fontId="42" fillId="0" borderId="0" xfId="2" applyNumberFormat="1" applyFont="1" applyBorder="1" applyAlignment="1">
      <alignment horizontal="center"/>
    </xf>
    <xf numFmtId="176" fontId="42" fillId="0" borderId="2" xfId="2" applyNumberFormat="1" applyFont="1" applyBorder="1" applyAlignment="1">
      <alignment horizont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9" fontId="15" fillId="0" borderId="1" xfId="1" applyFont="1" applyBorder="1" applyAlignment="1">
      <alignment horizontal="center"/>
    </xf>
    <xf numFmtId="0" fontId="98" fillId="0" borderId="1" xfId="0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14" fillId="0" borderId="70" xfId="2" applyFont="1" applyBorder="1" applyAlignment="1">
      <alignment horizontal="center"/>
    </xf>
    <xf numFmtId="176" fontId="15" fillId="0" borderId="70" xfId="2" applyNumberFormat="1" applyFont="1" applyBorder="1" applyAlignment="1">
      <alignment horizontal="center"/>
    </xf>
    <xf numFmtId="176" fontId="14" fillId="0" borderId="70" xfId="2" applyNumberFormat="1" applyFont="1" applyBorder="1" applyAlignment="1">
      <alignment horizontal="center"/>
    </xf>
    <xf numFmtId="0" fontId="16" fillId="0" borderId="1" xfId="2" applyFont="1" applyBorder="1" applyAlignment="1">
      <alignment horizontal="left"/>
    </xf>
    <xf numFmtId="0" fontId="49" fillId="0" borderId="1" xfId="73" applyFont="1" applyFill="1" applyBorder="1" applyAlignment="1">
      <alignment horizontal="center" vertical="center" wrapText="1"/>
    </xf>
    <xf numFmtId="0" fontId="49" fillId="0" borderId="0" xfId="73" applyFont="1" applyFill="1" applyBorder="1" applyAlignment="1">
      <alignment horizontal="center" vertical="center" wrapText="1"/>
    </xf>
    <xf numFmtId="3" fontId="22" fillId="0" borderId="0" xfId="2" applyNumberFormat="1" applyFont="1" applyAlignment="1">
      <alignment horizontal="center" vertical="center"/>
    </xf>
    <xf numFmtId="177" fontId="22" fillId="0" borderId="0" xfId="1" applyNumberFormat="1" applyFont="1" applyAlignment="1">
      <alignment horizontal="center" vertical="center"/>
    </xf>
    <xf numFmtId="178" fontId="9" fillId="0" borderId="0" xfId="6" applyNumberFormat="1" applyFont="1" applyFill="1" applyBorder="1" applyAlignment="1">
      <alignment horizontal="left" vertical="top"/>
    </xf>
    <xf numFmtId="10" fontId="14" fillId="0" borderId="1" xfId="1" applyNumberFormat="1" applyFont="1" applyBorder="1" applyAlignment="1">
      <alignment horizontal="center"/>
    </xf>
    <xf numFmtId="177" fontId="72" fillId="0" borderId="0" xfId="1" applyNumberFormat="1" applyFont="1" applyBorder="1" applyAlignment="1">
      <alignment horizontal="center"/>
    </xf>
    <xf numFmtId="177" fontId="9" fillId="2" borderId="0" xfId="1" applyNumberFormat="1" applyFont="1" applyFill="1" applyBorder="1" applyAlignment="1">
      <alignment horizontal="center"/>
    </xf>
    <xf numFmtId="177" fontId="9" fillId="0" borderId="26" xfId="1" applyNumberFormat="1" applyFont="1" applyBorder="1" applyAlignment="1">
      <alignment horizontal="center"/>
    </xf>
    <xf numFmtId="177" fontId="9" fillId="0" borderId="14" xfId="1" applyNumberFormat="1" applyFont="1" applyBorder="1" applyAlignment="1">
      <alignment horizontal="center"/>
    </xf>
    <xf numFmtId="177" fontId="9" fillId="0" borderId="13" xfId="1" applyNumberFormat="1" applyFont="1" applyBorder="1" applyAlignment="1">
      <alignment horizontal="center"/>
    </xf>
    <xf numFmtId="177" fontId="72" fillId="0" borderId="13" xfId="1" applyNumberFormat="1" applyFont="1" applyBorder="1" applyAlignment="1">
      <alignment horizontal="center"/>
    </xf>
    <xf numFmtId="177" fontId="9" fillId="0" borderId="15" xfId="1" applyNumberFormat="1" applyFont="1" applyBorder="1" applyAlignment="1">
      <alignment horizontal="center"/>
    </xf>
    <xf numFmtId="9" fontId="55" fillId="0" borderId="24" xfId="1" applyFont="1" applyFill="1" applyBorder="1" applyAlignment="1">
      <alignment horizontal="center" vertical="center" wrapText="1"/>
    </xf>
    <xf numFmtId="177" fontId="55" fillId="0" borderId="65" xfId="1" applyNumberFormat="1" applyFont="1" applyBorder="1" applyAlignment="1">
      <alignment horizontal="center" vertical="center" wrapText="1"/>
    </xf>
    <xf numFmtId="177" fontId="51" fillId="0" borderId="65" xfId="1" applyNumberFormat="1" applyFont="1" applyBorder="1" applyAlignment="1">
      <alignment horizontal="center" vertical="center" wrapText="1"/>
    </xf>
    <xf numFmtId="177" fontId="22" fillId="0" borderId="65" xfId="1" applyNumberFormat="1" applyFont="1" applyBorder="1" applyAlignment="1">
      <alignment horizontal="center" vertical="center" wrapText="1"/>
    </xf>
    <xf numFmtId="177" fontId="22" fillId="2" borderId="65" xfId="1" applyNumberFormat="1" applyFont="1" applyFill="1" applyBorder="1" applyAlignment="1">
      <alignment horizontal="center" vertical="center" wrapText="1"/>
    </xf>
    <xf numFmtId="177" fontId="22" fillId="0" borderId="65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76" fontId="51" fillId="0" borderId="65" xfId="6" applyNumberFormat="1" applyFont="1" applyFill="1" applyBorder="1" applyAlignment="1">
      <alignment horizontal="center" vertical="center" wrapText="1"/>
    </xf>
    <xf numFmtId="0" fontId="9" fillId="0" borderId="23" xfId="6" applyFont="1" applyFill="1" applyBorder="1"/>
    <xf numFmtId="2" fontId="14" fillId="0" borderId="2" xfId="2" applyNumberFormat="1" applyFont="1" applyBorder="1" applyAlignment="1">
      <alignment horizontal="center"/>
    </xf>
    <xf numFmtId="176" fontId="22" fillId="0" borderId="30" xfId="6" applyNumberFormat="1" applyFont="1" applyBorder="1" applyAlignment="1">
      <alignment horizontal="center"/>
    </xf>
    <xf numFmtId="0" fontId="102" fillId="0" borderId="71" xfId="0" applyFont="1" applyBorder="1" applyAlignment="1">
      <alignment horizontal="center" vertical="center" wrapText="1"/>
    </xf>
    <xf numFmtId="176" fontId="9" fillId="0" borderId="0" xfId="1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176" fontId="9" fillId="0" borderId="2" xfId="1" applyNumberFormat="1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38" fontId="9" fillId="0" borderId="0" xfId="0" applyNumberFormat="1" applyFont="1" applyBorder="1" applyAlignment="1">
      <alignment horizontal="center"/>
    </xf>
    <xf numFmtId="38" fontId="9" fillId="0" borderId="2" xfId="1" applyNumberFormat="1" applyFont="1" applyBorder="1" applyAlignment="1">
      <alignment horizontal="center"/>
    </xf>
    <xf numFmtId="191" fontId="9" fillId="0" borderId="0" xfId="0" applyNumberFormat="1" applyFont="1" applyBorder="1" applyAlignment="1">
      <alignment horizontal="center"/>
    </xf>
    <xf numFmtId="191" fontId="9" fillId="0" borderId="2" xfId="0" applyNumberFormat="1" applyFont="1" applyBorder="1" applyAlignment="1">
      <alignment horizontal="center"/>
    </xf>
    <xf numFmtId="9" fontId="50" fillId="0" borderId="0" xfId="1" applyFont="1" applyFill="1" applyBorder="1" applyAlignment="1">
      <alignment horizontal="center" vertical="center" wrapText="1"/>
    </xf>
    <xf numFmtId="0" fontId="51" fillId="0" borderId="4" xfId="9" applyFont="1" applyBorder="1" applyAlignment="1">
      <alignment wrapText="1"/>
    </xf>
    <xf numFmtId="9" fontId="60" fillId="0" borderId="23" xfId="1" applyFont="1" applyBorder="1" applyAlignment="1">
      <alignment horizontal="center"/>
    </xf>
    <xf numFmtId="9" fontId="96" fillId="0" borderId="23" xfId="1" applyFont="1" applyBorder="1" applyAlignment="1">
      <alignment horizontal="center"/>
    </xf>
    <xf numFmtId="9" fontId="96" fillId="0" borderId="39" xfId="1" applyFont="1" applyBorder="1" applyAlignment="1">
      <alignment horizontal="center"/>
    </xf>
    <xf numFmtId="176" fontId="53" fillId="0" borderId="39" xfId="6" applyNumberFormat="1" applyFont="1" applyBorder="1"/>
    <xf numFmtId="0" fontId="9" fillId="0" borderId="29" xfId="6" applyFont="1" applyBorder="1"/>
    <xf numFmtId="0" fontId="9" fillId="0" borderId="39" xfId="6" applyFont="1" applyBorder="1"/>
    <xf numFmtId="176" fontId="22" fillId="0" borderId="15" xfId="6" applyNumberFormat="1" applyFont="1" applyBorder="1" applyAlignment="1">
      <alignment horizontal="center" vertical="center" wrapText="1"/>
    </xf>
    <xf numFmtId="178" fontId="53" fillId="0" borderId="23" xfId="6" applyNumberFormat="1" applyFont="1" applyBorder="1" applyAlignment="1">
      <alignment horizontal="center" vertical="center" wrapText="1"/>
    </xf>
    <xf numFmtId="176" fontId="61" fillId="0" borderId="36" xfId="6" applyNumberFormat="1" applyFont="1" applyBorder="1" applyAlignment="1">
      <alignment vertical="center"/>
    </xf>
    <xf numFmtId="176" fontId="61" fillId="0" borderId="37" xfId="6" applyNumberFormat="1" applyFont="1" applyBorder="1" applyAlignment="1">
      <alignment vertical="center" wrapText="1"/>
    </xf>
    <xf numFmtId="176" fontId="61" fillId="0" borderId="38" xfId="6" applyNumberFormat="1" applyFont="1" applyBorder="1" applyAlignment="1">
      <alignment vertical="center" wrapText="1"/>
    </xf>
    <xf numFmtId="9" fontId="51" fillId="0" borderId="65" xfId="1" applyFont="1" applyBorder="1" applyAlignment="1">
      <alignment horizontal="center" vertical="center" wrapText="1"/>
    </xf>
    <xf numFmtId="9" fontId="9" fillId="0" borderId="68" xfId="1" applyFont="1" applyFill="1" applyBorder="1" applyAlignment="1">
      <alignment horizontal="center"/>
    </xf>
    <xf numFmtId="49" fontId="9" fillId="0" borderId="65" xfId="1" applyNumberFormat="1" applyFont="1" applyFill="1" applyBorder="1" applyAlignment="1">
      <alignment horizontal="center"/>
    </xf>
    <xf numFmtId="49" fontId="9" fillId="0" borderId="65" xfId="1" applyNumberFormat="1" applyFont="1" applyFill="1" applyBorder="1" applyAlignment="1">
      <alignment horizontal="left"/>
    </xf>
    <xf numFmtId="49" fontId="9" fillId="0" borderId="19" xfId="1" applyNumberFormat="1" applyFont="1" applyFill="1" applyBorder="1" applyAlignment="1">
      <alignment horizontal="center"/>
    </xf>
    <xf numFmtId="9" fontId="9" fillId="0" borderId="15" xfId="0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6" fontId="9" fillId="0" borderId="0" xfId="1" applyNumberFormat="1" applyFont="1" applyBorder="1" applyAlignment="1">
      <alignment horizontal="left"/>
    </xf>
    <xf numFmtId="6" fontId="9" fillId="0" borderId="15" xfId="0" applyNumberFormat="1" applyFont="1" applyBorder="1" applyAlignment="1">
      <alignment horizontal="center"/>
    </xf>
    <xf numFmtId="9" fontId="9" fillId="0" borderId="0" xfId="1" applyFont="1" applyBorder="1" applyAlignment="1">
      <alignment horizontal="left"/>
    </xf>
    <xf numFmtId="9" fontId="72" fillId="0" borderId="23" xfId="1" applyFont="1" applyBorder="1" applyAlignment="1">
      <alignment horizontal="center"/>
    </xf>
    <xf numFmtId="9" fontId="9" fillId="0" borderId="39" xfId="1" applyFont="1" applyBorder="1" applyAlignment="1">
      <alignment horizontal="center"/>
    </xf>
    <xf numFmtId="49" fontId="9" fillId="0" borderId="23" xfId="1" applyNumberFormat="1" applyFont="1" applyBorder="1" applyAlignment="1">
      <alignment horizontal="center"/>
    </xf>
    <xf numFmtId="9" fontId="9" fillId="0" borderId="23" xfId="1" applyFont="1" applyBorder="1" applyAlignment="1">
      <alignment horizontal="left"/>
    </xf>
    <xf numFmtId="0" fontId="9" fillId="0" borderId="35" xfId="0" applyFont="1" applyBorder="1" applyAlignment="1">
      <alignment horizontal="center"/>
    </xf>
    <xf numFmtId="176" fontId="61" fillId="0" borderId="6" xfId="6" applyNumberFormat="1" applyFont="1" applyBorder="1" applyAlignment="1">
      <alignment vertical="center"/>
    </xf>
    <xf numFmtId="176" fontId="61" fillId="0" borderId="7" xfId="6" applyNumberFormat="1" applyFont="1" applyBorder="1" applyAlignment="1">
      <alignment vertical="center"/>
    </xf>
    <xf numFmtId="176" fontId="61" fillId="0" borderId="8" xfId="6" applyNumberFormat="1" applyFont="1" applyBorder="1" applyAlignment="1">
      <alignment vertical="center"/>
    </xf>
    <xf numFmtId="0" fontId="51" fillId="0" borderId="4" xfId="9" applyFont="1" applyBorder="1" applyAlignment="1" applyProtection="1">
      <alignment vertical="top" wrapText="1"/>
    </xf>
    <xf numFmtId="0" fontId="51" fillId="0" borderId="4" xfId="9" applyFont="1" applyBorder="1" applyAlignment="1"/>
    <xf numFmtId="176" fontId="61" fillId="0" borderId="37" xfId="6" applyNumberFormat="1" applyFont="1" applyBorder="1" applyAlignment="1">
      <alignment vertical="center"/>
    </xf>
    <xf numFmtId="176" fontId="61" fillId="0" borderId="38" xfId="6" applyNumberFormat="1" applyFont="1" applyBorder="1" applyAlignment="1">
      <alignment vertical="center"/>
    </xf>
    <xf numFmtId="176" fontId="61" fillId="0" borderId="47" xfId="6" applyNumberFormat="1" applyFont="1" applyBorder="1" applyAlignment="1">
      <alignment vertical="center"/>
    </xf>
    <xf numFmtId="176" fontId="61" fillId="0" borderId="48" xfId="6" applyNumberFormat="1" applyFont="1" applyBorder="1" applyAlignment="1">
      <alignment vertical="center"/>
    </xf>
    <xf numFmtId="176" fontId="61" fillId="0" borderId="49" xfId="6" applyNumberFormat="1" applyFont="1" applyBorder="1" applyAlignment="1">
      <alignment vertical="center"/>
    </xf>
    <xf numFmtId="176" fontId="62" fillId="0" borderId="6" xfId="6" applyNumberFormat="1" applyFont="1" applyBorder="1" applyAlignment="1">
      <alignment vertical="center"/>
    </xf>
    <xf numFmtId="176" fontId="103" fillId="0" borderId="7" xfId="6" applyNumberFormat="1" applyFont="1" applyBorder="1" applyAlignment="1">
      <alignment vertical="center"/>
    </xf>
    <xf numFmtId="176" fontId="103" fillId="0" borderId="8" xfId="6" applyNumberFormat="1" applyFont="1" applyBorder="1" applyAlignment="1">
      <alignment vertical="center"/>
    </xf>
    <xf numFmtId="0" fontId="104" fillId="0" borderId="0" xfId="0" applyFont="1"/>
    <xf numFmtId="38" fontId="104" fillId="0" borderId="0" xfId="0" applyNumberFormat="1" applyFont="1"/>
    <xf numFmtId="0" fontId="105" fillId="3" borderId="0" xfId="74" applyFont="1" applyFill="1"/>
    <xf numFmtId="0" fontId="2" fillId="0" borderId="0" xfId="74"/>
    <xf numFmtId="0" fontId="107" fillId="3" borderId="0" xfId="74" applyFont="1" applyFill="1" applyAlignment="1">
      <alignment horizontal="center"/>
    </xf>
    <xf numFmtId="0" fontId="108" fillId="3" borderId="0" xfId="74" applyFont="1" applyFill="1" applyAlignment="1">
      <alignment horizontal="center"/>
    </xf>
    <xf numFmtId="0" fontId="105" fillId="3" borderId="72" xfId="74" applyFont="1" applyFill="1" applyBorder="1" applyAlignment="1">
      <alignment horizontal="center" vertical="center"/>
    </xf>
    <xf numFmtId="0" fontId="105" fillId="3" borderId="0" xfId="74" applyFont="1" applyFill="1" applyAlignment="1">
      <alignment horizontal="center" vertical="center"/>
    </xf>
    <xf numFmtId="0" fontId="110" fillId="4" borderId="0" xfId="75" applyFont="1" applyFill="1" applyAlignment="1" applyProtection="1">
      <alignment horizontal="center" vertical="center"/>
    </xf>
    <xf numFmtId="0" fontId="110" fillId="5" borderId="0" xfId="75" applyFont="1" applyFill="1" applyAlignment="1" applyProtection="1">
      <alignment horizontal="center" vertical="center"/>
    </xf>
    <xf numFmtId="0" fontId="106" fillId="3" borderId="0" xfId="74" applyFont="1" applyFill="1" applyAlignment="1">
      <alignment horizontal="center" wrapText="1"/>
    </xf>
    <xf numFmtId="176" fontId="46" fillId="0" borderId="36" xfId="6" applyNumberFormat="1" applyFont="1" applyBorder="1" applyAlignment="1">
      <alignment vertical="center"/>
    </xf>
    <xf numFmtId="176" fontId="46" fillId="0" borderId="37" xfId="6" applyNumberFormat="1" applyFont="1" applyBorder="1" applyAlignment="1">
      <alignment vertical="center"/>
    </xf>
    <xf numFmtId="176" fontId="46" fillId="0" borderId="38" xfId="6" applyNumberFormat="1" applyFont="1" applyBorder="1" applyAlignment="1">
      <alignment vertical="center"/>
    </xf>
    <xf numFmtId="176" fontId="46" fillId="0" borderId="37" xfId="6" applyNumberFormat="1" applyFont="1" applyBorder="1" applyAlignment="1">
      <alignment vertical="center" wrapText="1"/>
    </xf>
    <xf numFmtId="176" fontId="46" fillId="0" borderId="38" xfId="6" applyNumberFormat="1" applyFont="1" applyBorder="1" applyAlignment="1">
      <alignment vertical="center" wrapText="1"/>
    </xf>
    <xf numFmtId="0" fontId="20" fillId="4" borderId="0" xfId="4" applyFill="1"/>
    <xf numFmtId="0" fontId="110" fillId="6" borderId="0" xfId="74" applyFont="1" applyFill="1" applyAlignment="1">
      <alignment horizontal="center" vertical="center"/>
    </xf>
    <xf numFmtId="0" fontId="20" fillId="6" borderId="0" xfId="4" applyFill="1"/>
    <xf numFmtId="0" fontId="20" fillId="5" borderId="0" xfId="4" applyFill="1"/>
    <xf numFmtId="0" fontId="110" fillId="7" borderId="0" xfId="74" applyFont="1" applyFill="1" applyAlignment="1">
      <alignment horizontal="center" vertical="center"/>
    </xf>
    <xf numFmtId="0" fontId="20" fillId="7" borderId="0" xfId="4" applyFill="1"/>
    <xf numFmtId="176" fontId="50" fillId="0" borderId="0" xfId="6" applyNumberFormat="1" applyFont="1" applyFill="1" applyBorder="1" applyAlignment="1">
      <alignment horizontal="center" vertical="center" wrapText="1"/>
    </xf>
    <xf numFmtId="176" fontId="57" fillId="0" borderId="0" xfId="6" applyNumberFormat="1" applyFont="1" applyFill="1" applyBorder="1" applyAlignment="1">
      <alignment horizontal="center" vertical="center" wrapText="1"/>
    </xf>
    <xf numFmtId="176" fontId="48" fillId="0" borderId="9" xfId="6" applyNumberFormat="1" applyFont="1" applyFill="1" applyBorder="1" applyAlignment="1">
      <alignment horizontal="center" vertical="center"/>
    </xf>
    <xf numFmtId="178" fontId="44" fillId="0" borderId="0" xfId="76" applyNumberFormat="1" applyFont="1" applyAlignment="1">
      <alignment horizontal="center"/>
    </xf>
    <xf numFmtId="176" fontId="44" fillId="0" borderId="0" xfId="76" applyNumberFormat="1" applyFont="1"/>
    <xf numFmtId="176" fontId="45" fillId="0" borderId="0" xfId="76" applyNumberFormat="1" applyFont="1"/>
    <xf numFmtId="0" fontId="9" fillId="0" borderId="0" xfId="76" applyFont="1"/>
    <xf numFmtId="0" fontId="47" fillId="0" borderId="0" xfId="76" applyFont="1"/>
    <xf numFmtId="178" fontId="48" fillId="0" borderId="4" xfId="76" applyNumberFormat="1" applyFont="1" applyBorder="1" applyAlignment="1">
      <alignment horizontal="center" vertical="center"/>
    </xf>
    <xf numFmtId="176" fontId="48" fillId="0" borderId="40" xfId="76" applyNumberFormat="1" applyFont="1" applyBorder="1" applyAlignment="1">
      <alignment horizontal="center" vertical="center"/>
    </xf>
    <xf numFmtId="176" fontId="48" fillId="0" borderId="9" xfId="76" applyNumberFormat="1" applyFont="1" applyBorder="1" applyAlignment="1">
      <alignment horizontal="center" vertical="center"/>
    </xf>
    <xf numFmtId="176" fontId="48" fillId="0" borderId="10" xfId="76" applyNumberFormat="1" applyFont="1" applyBorder="1" applyAlignment="1">
      <alignment horizontal="center" vertical="center"/>
    </xf>
    <xf numFmtId="176" fontId="48" fillId="0" borderId="11" xfId="76" applyNumberFormat="1" applyFont="1" applyBorder="1" applyAlignment="1">
      <alignment horizontal="center" vertical="center"/>
    </xf>
    <xf numFmtId="176" fontId="48" fillId="0" borderId="41" xfId="76" applyNumberFormat="1" applyFont="1" applyBorder="1" applyAlignment="1">
      <alignment horizontal="center" vertical="center"/>
    </xf>
    <xf numFmtId="176" fontId="48" fillId="0" borderId="0" xfId="76" applyNumberFormat="1" applyFont="1" applyAlignment="1">
      <alignment horizontal="center" vertical="center"/>
    </xf>
    <xf numFmtId="176" fontId="48" fillId="0" borderId="12" xfId="76" applyNumberFormat="1" applyFont="1" applyBorder="1" applyAlignment="1">
      <alignment horizontal="center" vertical="center"/>
    </xf>
    <xf numFmtId="0" fontId="48" fillId="0" borderId="0" xfId="76" applyFont="1"/>
    <xf numFmtId="178" fontId="56" fillId="0" borderId="4" xfId="76" applyNumberFormat="1" applyFont="1" applyBorder="1" applyAlignment="1">
      <alignment horizontal="center" vertical="center"/>
    </xf>
    <xf numFmtId="0" fontId="56" fillId="0" borderId="0" xfId="76" applyFont="1"/>
    <xf numFmtId="178" fontId="49" fillId="0" borderId="4" xfId="76" applyNumberFormat="1" applyFont="1" applyBorder="1" applyAlignment="1">
      <alignment horizontal="center" vertical="center" wrapText="1"/>
    </xf>
    <xf numFmtId="176" fontId="50" fillId="0" borderId="26" xfId="76" applyNumberFormat="1" applyFont="1" applyBorder="1" applyAlignment="1">
      <alignment horizontal="center" vertical="center" wrapText="1"/>
    </xf>
    <xf numFmtId="176" fontId="50" fillId="0" borderId="0" xfId="76" applyNumberFormat="1" applyFont="1" applyAlignment="1">
      <alignment horizontal="center" vertical="center" wrapText="1"/>
    </xf>
    <xf numFmtId="176" fontId="50" fillId="0" borderId="13" xfId="76" applyNumberFormat="1" applyFont="1" applyBorder="1" applyAlignment="1">
      <alignment horizontal="center" vertical="center" wrapText="1"/>
    </xf>
    <xf numFmtId="176" fontId="50" fillId="0" borderId="14" xfId="76" applyNumberFormat="1" applyFont="1" applyBorder="1" applyAlignment="1">
      <alignment horizontal="center" vertical="center" wrapText="1"/>
    </xf>
    <xf numFmtId="176" fontId="50" fillId="0" borderId="30" xfId="76" applyNumberFormat="1" applyFont="1" applyBorder="1" applyAlignment="1">
      <alignment horizontal="center" vertical="center" wrapText="1"/>
    </xf>
    <xf numFmtId="176" fontId="50" fillId="0" borderId="15" xfId="76" applyNumberFormat="1" applyFont="1" applyBorder="1" applyAlignment="1">
      <alignment horizontal="center" vertical="center" wrapText="1"/>
    </xf>
    <xf numFmtId="0" fontId="9" fillId="0" borderId="0" xfId="76" applyFont="1" applyAlignment="1">
      <alignment horizontal="center"/>
    </xf>
    <xf numFmtId="178" fontId="22" fillId="0" borderId="16" xfId="76" applyNumberFormat="1" applyFont="1" applyBorder="1" applyAlignment="1">
      <alignment horizontal="center" vertical="center" wrapText="1"/>
    </xf>
    <xf numFmtId="176" fontId="51" fillId="0" borderId="28" xfId="76" applyNumberFormat="1" applyFont="1" applyBorder="1" applyAlignment="1">
      <alignment horizontal="center" vertical="center" wrapText="1"/>
    </xf>
    <xf numFmtId="176" fontId="51" fillId="0" borderId="65" xfId="76" applyNumberFormat="1" applyFont="1" applyBorder="1" applyAlignment="1">
      <alignment horizontal="center" vertical="center" wrapText="1"/>
    </xf>
    <xf numFmtId="176" fontId="51" fillId="0" borderId="17" xfId="76" applyNumberFormat="1" applyFont="1" applyBorder="1" applyAlignment="1">
      <alignment horizontal="center" vertical="center" wrapText="1"/>
    </xf>
    <xf numFmtId="176" fontId="51" fillId="0" borderId="18" xfId="76" applyNumberFormat="1" applyFont="1" applyBorder="1" applyAlignment="1">
      <alignment horizontal="center" vertical="center" wrapText="1"/>
    </xf>
    <xf numFmtId="176" fontId="51" fillId="0" borderId="31" xfId="76" applyNumberFormat="1" applyFont="1" applyBorder="1" applyAlignment="1">
      <alignment horizontal="center" vertical="center" wrapText="1"/>
    </xf>
    <xf numFmtId="176" fontId="51" fillId="0" borderId="19" xfId="76" applyNumberFormat="1" applyFont="1" applyBorder="1" applyAlignment="1">
      <alignment horizontal="center" vertical="center" wrapText="1"/>
    </xf>
    <xf numFmtId="178" fontId="22" fillId="0" borderId="4" xfId="76" applyNumberFormat="1" applyFont="1" applyBorder="1" applyAlignment="1">
      <alignment horizontal="center" vertical="center" wrapText="1"/>
    </xf>
    <xf numFmtId="176" fontId="22" fillId="0" borderId="26" xfId="76" applyNumberFormat="1" applyFont="1" applyBorder="1" applyAlignment="1">
      <alignment horizontal="center" vertical="center" wrapText="1"/>
    </xf>
    <xf numFmtId="176" fontId="22" fillId="0" borderId="0" xfId="76" applyNumberFormat="1" applyFont="1" applyAlignment="1">
      <alignment horizontal="center" vertical="center" wrapText="1"/>
    </xf>
    <xf numFmtId="176" fontId="22" fillId="0" borderId="13" xfId="76" applyNumberFormat="1" applyFont="1" applyBorder="1" applyAlignment="1">
      <alignment horizontal="center" vertical="center" wrapText="1"/>
    </xf>
    <xf numFmtId="176" fontId="51" fillId="0" borderId="20" xfId="76" applyNumberFormat="1" applyFont="1" applyBorder="1" applyAlignment="1">
      <alignment horizontal="center" vertical="center" wrapText="1"/>
    </xf>
    <xf numFmtId="176" fontId="51" fillId="0" borderId="0" xfId="76" applyNumberFormat="1" applyFont="1" applyAlignment="1">
      <alignment horizontal="center" vertical="center" wrapText="1"/>
    </xf>
    <xf numFmtId="176" fontId="51" fillId="0" borderId="21" xfId="76" applyNumberFormat="1" applyFont="1" applyBorder="1" applyAlignment="1">
      <alignment horizontal="center" vertical="center" wrapText="1"/>
    </xf>
    <xf numFmtId="176" fontId="51" fillId="0" borderId="32" xfId="76" applyNumberFormat="1" applyFont="1" applyBorder="1" applyAlignment="1">
      <alignment horizontal="center" vertical="center" wrapText="1"/>
    </xf>
    <xf numFmtId="176" fontId="51" fillId="0" borderId="13" xfId="76" applyNumberFormat="1" applyFont="1" applyBorder="1" applyAlignment="1">
      <alignment horizontal="center" vertical="center" wrapText="1"/>
    </xf>
    <xf numFmtId="176" fontId="51" fillId="0" borderId="30" xfId="76" applyNumberFormat="1" applyFont="1" applyBorder="1" applyAlignment="1">
      <alignment horizontal="center" vertical="center" wrapText="1"/>
    </xf>
    <xf numFmtId="176" fontId="51" fillId="0" borderId="15" xfId="76" applyNumberFormat="1" applyFont="1" applyBorder="1" applyAlignment="1">
      <alignment horizontal="center" vertical="center" wrapText="1"/>
    </xf>
    <xf numFmtId="0" fontId="52" fillId="0" borderId="0" xfId="76" applyFont="1" applyAlignment="1">
      <alignment horizontal="center"/>
    </xf>
    <xf numFmtId="178" fontId="9" fillId="0" borderId="4" xfId="76" applyNumberFormat="1" applyFont="1" applyBorder="1" applyAlignment="1">
      <alignment horizontal="center"/>
    </xf>
    <xf numFmtId="9" fontId="22" fillId="0" borderId="0" xfId="1" applyFont="1" applyBorder="1" applyAlignment="1">
      <alignment horizontal="center" vertical="center" wrapText="1"/>
    </xf>
    <xf numFmtId="9" fontId="22" fillId="0" borderId="13" xfId="1" applyFont="1" applyBorder="1" applyAlignment="1">
      <alignment horizontal="center" vertical="center" wrapText="1"/>
    </xf>
    <xf numFmtId="9" fontId="22" fillId="0" borderId="30" xfId="1" applyFont="1" applyFill="1" applyBorder="1" applyAlignment="1">
      <alignment horizontal="center" vertical="center" wrapText="1"/>
    </xf>
    <xf numFmtId="177" fontId="9" fillId="0" borderId="0" xfId="1" applyNumberFormat="1" applyFont="1" applyFill="1" applyBorder="1" applyAlignment="1">
      <alignment horizontal="center"/>
    </xf>
    <xf numFmtId="177" fontId="9" fillId="0" borderId="14" xfId="1" applyNumberFormat="1" applyFont="1" applyFill="1" applyBorder="1" applyAlignment="1">
      <alignment horizontal="center"/>
    </xf>
    <xf numFmtId="179" fontId="9" fillId="0" borderId="0" xfId="1" applyNumberFormat="1" applyFont="1" applyFill="1" applyBorder="1" applyAlignment="1">
      <alignment horizontal="center"/>
    </xf>
    <xf numFmtId="178" fontId="9" fillId="0" borderId="16" xfId="76" applyNumberFormat="1" applyFont="1" applyBorder="1" applyAlignment="1">
      <alignment horizontal="center"/>
    </xf>
    <xf numFmtId="178" fontId="9" fillId="0" borderId="0" xfId="76" applyNumberFormat="1" applyFont="1" applyAlignment="1">
      <alignment horizontal="center"/>
    </xf>
    <xf numFmtId="176" fontId="9" fillId="0" borderId="0" xfId="76" applyNumberFormat="1" applyFont="1"/>
    <xf numFmtId="176" fontId="53" fillId="0" borderId="0" xfId="76" applyNumberFormat="1" applyFont="1"/>
    <xf numFmtId="177" fontId="9" fillId="0" borderId="0" xfId="1" applyNumberFormat="1" applyFont="1" applyFill="1" applyAlignment="1"/>
    <xf numFmtId="177" fontId="9" fillId="0" borderId="0" xfId="1" applyNumberFormat="1" applyFont="1" applyFill="1" applyAlignment="1">
      <alignment horizontal="center"/>
    </xf>
    <xf numFmtId="177" fontId="9" fillId="0" borderId="0" xfId="1" quotePrefix="1" applyNumberFormat="1" applyFont="1" applyFill="1" applyAlignment="1">
      <alignment horizontal="center"/>
    </xf>
    <xf numFmtId="176" fontId="48" fillId="0" borderId="15" xfId="76" applyNumberFormat="1" applyFont="1" applyBorder="1" applyAlignment="1">
      <alignment horizontal="center" vertical="center"/>
    </xf>
    <xf numFmtId="176" fontId="22" fillId="0" borderId="32" xfId="76" applyNumberFormat="1" applyFont="1" applyBorder="1" applyAlignment="1">
      <alignment horizontal="center" vertical="center" wrapText="1"/>
    </xf>
    <xf numFmtId="176" fontId="22" fillId="0" borderId="21" xfId="76" applyNumberFormat="1" applyFont="1" applyBorder="1" applyAlignment="1">
      <alignment horizontal="center" vertical="center" wrapText="1"/>
    </xf>
    <xf numFmtId="176" fontId="22" fillId="0" borderId="14" xfId="76" applyNumberFormat="1" applyFont="1" applyBorder="1" applyAlignment="1">
      <alignment horizontal="center" vertical="center" wrapText="1"/>
    </xf>
    <xf numFmtId="176" fontId="22" fillId="0" borderId="28" xfId="76" applyNumberFormat="1" applyFont="1" applyBorder="1" applyAlignment="1">
      <alignment horizontal="center" vertical="center" wrapText="1"/>
    </xf>
    <xf numFmtId="176" fontId="22" fillId="0" borderId="18" xfId="76" applyNumberFormat="1" applyFont="1" applyBorder="1" applyAlignment="1">
      <alignment horizontal="center" vertical="center" wrapText="1"/>
    </xf>
    <xf numFmtId="0" fontId="52" fillId="0" borderId="65" xfId="76" applyFont="1" applyBorder="1" applyAlignment="1">
      <alignment horizontal="center"/>
    </xf>
    <xf numFmtId="177" fontId="22" fillId="0" borderId="29" xfId="1" applyNumberFormat="1" applyFont="1" applyBorder="1" applyAlignment="1">
      <alignment horizontal="center"/>
    </xf>
    <xf numFmtId="177" fontId="22" fillId="0" borderId="24" xfId="1" applyNumberFormat="1" applyFont="1" applyBorder="1" applyAlignment="1">
      <alignment horizontal="center" vertical="center" wrapText="1"/>
    </xf>
    <xf numFmtId="0" fontId="22" fillId="0" borderId="0" xfId="76" applyFont="1"/>
    <xf numFmtId="179" fontId="44" fillId="0" borderId="0" xfId="76" applyNumberFormat="1" applyFont="1"/>
    <xf numFmtId="179" fontId="48" fillId="0" borderId="4" xfId="76" applyNumberFormat="1" applyFont="1" applyBorder="1" applyAlignment="1">
      <alignment horizontal="center" vertical="center"/>
    </xf>
    <xf numFmtId="179" fontId="56" fillId="0" borderId="4" xfId="76" applyNumberFormat="1" applyFont="1" applyBorder="1" applyAlignment="1">
      <alignment horizontal="center" vertical="center"/>
    </xf>
    <xf numFmtId="176" fontId="51" fillId="0" borderId="30" xfId="76" applyNumberFormat="1" applyFont="1" applyBorder="1" applyAlignment="1">
      <alignment horizontal="center" vertical="center" wrapText="1"/>
    </xf>
    <xf numFmtId="176" fontId="51" fillId="0" borderId="15" xfId="76" applyNumberFormat="1" applyFont="1" applyBorder="1" applyAlignment="1">
      <alignment horizontal="center" vertical="center" wrapText="1"/>
    </xf>
    <xf numFmtId="179" fontId="22" fillId="0" borderId="4" xfId="76" applyNumberFormat="1" applyFont="1" applyBorder="1" applyAlignment="1">
      <alignment horizontal="center" vertical="center" wrapText="1"/>
    </xf>
    <xf numFmtId="176" fontId="51" fillId="0" borderId="26" xfId="76" applyNumberFormat="1" applyFont="1" applyBorder="1" applyAlignment="1">
      <alignment horizontal="center" vertical="center" wrapText="1"/>
    </xf>
    <xf numFmtId="176" fontId="51" fillId="0" borderId="14" xfId="76" applyNumberFormat="1" applyFont="1" applyBorder="1" applyAlignment="1">
      <alignment horizontal="center" vertical="center" wrapText="1"/>
    </xf>
    <xf numFmtId="179" fontId="22" fillId="0" borderId="16" xfId="76" applyNumberFormat="1" applyFont="1" applyBorder="1" applyAlignment="1">
      <alignment horizontal="center" vertical="center" wrapText="1"/>
    </xf>
    <xf numFmtId="179" fontId="9" fillId="0" borderId="22" xfId="76" applyNumberFormat="1" applyFont="1" applyBorder="1" applyAlignment="1">
      <alignment horizontal="center"/>
    </xf>
    <xf numFmtId="179" fontId="9" fillId="0" borderId="0" xfId="76" applyNumberFormat="1" applyFont="1"/>
    <xf numFmtId="176" fontId="46" fillId="0" borderId="6" xfId="76" applyNumberFormat="1" applyFont="1" applyBorder="1" applyAlignment="1">
      <alignment vertical="center"/>
    </xf>
    <xf numFmtId="176" fontId="46" fillId="0" borderId="7" xfId="76" applyNumberFormat="1" applyFont="1" applyBorder="1" applyAlignment="1">
      <alignment vertical="center"/>
    </xf>
    <xf numFmtId="176" fontId="46" fillId="0" borderId="8" xfId="76" applyNumberFormat="1" applyFont="1" applyBorder="1" applyAlignment="1">
      <alignment vertical="center"/>
    </xf>
    <xf numFmtId="176" fontId="62" fillId="0" borderId="6" xfId="76" applyNumberFormat="1" applyFont="1" applyBorder="1" applyAlignment="1">
      <alignment vertical="center"/>
    </xf>
    <xf numFmtId="176" fontId="62" fillId="0" borderId="7" xfId="76" applyNumberFormat="1" applyFont="1" applyBorder="1" applyAlignment="1">
      <alignment vertical="center"/>
    </xf>
    <xf numFmtId="176" fontId="62" fillId="0" borderId="8" xfId="76" applyNumberFormat="1" applyFont="1" applyBorder="1" applyAlignment="1">
      <alignment vertical="center"/>
    </xf>
    <xf numFmtId="0" fontId="63" fillId="0" borderId="6" xfId="2" applyFont="1" applyBorder="1" applyAlignment="1">
      <alignment horizontal="left" vertical="center"/>
    </xf>
    <xf numFmtId="0" fontId="63" fillId="0" borderId="7" xfId="2" applyFont="1" applyBorder="1" applyAlignment="1">
      <alignment horizontal="left" vertical="center"/>
    </xf>
    <xf numFmtId="0" fontId="63" fillId="0" borderId="8" xfId="2" applyFont="1" applyBorder="1" applyAlignment="1">
      <alignment horizontal="left" vertical="center"/>
    </xf>
    <xf numFmtId="176" fontId="60" fillId="0" borderId="0" xfId="2" applyNumberFormat="1" applyFont="1" applyBorder="1" applyAlignment="1">
      <alignment horizontal="center" vertical="center"/>
    </xf>
    <xf numFmtId="176" fontId="60" fillId="0" borderId="1" xfId="2" applyNumberFormat="1" applyFont="1" applyBorder="1" applyAlignment="1">
      <alignment horizontal="center" vertical="center"/>
    </xf>
    <xf numFmtId="176" fontId="60" fillId="0" borderId="2" xfId="2" applyNumberFormat="1" applyFont="1" applyBorder="1" applyAlignment="1">
      <alignment horizontal="center" vertical="center"/>
    </xf>
    <xf numFmtId="176" fontId="60" fillId="0" borderId="15" xfId="2" applyNumberFormat="1" applyFont="1" applyBorder="1" applyAlignment="1">
      <alignment horizontal="center" vertical="center"/>
    </xf>
    <xf numFmtId="0" fontId="51" fillId="0" borderId="14" xfId="2" applyFont="1" applyBorder="1" applyAlignment="1">
      <alignment horizontal="center" vertical="center" wrapText="1"/>
    </xf>
    <xf numFmtId="0" fontId="51" fillId="0" borderId="0" xfId="2" applyFont="1" applyBorder="1" applyAlignment="1">
      <alignment horizontal="center" vertical="center" wrapText="1"/>
    </xf>
    <xf numFmtId="0" fontId="51" fillId="0" borderId="13" xfId="2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176" fontId="60" fillId="0" borderId="50" xfId="2" applyNumberFormat="1" applyFont="1" applyBorder="1" applyAlignment="1">
      <alignment horizontal="center" vertical="center" wrapText="1"/>
    </xf>
    <xf numFmtId="176" fontId="60" fillId="0" borderId="2" xfId="2" applyNumberFormat="1" applyFont="1" applyBorder="1" applyAlignment="1">
      <alignment horizontal="center" vertical="center" wrapText="1"/>
    </xf>
    <xf numFmtId="177" fontId="51" fillId="0" borderId="14" xfId="1" applyNumberFormat="1" applyFont="1" applyBorder="1" applyAlignment="1">
      <alignment horizontal="center" vertical="center" wrapText="1"/>
    </xf>
    <xf numFmtId="177" fontId="51" fillId="0" borderId="0" xfId="1" applyNumberFormat="1" applyFont="1" applyBorder="1" applyAlignment="1">
      <alignment horizontal="center" vertical="center" wrapText="1"/>
    </xf>
    <xf numFmtId="177" fontId="51" fillId="0" borderId="13" xfId="1" applyNumberFormat="1" applyFont="1" applyBorder="1" applyAlignment="1">
      <alignment horizontal="center" vertical="center" wrapText="1"/>
    </xf>
    <xf numFmtId="0" fontId="51" fillId="0" borderId="15" xfId="2" applyFont="1" applyBorder="1" applyAlignment="1">
      <alignment horizontal="center" vertical="center" wrapText="1"/>
    </xf>
    <xf numFmtId="176" fontId="62" fillId="0" borderId="6" xfId="6" applyNumberFormat="1" applyFont="1" applyBorder="1" applyAlignment="1">
      <alignment horizontal="left" vertical="center"/>
    </xf>
    <xf numFmtId="176" fontId="62" fillId="0" borderId="7" xfId="6" applyNumberFormat="1" applyFont="1" applyBorder="1" applyAlignment="1">
      <alignment horizontal="left" vertical="center"/>
    </xf>
    <xf numFmtId="176" fontId="62" fillId="0" borderId="8" xfId="6" applyNumberFormat="1" applyFont="1" applyBorder="1" applyAlignment="1">
      <alignment horizontal="left" vertical="center"/>
    </xf>
    <xf numFmtId="176" fontId="51" fillId="0" borderId="65" xfId="6" applyNumberFormat="1" applyFont="1" applyBorder="1" applyAlignment="1">
      <alignment horizontal="center" vertical="center" wrapText="1"/>
    </xf>
    <xf numFmtId="176" fontId="51" fillId="0" borderId="5" xfId="6" applyNumberFormat="1" applyFont="1" applyBorder="1" applyAlignment="1">
      <alignment horizontal="center" vertical="center" wrapText="1"/>
    </xf>
    <xf numFmtId="176" fontId="51" fillId="0" borderId="19" xfId="6" applyNumberFormat="1" applyFont="1" applyBorder="1" applyAlignment="1">
      <alignment horizontal="center" vertical="center" wrapText="1"/>
    </xf>
    <xf numFmtId="176" fontId="51" fillId="0" borderId="26" xfId="6" applyNumberFormat="1" applyFont="1" applyBorder="1" applyAlignment="1">
      <alignment horizontal="center" vertical="center" wrapText="1"/>
    </xf>
    <xf numFmtId="176" fontId="51" fillId="0" borderId="0" xfId="6" applyNumberFormat="1" applyFont="1" applyBorder="1" applyAlignment="1">
      <alignment horizontal="center" vertical="center" wrapText="1"/>
    </xf>
    <xf numFmtId="176" fontId="51" fillId="0" borderId="21" xfId="6" applyNumberFormat="1" applyFont="1" applyBorder="1" applyAlignment="1">
      <alignment horizontal="center" vertical="center" wrapText="1"/>
    </xf>
    <xf numFmtId="176" fontId="51" fillId="0" borderId="46" xfId="6" applyNumberFormat="1" applyFont="1" applyBorder="1" applyAlignment="1">
      <alignment horizontal="center" vertical="center" wrapText="1"/>
    </xf>
    <xf numFmtId="176" fontId="51" fillId="0" borderId="28" xfId="6" applyNumberFormat="1" applyFont="1" applyBorder="1" applyAlignment="1">
      <alignment horizontal="center" vertical="center" wrapText="1"/>
    </xf>
    <xf numFmtId="176" fontId="22" fillId="0" borderId="1" xfId="6" applyNumberFormat="1" applyFont="1" applyBorder="1" applyAlignment="1">
      <alignment horizontal="center" vertical="center" wrapText="1"/>
    </xf>
    <xf numFmtId="176" fontId="51" fillId="0" borderId="1" xfId="6" applyNumberFormat="1" applyFont="1" applyBorder="1" applyAlignment="1">
      <alignment horizontal="center" vertical="center" wrapText="1"/>
    </xf>
    <xf numFmtId="176" fontId="51" fillId="0" borderId="2" xfId="6" applyNumberFormat="1" applyFont="1" applyBorder="1" applyAlignment="1">
      <alignment horizontal="center" vertical="center" wrapText="1"/>
    </xf>
    <xf numFmtId="176" fontId="22" fillId="0" borderId="0" xfId="6" applyNumberFormat="1" applyFont="1" applyBorder="1" applyAlignment="1">
      <alignment horizontal="center" vertical="center" wrapText="1"/>
    </xf>
    <xf numFmtId="176" fontId="57" fillId="0" borderId="14" xfId="6" applyNumberFormat="1" applyFont="1" applyFill="1" applyBorder="1" applyAlignment="1">
      <alignment horizontal="center" vertical="center" wrapText="1"/>
    </xf>
    <xf numFmtId="176" fontId="57" fillId="0" borderId="0" xfId="6" applyNumberFormat="1" applyFont="1" applyFill="1" applyBorder="1" applyAlignment="1">
      <alignment horizontal="center" vertical="center" wrapText="1"/>
    </xf>
    <xf numFmtId="176" fontId="62" fillId="0" borderId="6" xfId="6" applyNumberFormat="1" applyFont="1" applyFill="1" applyBorder="1" applyAlignment="1">
      <alignment horizontal="left" vertical="center" wrapText="1"/>
    </xf>
    <xf numFmtId="176" fontId="62" fillId="0" borderId="7" xfId="6" applyNumberFormat="1" applyFont="1" applyFill="1" applyBorder="1" applyAlignment="1">
      <alignment horizontal="left" vertical="center" wrapText="1"/>
    </xf>
    <xf numFmtId="176" fontId="62" fillId="0" borderId="8" xfId="6" applyNumberFormat="1" applyFont="1" applyFill="1" applyBorder="1" applyAlignment="1">
      <alignment horizontal="left" vertical="center" wrapText="1"/>
    </xf>
    <xf numFmtId="176" fontId="57" fillId="0" borderId="26" xfId="6" applyNumberFormat="1" applyFont="1" applyFill="1" applyBorder="1" applyAlignment="1">
      <alignment horizontal="center" vertical="center" wrapText="1"/>
    </xf>
    <xf numFmtId="176" fontId="57" fillId="0" borderId="13" xfId="6" applyNumberFormat="1" applyFont="1" applyFill="1" applyBorder="1" applyAlignment="1">
      <alignment horizontal="center" vertical="center" wrapText="1"/>
    </xf>
    <xf numFmtId="176" fontId="57" fillId="0" borderId="15" xfId="6" applyNumberFormat="1" applyFont="1" applyFill="1" applyBorder="1" applyAlignment="1">
      <alignment horizontal="center" vertical="center" wrapText="1"/>
    </xf>
    <xf numFmtId="176" fontId="48" fillId="0" borderId="9" xfId="6" applyNumberFormat="1" applyFont="1" applyFill="1" applyBorder="1" applyAlignment="1">
      <alignment horizontal="center" vertical="center"/>
    </xf>
    <xf numFmtId="176" fontId="50" fillId="0" borderId="0" xfId="6" applyNumberFormat="1" applyFont="1" applyFill="1" applyBorder="1" applyAlignment="1">
      <alignment horizontal="center" vertical="center" wrapText="1"/>
    </xf>
    <xf numFmtId="9" fontId="50" fillId="0" borderId="0" xfId="1" applyFont="1" applyFill="1" applyBorder="1" applyAlignment="1">
      <alignment horizontal="center" vertical="center" wrapText="1"/>
    </xf>
    <xf numFmtId="178" fontId="9" fillId="0" borderId="36" xfId="6" applyNumberFormat="1" applyFont="1" applyFill="1" applyBorder="1" applyAlignment="1">
      <alignment horizontal="left" vertical="top" wrapText="1"/>
    </xf>
    <xf numFmtId="178" fontId="9" fillId="0" borderId="37" xfId="6" applyNumberFormat="1" applyFont="1" applyFill="1" applyBorder="1" applyAlignment="1">
      <alignment horizontal="left" vertical="top"/>
    </xf>
    <xf numFmtId="178" fontId="9" fillId="0" borderId="38" xfId="6" applyNumberFormat="1" applyFont="1" applyFill="1" applyBorder="1" applyAlignment="1">
      <alignment horizontal="left" vertical="top"/>
    </xf>
    <xf numFmtId="178" fontId="9" fillId="0" borderId="4" xfId="6" applyNumberFormat="1" applyFont="1" applyFill="1" applyBorder="1" applyAlignment="1">
      <alignment horizontal="left" vertical="top"/>
    </xf>
    <xf numFmtId="178" fontId="9" fillId="0" borderId="0" xfId="6" applyNumberFormat="1" applyFont="1" applyFill="1" applyBorder="1" applyAlignment="1">
      <alignment horizontal="left" vertical="top"/>
    </xf>
    <xf numFmtId="178" fontId="9" fillId="0" borderId="15" xfId="6" applyNumberFormat="1" applyFont="1" applyFill="1" applyBorder="1" applyAlignment="1">
      <alignment horizontal="left" vertical="top"/>
    </xf>
    <xf numFmtId="178" fontId="9" fillId="0" borderId="22" xfId="6" applyNumberFormat="1" applyFont="1" applyFill="1" applyBorder="1" applyAlignment="1">
      <alignment horizontal="left" vertical="top"/>
    </xf>
    <xf numFmtId="178" fontId="9" fillId="0" borderId="23" xfId="6" applyNumberFormat="1" applyFont="1" applyFill="1" applyBorder="1" applyAlignment="1">
      <alignment horizontal="left" vertical="top"/>
    </xf>
    <xf numFmtId="178" fontId="9" fillId="0" borderId="35" xfId="6" applyNumberFormat="1" applyFont="1" applyFill="1" applyBorder="1" applyAlignment="1">
      <alignment horizontal="left" vertical="top"/>
    </xf>
    <xf numFmtId="178" fontId="9" fillId="0" borderId="36" xfId="6" applyNumberFormat="1" applyFont="1" applyBorder="1" applyAlignment="1">
      <alignment horizontal="left" vertical="top" wrapText="1"/>
    </xf>
    <xf numFmtId="178" fontId="9" fillId="0" borderId="37" xfId="6" applyNumberFormat="1" applyFont="1" applyBorder="1" applyAlignment="1">
      <alignment horizontal="left" vertical="top"/>
    </xf>
    <xf numFmtId="178" fontId="9" fillId="0" borderId="38" xfId="6" applyNumberFormat="1" applyFont="1" applyBorder="1" applyAlignment="1">
      <alignment horizontal="left" vertical="top"/>
    </xf>
    <xf numFmtId="178" fontId="9" fillId="0" borderId="4" xfId="6" applyNumberFormat="1" applyFont="1" applyBorder="1" applyAlignment="1">
      <alignment horizontal="left" vertical="top"/>
    </xf>
    <xf numFmtId="178" fontId="9" fillId="0" borderId="0" xfId="6" applyNumberFormat="1" applyFont="1" applyBorder="1" applyAlignment="1">
      <alignment horizontal="left" vertical="top"/>
    </xf>
    <xf numFmtId="178" fontId="9" fillId="0" borderId="15" xfId="6" applyNumberFormat="1" applyFont="1" applyBorder="1" applyAlignment="1">
      <alignment horizontal="left" vertical="top"/>
    </xf>
    <xf numFmtId="178" fontId="9" fillId="0" borderId="22" xfId="6" applyNumberFormat="1" applyFont="1" applyBorder="1" applyAlignment="1">
      <alignment horizontal="left" vertical="top"/>
    </xf>
    <xf numFmtId="178" fontId="9" fillId="0" borderId="23" xfId="6" applyNumberFormat="1" applyFont="1" applyBorder="1" applyAlignment="1">
      <alignment horizontal="left" vertical="top"/>
    </xf>
    <xf numFmtId="178" fontId="9" fillId="0" borderId="35" xfId="6" applyNumberFormat="1" applyFont="1" applyBorder="1" applyAlignment="1">
      <alignment horizontal="left" vertical="top"/>
    </xf>
    <xf numFmtId="176" fontId="62" fillId="0" borderId="6" xfId="6" applyNumberFormat="1" applyFont="1" applyBorder="1" applyAlignment="1">
      <alignment horizontal="left" vertical="center" wrapText="1"/>
    </xf>
    <xf numFmtId="176" fontId="62" fillId="0" borderId="7" xfId="6" applyNumberFormat="1" applyFont="1" applyBorder="1" applyAlignment="1">
      <alignment horizontal="left" vertical="center" wrapText="1"/>
    </xf>
    <xf numFmtId="176" fontId="62" fillId="0" borderId="8" xfId="6" applyNumberFormat="1" applyFont="1" applyBorder="1" applyAlignment="1">
      <alignment horizontal="left" vertical="center" wrapText="1"/>
    </xf>
    <xf numFmtId="176" fontId="57" fillId="0" borderId="26" xfId="6" applyNumberFormat="1" applyFont="1" applyBorder="1" applyAlignment="1">
      <alignment horizontal="center" vertical="center" wrapText="1"/>
    </xf>
    <xf numFmtId="176" fontId="57" fillId="0" borderId="0" xfId="6" applyNumberFormat="1" applyFont="1" applyBorder="1" applyAlignment="1">
      <alignment horizontal="center" vertical="center" wrapText="1"/>
    </xf>
    <xf numFmtId="176" fontId="57" fillId="0" borderId="14" xfId="6" applyNumberFormat="1" applyFont="1" applyBorder="1" applyAlignment="1">
      <alignment horizontal="center" vertical="center" wrapText="1"/>
    </xf>
    <xf numFmtId="176" fontId="57" fillId="0" borderId="15" xfId="6" applyNumberFormat="1" applyFont="1" applyBorder="1" applyAlignment="1">
      <alignment horizontal="center" vertical="center" wrapText="1"/>
    </xf>
    <xf numFmtId="176" fontId="51" fillId="0" borderId="14" xfId="6" applyNumberFormat="1" applyFont="1" applyBorder="1" applyAlignment="1">
      <alignment horizontal="center" vertical="center" wrapText="1"/>
    </xf>
    <xf numFmtId="176" fontId="51" fillId="0" borderId="30" xfId="6" applyNumberFormat="1" applyFont="1" applyBorder="1" applyAlignment="1">
      <alignment horizontal="center" vertical="center" wrapText="1"/>
    </xf>
    <xf numFmtId="176" fontId="56" fillId="0" borderId="26" xfId="6" applyNumberFormat="1" applyFont="1" applyBorder="1" applyAlignment="1">
      <alignment horizontal="center" vertical="center"/>
    </xf>
    <xf numFmtId="176" fontId="56" fillId="0" borderId="0" xfId="6" applyNumberFormat="1" applyFont="1" applyBorder="1" applyAlignment="1">
      <alignment horizontal="center" vertical="center"/>
    </xf>
    <xf numFmtId="176" fontId="56" fillId="0" borderId="30" xfId="6" applyNumberFormat="1" applyFont="1" applyBorder="1" applyAlignment="1">
      <alignment horizontal="center" vertical="center"/>
    </xf>
    <xf numFmtId="176" fontId="56" fillId="0" borderId="15" xfId="6" applyNumberFormat="1" applyFont="1" applyBorder="1" applyAlignment="1">
      <alignment horizontal="center" vertical="center"/>
    </xf>
    <xf numFmtId="176" fontId="51" fillId="0" borderId="13" xfId="6" applyNumberFormat="1" applyFont="1" applyBorder="1" applyAlignment="1">
      <alignment horizontal="center" vertical="center" wrapText="1"/>
    </xf>
    <xf numFmtId="176" fontId="51" fillId="0" borderId="15" xfId="6" applyNumberFormat="1" applyFont="1" applyBorder="1" applyAlignment="1">
      <alignment horizontal="center" vertical="center" wrapText="1"/>
    </xf>
    <xf numFmtId="178" fontId="9" fillId="0" borderId="36" xfId="76" applyNumberFormat="1" applyFont="1" applyBorder="1" applyAlignment="1">
      <alignment horizontal="left" vertical="top" wrapText="1"/>
    </xf>
    <xf numFmtId="178" fontId="9" fillId="0" borderId="37" xfId="76" applyNumberFormat="1" applyFont="1" applyBorder="1" applyAlignment="1">
      <alignment horizontal="left" vertical="top"/>
    </xf>
    <xf numFmtId="178" fontId="9" fillId="0" borderId="38" xfId="76" applyNumberFormat="1" applyFont="1" applyBorder="1" applyAlignment="1">
      <alignment horizontal="left" vertical="top"/>
    </xf>
    <xf numFmtId="178" fontId="9" fillId="0" borderId="4" xfId="76" applyNumberFormat="1" applyFont="1" applyBorder="1" applyAlignment="1">
      <alignment horizontal="left" vertical="top"/>
    </xf>
    <xf numFmtId="178" fontId="9" fillId="0" borderId="0" xfId="76" applyNumberFormat="1" applyFont="1" applyAlignment="1">
      <alignment horizontal="left" vertical="top"/>
    </xf>
    <xf numFmtId="178" fontId="9" fillId="0" borderId="15" xfId="76" applyNumberFormat="1" applyFont="1" applyBorder="1" applyAlignment="1">
      <alignment horizontal="left" vertical="top"/>
    </xf>
    <xf numFmtId="178" fontId="9" fillId="0" borderId="22" xfId="76" applyNumberFormat="1" applyFont="1" applyBorder="1" applyAlignment="1">
      <alignment horizontal="left" vertical="top"/>
    </xf>
    <xf numFmtId="178" fontId="9" fillId="0" borderId="23" xfId="76" applyNumberFormat="1" applyFont="1" applyBorder="1" applyAlignment="1">
      <alignment horizontal="left" vertical="top"/>
    </xf>
    <xf numFmtId="178" fontId="9" fillId="0" borderId="35" xfId="76" applyNumberFormat="1" applyFont="1" applyBorder="1" applyAlignment="1">
      <alignment horizontal="left" vertical="top"/>
    </xf>
    <xf numFmtId="176" fontId="57" fillId="0" borderId="26" xfId="76" applyNumberFormat="1" applyFont="1" applyBorder="1" applyAlignment="1">
      <alignment horizontal="center" vertical="center" wrapText="1"/>
    </xf>
    <xf numFmtId="176" fontId="57" fillId="0" borderId="0" xfId="76" applyNumberFormat="1" applyFont="1" applyAlignment="1">
      <alignment horizontal="center" vertical="center" wrapText="1"/>
    </xf>
    <xf numFmtId="176" fontId="57" fillId="0" borderId="13" xfId="76" applyNumberFormat="1" applyFont="1" applyBorder="1" applyAlignment="1">
      <alignment horizontal="center" vertical="center" wrapText="1"/>
    </xf>
    <xf numFmtId="176" fontId="57" fillId="0" borderId="14" xfId="76" applyNumberFormat="1" applyFont="1" applyBorder="1" applyAlignment="1">
      <alignment horizontal="center" vertical="center" wrapText="1"/>
    </xf>
    <xf numFmtId="176" fontId="57" fillId="0" borderId="30" xfId="76" applyNumberFormat="1" applyFont="1" applyBorder="1" applyAlignment="1">
      <alignment horizontal="center" vertical="center" wrapText="1"/>
    </xf>
    <xf numFmtId="176" fontId="57" fillId="0" borderId="15" xfId="76" applyNumberFormat="1" applyFont="1" applyBorder="1" applyAlignment="1">
      <alignment horizontal="center" vertical="center" wrapText="1"/>
    </xf>
    <xf numFmtId="176" fontId="51" fillId="0" borderId="14" xfId="76" applyNumberFormat="1" applyFont="1" applyBorder="1" applyAlignment="1">
      <alignment horizontal="center" vertical="center" wrapText="1"/>
    </xf>
    <xf numFmtId="176" fontId="51" fillId="0" borderId="0" xfId="76" applyNumberFormat="1" applyFont="1" applyAlignment="1">
      <alignment horizontal="center" vertical="center" wrapText="1"/>
    </xf>
    <xf numFmtId="176" fontId="51" fillId="0" borderId="15" xfId="76" applyNumberFormat="1" applyFont="1" applyBorder="1" applyAlignment="1">
      <alignment horizontal="center" vertical="center" wrapText="1"/>
    </xf>
    <xf numFmtId="176" fontId="56" fillId="0" borderId="26" xfId="76" applyNumberFormat="1" applyFont="1" applyBorder="1" applyAlignment="1">
      <alignment horizontal="center" vertical="center"/>
    </xf>
    <xf numFmtId="176" fontId="56" fillId="0" borderId="0" xfId="76" applyNumberFormat="1" applyFont="1" applyAlignment="1">
      <alignment horizontal="center" vertical="center"/>
    </xf>
    <xf numFmtId="176" fontId="56" fillId="0" borderId="30" xfId="76" applyNumberFormat="1" applyFont="1" applyBorder="1" applyAlignment="1">
      <alignment horizontal="center" vertical="center"/>
    </xf>
    <xf numFmtId="176" fontId="56" fillId="0" borderId="15" xfId="76" applyNumberFormat="1" applyFont="1" applyBorder="1" applyAlignment="1">
      <alignment horizontal="center" vertical="center"/>
    </xf>
    <xf numFmtId="176" fontId="51" fillId="0" borderId="26" xfId="76" applyNumberFormat="1" applyFont="1" applyBorder="1" applyAlignment="1">
      <alignment horizontal="center" vertical="center" wrapText="1"/>
    </xf>
    <xf numFmtId="176" fontId="51" fillId="0" borderId="30" xfId="76" applyNumberFormat="1" applyFont="1" applyBorder="1" applyAlignment="1">
      <alignment horizontal="center" vertical="center" wrapText="1"/>
    </xf>
    <xf numFmtId="176" fontId="62" fillId="0" borderId="6" xfId="6" applyNumberFormat="1" applyFont="1" applyBorder="1" applyAlignment="1">
      <alignment horizontal="center" vertical="center"/>
    </xf>
    <xf numFmtId="176" fontId="62" fillId="0" borderId="7" xfId="6" applyNumberFormat="1" applyFont="1" applyBorder="1" applyAlignment="1">
      <alignment horizontal="center" vertical="center"/>
    </xf>
    <xf numFmtId="176" fontId="62" fillId="0" borderId="8" xfId="6" applyNumberFormat="1" applyFont="1" applyBorder="1" applyAlignment="1">
      <alignment horizontal="center" vertical="center"/>
    </xf>
    <xf numFmtId="176" fontId="22" fillId="0" borderId="30" xfId="6" applyNumberFormat="1" applyFont="1" applyBorder="1" applyAlignment="1">
      <alignment horizontal="center" vertical="center" wrapText="1"/>
    </xf>
    <xf numFmtId="176" fontId="51" fillId="0" borderId="67" xfId="6" applyNumberFormat="1" applyFont="1" applyBorder="1" applyAlignment="1">
      <alignment horizontal="center" vertical="center" wrapText="1"/>
    </xf>
    <xf numFmtId="176" fontId="51" fillId="0" borderId="68" xfId="6" applyNumberFormat="1" applyFont="1" applyBorder="1" applyAlignment="1">
      <alignment horizontal="center" vertical="center" wrapText="1"/>
    </xf>
    <xf numFmtId="176" fontId="62" fillId="0" borderId="36" xfId="6" applyNumberFormat="1" applyFont="1" applyBorder="1" applyAlignment="1">
      <alignment horizontal="center" vertical="center"/>
    </xf>
    <xf numFmtId="176" fontId="62" fillId="0" borderId="37" xfId="6" applyNumberFormat="1" applyFont="1" applyBorder="1" applyAlignment="1">
      <alignment horizontal="center" vertical="center"/>
    </xf>
    <xf numFmtId="176" fontId="62" fillId="0" borderId="38" xfId="6" applyNumberFormat="1" applyFont="1" applyBorder="1" applyAlignment="1">
      <alignment horizontal="center" vertical="center"/>
    </xf>
    <xf numFmtId="176" fontId="46" fillId="0" borderId="36" xfId="6" applyNumberFormat="1" applyFont="1" applyBorder="1" applyAlignment="1">
      <alignment horizontal="center" vertical="center" wrapText="1"/>
    </xf>
    <xf numFmtId="176" fontId="46" fillId="0" borderId="37" xfId="6" applyNumberFormat="1" applyFont="1" applyBorder="1" applyAlignment="1">
      <alignment horizontal="center" vertical="center" wrapText="1"/>
    </xf>
    <xf numFmtId="176" fontId="46" fillId="0" borderId="38" xfId="6" applyNumberFormat="1" applyFont="1" applyBorder="1" applyAlignment="1">
      <alignment horizontal="center" vertical="center" wrapText="1"/>
    </xf>
    <xf numFmtId="176" fontId="9" fillId="0" borderId="0" xfId="6" applyNumberFormat="1" applyFont="1" applyBorder="1" applyAlignment="1">
      <alignment horizontal="center" vertical="center"/>
    </xf>
    <xf numFmtId="176" fontId="9" fillId="0" borderId="15" xfId="6" applyNumberFormat="1" applyFont="1" applyBorder="1" applyAlignment="1">
      <alignment horizontal="center" vertical="center"/>
    </xf>
    <xf numFmtId="176" fontId="9" fillId="0" borderId="13" xfId="6" applyNumberFormat="1" applyFont="1" applyBorder="1" applyAlignment="1">
      <alignment horizontal="center" vertical="center"/>
    </xf>
    <xf numFmtId="176" fontId="17" fillId="0" borderId="0" xfId="2" applyNumberFormat="1" applyFont="1" applyBorder="1" applyAlignment="1">
      <alignment horizontal="center" vertical="center"/>
    </xf>
    <xf numFmtId="176" fontId="17" fillId="0" borderId="1" xfId="2" applyNumberFormat="1" applyFont="1" applyBorder="1" applyAlignment="1">
      <alignment horizontal="center" vertical="center"/>
    </xf>
    <xf numFmtId="176" fontId="17" fillId="0" borderId="2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76" fontId="17" fillId="0" borderId="0" xfId="2" applyNumberFormat="1" applyFont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178" fontId="9" fillId="0" borderId="37" xfId="6" applyNumberFormat="1" applyFont="1" applyBorder="1" applyAlignment="1">
      <alignment horizontal="left" vertical="top" wrapText="1"/>
    </xf>
    <xf numFmtId="178" fontId="9" fillId="0" borderId="38" xfId="6" applyNumberFormat="1" applyFont="1" applyBorder="1" applyAlignment="1">
      <alignment horizontal="left" vertical="top" wrapText="1"/>
    </xf>
    <xf numFmtId="178" fontId="9" fillId="0" borderId="4" xfId="6" applyNumberFormat="1" applyFont="1" applyBorder="1" applyAlignment="1">
      <alignment horizontal="left" vertical="top" wrapText="1"/>
    </xf>
    <xf numFmtId="178" fontId="9" fillId="0" borderId="0" xfId="6" applyNumberFormat="1" applyFont="1" applyBorder="1" applyAlignment="1">
      <alignment horizontal="left" vertical="top" wrapText="1"/>
    </xf>
    <xf numFmtId="178" fontId="9" fillId="0" borderId="15" xfId="6" applyNumberFormat="1" applyFont="1" applyBorder="1" applyAlignment="1">
      <alignment horizontal="left" vertical="top" wrapText="1"/>
    </xf>
    <xf numFmtId="178" fontId="9" fillId="0" borderId="22" xfId="6" applyNumberFormat="1" applyFont="1" applyBorder="1" applyAlignment="1">
      <alignment horizontal="left" vertical="top" wrapText="1"/>
    </xf>
    <xf numFmtId="178" fontId="9" fillId="0" borderId="23" xfId="6" applyNumberFormat="1" applyFont="1" applyBorder="1" applyAlignment="1">
      <alignment horizontal="left" vertical="top" wrapText="1"/>
    </xf>
    <xf numFmtId="178" fontId="9" fillId="0" borderId="35" xfId="6" applyNumberFormat="1" applyFont="1" applyBorder="1" applyAlignment="1">
      <alignment horizontal="left" vertical="top" wrapText="1"/>
    </xf>
    <xf numFmtId="0" fontId="23" fillId="0" borderId="0" xfId="6" applyFont="1" applyFill="1" applyBorder="1" applyAlignment="1">
      <alignment horizontal="center" wrapText="1"/>
    </xf>
    <xf numFmtId="0" fontId="23" fillId="0" borderId="15" xfId="6" applyFont="1" applyFill="1" applyBorder="1" applyAlignment="1">
      <alignment horizontal="center" wrapText="1"/>
    </xf>
    <xf numFmtId="0" fontId="9" fillId="0" borderId="0" xfId="6" applyFont="1" applyFill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9" fontId="50" fillId="0" borderId="69" xfId="1" applyFont="1" applyFill="1" applyBorder="1" applyAlignment="1">
      <alignment horizontal="center" vertical="center" wrapText="1"/>
    </xf>
    <xf numFmtId="9" fontId="50" fillId="0" borderId="9" xfId="1" applyFont="1" applyFill="1" applyBorder="1" applyAlignment="1">
      <alignment horizontal="center" vertical="center" wrapText="1"/>
    </xf>
    <xf numFmtId="9" fontId="50" fillId="0" borderId="50" xfId="1" applyFont="1" applyFill="1" applyBorder="1" applyAlignment="1">
      <alignment horizontal="center" vertical="center" wrapText="1"/>
    </xf>
    <xf numFmtId="49" fontId="50" fillId="0" borderId="9" xfId="1" applyNumberFormat="1" applyFont="1" applyFill="1" applyBorder="1" applyAlignment="1">
      <alignment horizontal="center" vertical="center" wrapText="1"/>
    </xf>
    <xf numFmtId="49" fontId="50" fillId="0" borderId="12" xfId="1" applyNumberFormat="1" applyFont="1" applyFill="1" applyBorder="1" applyAlignment="1">
      <alignment horizontal="center" vertical="center" wrapText="1"/>
    </xf>
    <xf numFmtId="0" fontId="71" fillId="0" borderId="9" xfId="9" applyFont="1" applyBorder="1" applyAlignment="1" applyProtection="1">
      <alignment horizontal="center" vertical="top" wrapText="1"/>
    </xf>
    <xf numFmtId="0" fontId="71" fillId="0" borderId="9" xfId="9" applyFont="1" applyBorder="1" applyAlignment="1">
      <alignment horizontal="center"/>
    </xf>
    <xf numFmtId="0" fontId="71" fillId="0" borderId="50" xfId="9" applyFont="1" applyBorder="1" applyAlignment="1">
      <alignment horizontal="center"/>
    </xf>
    <xf numFmtId="0" fontId="71" fillId="0" borderId="0" xfId="9" applyFont="1" applyBorder="1" applyAlignment="1" applyProtection="1">
      <alignment horizontal="center" vertical="top" wrapText="1"/>
    </xf>
    <xf numFmtId="0" fontId="71" fillId="0" borderId="0" xfId="9" applyFont="1" applyBorder="1" applyAlignment="1">
      <alignment horizontal="center"/>
    </xf>
    <xf numFmtId="0" fontId="71" fillId="0" borderId="15" xfId="9" applyFont="1" applyBorder="1" applyAlignment="1" applyProtection="1">
      <alignment horizontal="center" vertical="center" wrapText="1"/>
    </xf>
    <xf numFmtId="0" fontId="71" fillId="0" borderId="15" xfId="9" applyFont="1" applyBorder="1" applyAlignment="1">
      <alignment horizontal="center" vertical="center"/>
    </xf>
    <xf numFmtId="0" fontId="71" fillId="0" borderId="15" xfId="9" applyFont="1" applyBorder="1" applyAlignment="1">
      <alignment horizontal="center" vertical="center" wrapText="1"/>
    </xf>
    <xf numFmtId="0" fontId="71" fillId="0" borderId="0" xfId="9" applyFont="1" applyBorder="1" applyAlignment="1" applyProtection="1">
      <alignment horizontal="center" vertical="center" wrapText="1"/>
    </xf>
    <xf numFmtId="0" fontId="71" fillId="0" borderId="0" xfId="9" applyFont="1" applyBorder="1" applyAlignment="1">
      <alignment horizontal="center" vertical="center" wrapText="1"/>
    </xf>
    <xf numFmtId="0" fontId="71" fillId="0" borderId="14" xfId="9" applyFont="1" applyBorder="1" applyAlignment="1" applyProtection="1">
      <alignment horizontal="center" vertical="center" wrapText="1"/>
    </xf>
    <xf numFmtId="0" fontId="71" fillId="0" borderId="13" xfId="9" applyFont="1" applyBorder="1" applyAlignment="1">
      <alignment horizontal="center" vertical="center" wrapText="1"/>
    </xf>
    <xf numFmtId="0" fontId="70" fillId="0" borderId="53" xfId="9" applyFont="1" applyBorder="1" applyAlignment="1" applyProtection="1">
      <alignment horizontal="center" vertical="top" wrapText="1"/>
    </xf>
    <xf numFmtId="0" fontId="69" fillId="0" borderId="53" xfId="9" applyBorder="1" applyAlignment="1">
      <alignment horizontal="center"/>
    </xf>
    <xf numFmtId="0" fontId="69" fillId="0" borderId="53" xfId="9" applyBorder="1" applyAlignment="1">
      <alignment horizontal="center" wrapText="1"/>
    </xf>
    <xf numFmtId="0" fontId="51" fillId="0" borderId="0" xfId="9" applyFont="1" applyBorder="1" applyAlignment="1" applyProtection="1">
      <alignment horizontal="center" vertical="center" wrapText="1"/>
    </xf>
    <xf numFmtId="0" fontId="51" fillId="0" borderId="0" xfId="9" applyFont="1" applyBorder="1" applyAlignment="1">
      <alignment horizontal="center" vertical="center"/>
    </xf>
    <xf numFmtId="0" fontId="50" fillId="0" borderId="0" xfId="9" applyFont="1" applyBorder="1" applyAlignment="1" applyProtection="1">
      <alignment horizontal="center" vertical="top" wrapText="1"/>
    </xf>
    <xf numFmtId="0" fontId="50" fillId="0" borderId="0" xfId="9" applyFont="1" applyBorder="1" applyAlignment="1">
      <alignment horizontal="center"/>
    </xf>
    <xf numFmtId="0" fontId="50" fillId="0" borderId="0" xfId="9" applyFont="1" applyBorder="1" applyAlignment="1">
      <alignment horizontal="center" wrapText="1"/>
    </xf>
    <xf numFmtId="0" fontId="51" fillId="0" borderId="0" xfId="9" applyFont="1" applyBorder="1" applyAlignment="1">
      <alignment horizontal="center" vertical="center" wrapText="1"/>
    </xf>
    <xf numFmtId="0" fontId="51" fillId="0" borderId="14" xfId="9" applyFont="1" applyBorder="1" applyAlignment="1" applyProtection="1">
      <alignment horizontal="center" vertical="center" wrapText="1"/>
    </xf>
    <xf numFmtId="0" fontId="51" fillId="0" borderId="14" xfId="9" applyFont="1" applyBorder="1" applyAlignment="1">
      <alignment horizontal="center" vertical="center"/>
    </xf>
    <xf numFmtId="0" fontId="51" fillId="0" borderId="13" xfId="9" applyFont="1" applyBorder="1" applyAlignment="1" applyProtection="1">
      <alignment horizontal="center" vertical="center" wrapText="1"/>
    </xf>
    <xf numFmtId="0" fontId="51" fillId="0" borderId="13" xfId="9" applyFont="1" applyBorder="1" applyAlignment="1">
      <alignment horizontal="center" vertical="center"/>
    </xf>
    <xf numFmtId="0" fontId="70" fillId="0" borderId="0" xfId="9" applyFont="1" applyBorder="1" applyAlignment="1" applyProtection="1">
      <alignment horizontal="left" vertical="top" wrapText="1"/>
    </xf>
    <xf numFmtId="0" fontId="69" fillId="0" borderId="0" xfId="9" applyAlignment="1">
      <alignment wrapText="1"/>
    </xf>
    <xf numFmtId="0" fontId="9" fillId="0" borderId="0" xfId="0" applyFont="1" applyBorder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0" fontId="37" fillId="0" borderId="0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center" vertical="center" wrapText="1"/>
    </xf>
    <xf numFmtId="176" fontId="37" fillId="0" borderId="0" xfId="2" applyNumberFormat="1" applyFont="1" applyBorder="1" applyAlignment="1">
      <alignment horizontal="center" vertical="center" wrapText="1"/>
    </xf>
    <xf numFmtId="176" fontId="38" fillId="0" borderId="0" xfId="2" applyNumberFormat="1" applyFont="1" applyBorder="1" applyAlignment="1">
      <alignment horizontal="center" vertical="center" wrapText="1"/>
    </xf>
    <xf numFmtId="176" fontId="38" fillId="0" borderId="2" xfId="2" applyNumberFormat="1" applyFont="1" applyBorder="1" applyAlignment="1">
      <alignment horizontal="center" vertical="center" wrapText="1"/>
    </xf>
    <xf numFmtId="176" fontId="17" fillId="0" borderId="1" xfId="2" applyNumberFormat="1" applyFont="1" applyBorder="1" applyAlignment="1">
      <alignment horizontal="center" vertical="center" wrapText="1"/>
    </xf>
    <xf numFmtId="176" fontId="42" fillId="0" borderId="0" xfId="2" applyNumberFormat="1" applyFont="1" applyBorder="1" applyAlignment="1">
      <alignment horizontal="center"/>
    </xf>
    <xf numFmtId="176" fontId="14" fillId="0" borderId="0" xfId="2" applyNumberFormat="1" applyFont="1" applyBorder="1" applyAlignment="1">
      <alignment horizontal="center"/>
    </xf>
    <xf numFmtId="176" fontId="14" fillId="0" borderId="2" xfId="2" applyNumberFormat="1" applyFont="1" applyBorder="1" applyAlignment="1">
      <alignment horizontal="center"/>
    </xf>
    <xf numFmtId="178" fontId="9" fillId="0" borderId="0" xfId="6" applyNumberFormat="1" applyFont="1" applyBorder="1" applyAlignment="1">
      <alignment horizontal="center"/>
    </xf>
    <xf numFmtId="178" fontId="9" fillId="0" borderId="15" xfId="6" applyNumberFormat="1" applyFont="1" applyBorder="1" applyAlignment="1">
      <alignment horizontal="center"/>
    </xf>
    <xf numFmtId="176" fontId="9" fillId="0" borderId="14" xfId="6" applyNumberFormat="1" applyFont="1" applyBorder="1" applyAlignment="1">
      <alignment horizontal="center" vertical="center"/>
    </xf>
    <xf numFmtId="9" fontId="22" fillId="0" borderId="30" xfId="1" applyFont="1" applyBorder="1" applyAlignment="1">
      <alignment horizontal="center" vertical="center" wrapText="1"/>
    </xf>
    <xf numFmtId="177" fontId="22" fillId="0" borderId="73" xfId="1" applyNumberFormat="1" applyFont="1" applyBorder="1" applyAlignment="1">
      <alignment horizontal="center"/>
    </xf>
    <xf numFmtId="177" fontId="22" fillId="0" borderId="74" xfId="1" applyNumberFormat="1" applyFont="1" applyBorder="1" applyAlignment="1">
      <alignment horizontal="center"/>
    </xf>
    <xf numFmtId="177" fontId="22" fillId="0" borderId="74" xfId="1" applyNumberFormat="1" applyFont="1" applyBorder="1" applyAlignment="1">
      <alignment horizontal="center" vertical="center" wrapText="1"/>
    </xf>
    <xf numFmtId="177" fontId="22" fillId="0" borderId="75" xfId="1" applyNumberFormat="1" applyFont="1" applyBorder="1" applyAlignment="1">
      <alignment horizontal="center" vertical="center" wrapText="1"/>
    </xf>
    <xf numFmtId="176" fontId="48" fillId="0" borderId="0" xfId="76" applyNumberFormat="1" applyFont="1" applyBorder="1" applyAlignment="1">
      <alignment horizontal="center" vertical="center"/>
    </xf>
    <xf numFmtId="176" fontId="57" fillId="0" borderId="0" xfId="76" applyNumberFormat="1" applyFont="1" applyBorder="1" applyAlignment="1">
      <alignment horizontal="center" vertical="center" wrapText="1"/>
    </xf>
    <xf numFmtId="176" fontId="50" fillId="0" borderId="0" xfId="76" applyNumberFormat="1" applyFont="1" applyBorder="1" applyAlignment="1">
      <alignment horizontal="center" vertical="center" wrapText="1"/>
    </xf>
    <xf numFmtId="176" fontId="22" fillId="0" borderId="0" xfId="76" applyNumberFormat="1" applyFont="1" applyBorder="1" applyAlignment="1">
      <alignment horizontal="center" vertical="center" wrapText="1"/>
    </xf>
    <xf numFmtId="176" fontId="51" fillId="0" borderId="0" xfId="76" applyNumberFormat="1" applyFont="1" applyBorder="1" applyAlignment="1">
      <alignment horizontal="center" vertical="center" wrapText="1"/>
    </xf>
    <xf numFmtId="178" fontId="9" fillId="0" borderId="22" xfId="76" applyNumberFormat="1" applyFont="1" applyBorder="1" applyAlignment="1">
      <alignment horizontal="center"/>
    </xf>
    <xf numFmtId="177" fontId="9" fillId="0" borderId="23" xfId="1" applyNumberFormat="1" applyFont="1" applyFill="1" applyBorder="1" applyAlignment="1">
      <alignment horizontal="center"/>
    </xf>
    <xf numFmtId="177" fontId="9" fillId="0" borderId="25" xfId="1" applyNumberFormat="1" applyFont="1" applyFill="1" applyBorder="1" applyAlignment="1">
      <alignment horizontal="center"/>
    </xf>
    <xf numFmtId="9" fontId="22" fillId="0" borderId="45" xfId="1" applyFont="1" applyFill="1" applyBorder="1" applyAlignment="1">
      <alignment horizontal="center" vertical="center" wrapText="1"/>
    </xf>
    <xf numFmtId="179" fontId="9" fillId="0" borderId="23" xfId="1" applyNumberFormat="1" applyFont="1" applyFill="1" applyBorder="1" applyAlignment="1">
      <alignment horizontal="center"/>
    </xf>
    <xf numFmtId="176" fontId="51" fillId="2" borderId="65" xfId="6" applyNumberFormat="1" applyFont="1" applyFill="1" applyBorder="1" applyAlignment="1">
      <alignment horizontal="center" vertical="center" wrapText="1"/>
    </xf>
    <xf numFmtId="176" fontId="51" fillId="0" borderId="64" xfId="6" applyNumberFormat="1" applyFont="1" applyFill="1" applyBorder="1" applyAlignment="1">
      <alignment horizontal="center" vertical="center" wrapText="1"/>
    </xf>
    <xf numFmtId="9" fontId="22" fillId="0" borderId="15" xfId="1" applyFont="1" applyFill="1" applyBorder="1" applyAlignment="1">
      <alignment horizontal="center" vertical="center" wrapText="1"/>
    </xf>
    <xf numFmtId="9" fontId="22" fillId="0" borderId="35" xfId="1" applyFont="1" applyFill="1" applyBorder="1" applyAlignment="1">
      <alignment horizontal="center" vertical="center" wrapText="1"/>
    </xf>
  </cellXfs>
  <cellStyles count="77">
    <cellStyle name="Comma" xfId="8" builtinId="3"/>
    <cellStyle name="Comma [0] 2" xfId="41" xr:uid="{4584E522-2B6D-4869-8FAA-84E45E64C315}"/>
    <cellStyle name="Comma 2" xfId="46" xr:uid="{2E0F2264-8950-4A3A-B071-39C299CEBBF8}"/>
    <cellStyle name="Hyperlink" xfId="4" builtinId="8"/>
    <cellStyle name="Hyperlink 2" xfId="29" xr:uid="{485A3BDD-3FEC-40DC-9CB4-2709120E9898}"/>
    <cellStyle name="Hyperlink 3" xfId="75" xr:uid="{90E87067-191B-4B2E-8397-F6D870FD0ACF}"/>
    <cellStyle name="Normal" xfId="0" builtinId="0"/>
    <cellStyle name="Normal 10" xfId="74" xr:uid="{C7CD2C8B-FE03-460A-9996-CC0E0F1E1686}"/>
    <cellStyle name="Normal 2" xfId="2" xr:uid="{7DE1F77A-DDC6-482C-9491-A0D28211533B}"/>
    <cellStyle name="Normal 2 2" xfId="37" xr:uid="{D42765B6-C0B4-4371-8050-1E19DCB67D7B}"/>
    <cellStyle name="Normal 2 3" xfId="47" xr:uid="{9BCFC6AB-F9AA-4079-8C01-90F46FD35B37}"/>
    <cellStyle name="Normal 2 4" xfId="42" xr:uid="{1D5382BD-B2DE-49EF-8011-3488B5268112}"/>
    <cellStyle name="Normal 2 5" xfId="38" xr:uid="{533BB1EC-93D3-4672-AC9F-630C84443C1F}"/>
    <cellStyle name="Normal 3" xfId="5" xr:uid="{5CBDF3BD-CFD8-4E76-B493-6D06CAE055FB}"/>
    <cellStyle name="Normal 3 2" xfId="36" xr:uid="{247BD893-0225-4AC3-9B6B-B3D695A67AC9}"/>
    <cellStyle name="Normal 3 3" xfId="34" xr:uid="{6E406ABA-1BBE-43D7-88EF-F1D109A4F97B}"/>
    <cellStyle name="Normal 4" xfId="9" xr:uid="{D88384FD-CB5F-47EF-A0E5-BE90E7814065}"/>
    <cellStyle name="Normal 4 2" xfId="48" xr:uid="{5C2525AB-746F-45BF-91C8-5F13A8193715}"/>
    <cellStyle name="Normal 4 3" xfId="43" xr:uid="{61E276DB-D915-4EEB-AD8B-B8E7D8D3BBC7}"/>
    <cellStyle name="Normal 5" xfId="6" xr:uid="{EFA951BD-5204-4292-A51D-B8718CEF7CA1}"/>
    <cellStyle name="Normal 5 2" xfId="40" xr:uid="{474582FC-BF60-425D-AED8-9C3389097450}"/>
    <cellStyle name="Normal 5 3" xfId="76" xr:uid="{06941577-5A73-48AF-AD0D-3A7467B4092A}"/>
    <cellStyle name="Normal 6" xfId="10" xr:uid="{EC07D074-9B8F-42C4-847D-92A3DB33FDA1}"/>
    <cellStyle name="Normal 6 2" xfId="44" xr:uid="{2F681EEC-D7CB-4A88-B659-B01C3CA43BB8}"/>
    <cellStyle name="Normal 6 3" xfId="73" xr:uid="{AD652870-9E60-4265-8C62-25D1C3455C3A}"/>
    <cellStyle name="Normal 7" xfId="28" xr:uid="{1E6240CF-A8B9-45A3-8C12-0DE1D0082E72}"/>
    <cellStyle name="Normal 8" xfId="39" xr:uid="{56E3789B-4C3D-421C-B441-705B18426EA5}"/>
    <cellStyle name="Normal 9" xfId="72" xr:uid="{320BAE89-D4D3-4054-8331-1B7F395B7C77}"/>
    <cellStyle name="Percent" xfId="1" builtinId="5"/>
    <cellStyle name="Percent 2" xfId="3" xr:uid="{562BFD8F-7900-4C47-A8D8-25466BAA8A7B}"/>
    <cellStyle name="Percent 2 2" xfId="33" xr:uid="{7D73323B-AE98-4AC0-B98E-B23519F0BC61}"/>
    <cellStyle name="Percent 3" xfId="11" xr:uid="{6A864EDA-8F3C-4820-B985-5BA8829BCDF8}"/>
    <cellStyle name="Percent 4" xfId="7" xr:uid="{3AF0A5FB-997E-4B91-B28C-9241A03A7AB9}"/>
    <cellStyle name="一般 10" xfId="14" xr:uid="{ECB40334-9CE0-444E-905D-2E5F351DB888}"/>
    <cellStyle name="一般 11" xfId="45" xr:uid="{87AC18D5-2E83-4AEC-AD70-E054CA6CD18C}"/>
    <cellStyle name="一般 12" xfId="35" xr:uid="{7179AAE4-C128-4547-AABE-A664A8201754}"/>
    <cellStyle name="一般 13" xfId="49" xr:uid="{A3EBFF21-BF11-4E64-ACD8-3664FEDFDEB7}"/>
    <cellStyle name="一般 14" xfId="32" xr:uid="{1D574D51-90E5-4E26-956F-6B2D7D9B11B9}"/>
    <cellStyle name="一般 15" xfId="50" xr:uid="{E21B6C57-3E4D-4669-A101-35AD0BDBE3DB}"/>
    <cellStyle name="一般 16" xfId="51" xr:uid="{1BF6B6C8-DA0F-41CC-A242-E84D65AF9DAC}"/>
    <cellStyle name="一般 17" xfId="24" xr:uid="{CB4FAE2E-A3BB-43BE-9A94-1906495A25C6}"/>
    <cellStyle name="一般 18" xfId="25" xr:uid="{B3B49897-5757-44BF-8D57-9DED32C27D9C}"/>
    <cellStyle name="一般 19" xfId="52" xr:uid="{B30DB42F-F501-44DB-8905-CC7E7A168478}"/>
    <cellStyle name="一般 2" xfId="12" xr:uid="{969BB52D-167F-4BFB-8B2C-EA9EF6C4C8DB}"/>
    <cellStyle name="一般 2 2" xfId="16" xr:uid="{D071F0BA-43E1-4F40-95FB-C4C556774115}"/>
    <cellStyle name="一般 2 2 2" xfId="23" xr:uid="{6B4823CE-C83A-4C0D-9AB8-C90F5D6641F8}"/>
    <cellStyle name="一般 2 3" xfId="19" xr:uid="{5E591B14-8996-4158-921A-43415BE8E97B}"/>
    <cellStyle name="一般 2 3 2" xfId="27" xr:uid="{60556831-C043-4397-9B9F-1C0734D3BAE4}"/>
    <cellStyle name="一般 2 4" xfId="53" xr:uid="{C08CF343-C1AB-444A-BABE-2D43F8D40E0A}"/>
    <cellStyle name="一般 2 5" xfId="54" xr:uid="{B4D4BABD-5C5D-4410-95D3-C3D8FF2124C8}"/>
    <cellStyle name="一般 20" xfId="22" xr:uid="{1EDA2F35-0811-4964-801F-FAC9EEBA0D41}"/>
    <cellStyle name="一般 21" xfId="15" xr:uid="{4C2B643C-2BD4-4208-9568-4BAC6C6AF270}"/>
    <cellStyle name="一般 3" xfId="13" xr:uid="{2A651A8D-75E6-4B93-89E1-A1E95F78B148}"/>
    <cellStyle name="一般 3 2" xfId="56" xr:uid="{8816CE67-2E99-48E8-A61E-913B9BAD0A03}"/>
    <cellStyle name="一般 3 2 2" xfId="57" xr:uid="{B74F961B-7583-4C0F-8439-96232F5F736F}"/>
    <cellStyle name="一般 3 3" xfId="55" xr:uid="{E47CA6DE-5E35-4EA8-B1BE-437057F1611D}"/>
    <cellStyle name="一般 4" xfId="20" xr:uid="{96041EEB-B881-43BD-B4A0-12B3B0C6898E}"/>
    <cellStyle name="一般 4 2" xfId="58" xr:uid="{C47A2930-FF3D-4DB6-880A-84A0BBDC31A7}"/>
    <cellStyle name="一般 5" xfId="59" xr:uid="{A5B499B7-2368-4249-95DA-D7A47F20ED91}"/>
    <cellStyle name="一般 6" xfId="60" xr:uid="{6A38ED6C-FABF-47DC-B9A7-83AA47733F2E}"/>
    <cellStyle name="一般 6 2" xfId="61" xr:uid="{75CC2212-1108-473F-872B-61D8CCBB0F3C}"/>
    <cellStyle name="一般 7" xfId="62" xr:uid="{D96BCD8B-E76C-4B6F-886D-881174962FC7}"/>
    <cellStyle name="一般 7 2" xfId="63" xr:uid="{1C3C9114-164C-4079-92FB-501852F0A9CF}"/>
    <cellStyle name="一般 8" xfId="64" xr:uid="{B064E5A1-9641-4905-AF77-52DCAB8CF225}"/>
    <cellStyle name="一般 9" xfId="65" xr:uid="{D8783261-7182-45B8-B5EB-E2F2A13681DB}"/>
    <cellStyle name="一般_ADS_T17_15-16" xfId="26" xr:uid="{7AD04583-6EC2-4913-AAA7-65EC94E01B10}"/>
    <cellStyle name="千分位 2" xfId="18" xr:uid="{04E4103F-990F-49A8-A1B2-1F430B602835}"/>
    <cellStyle name="千分位[0] 2" xfId="21" xr:uid="{EA903ED9-7BA3-4809-BB04-4E2687FB375C}"/>
    <cellStyle name="千分位[0] 2 2" xfId="66" xr:uid="{C4A50E41-63A3-4A26-9758-7BD683B7F015}"/>
    <cellStyle name="千分位[0] 3" xfId="67" xr:uid="{4E198967-3FF1-43B6-9BD3-A4A6D395E634}"/>
    <cellStyle name="未定義" xfId="68" xr:uid="{C5602684-7120-42CB-A478-8A3CA4F9EE7A}"/>
    <cellStyle name="百分比 2" xfId="17" xr:uid="{CD919334-35B5-40BE-945C-6622320D42B5}"/>
    <cellStyle name="百分比 2 2" xfId="69" xr:uid="{C88139EA-DEA8-4DCE-9065-EE4708641F87}"/>
    <cellStyle name="百分比 3" xfId="70" xr:uid="{B1A11A7D-8DB0-4010-B96E-D86436276037}"/>
    <cellStyle name="貨幣[0]_96tabel2 (2)" xfId="71" xr:uid="{4DFDA958-01E7-4931-93A3-C0AB5BCF7B60}"/>
    <cellStyle name="超連結 2" xfId="31" xr:uid="{A0306E1B-CB3C-4852-A04F-3EA4815D5913}"/>
    <cellStyle name="超連結 3" xfId="30" xr:uid="{086EE245-E4AA-44B4-980A-067DB61D48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AdjSurvey_asinctc_s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RawSurvey_rswag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AdjSurvey_aswag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RawSurvey_rsinc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AdjSurvey_nwcin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/Downloads/HKG_NA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WealthDistribution/Richlist/Forbes%20Rich%20Lis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Data/gpinter/Tax_Tabulation_HK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UQ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Age_Coh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ropbox/Piketty2013Capital21c/VersionJuillet2013/xls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Mean_s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RawSurvey_rswage_s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RawSurvey_rswagetc_s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AdjSurvey_aswagetc_s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RawSurvey_rs_s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tionalSeries/Results/summary/RawSurvey_rstc_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  <sheetName val="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1"/>
      <sheetName val="HKG2006"/>
      <sheetName val="HKG2011"/>
      <sheetName val="HKG2016"/>
      <sheetName val="Summary"/>
      <sheetName val="Composition"/>
    </sheetNames>
    <sheetDataSet>
      <sheetData sheetId="0">
        <row r="110">
          <cell r="I110">
            <v>4.1590049862861633E-2</v>
          </cell>
        </row>
      </sheetData>
      <sheetData sheetId="1">
        <row r="110">
          <cell r="I110">
            <v>5.0568394362926483E-2</v>
          </cell>
        </row>
      </sheetData>
      <sheetData sheetId="2">
        <row r="110">
          <cell r="I110">
            <v>4.8379048705101013E-2</v>
          </cell>
        </row>
      </sheetData>
      <sheetData sheetId="3">
        <row r="110">
          <cell r="I110">
            <v>4.7044657170772552E-2</v>
          </cell>
        </row>
      </sheetData>
      <sheetData sheetId="4">
        <row r="110">
          <cell r="I110">
            <v>5.8907419443130493E-2</v>
          </cell>
        </row>
      </sheetData>
      <sheetData sheetId="5">
        <row r="110">
          <cell r="I110">
            <v>7.4949033558368683E-2</v>
          </cell>
        </row>
      </sheetData>
      <sheetData sheetId="6">
        <row r="110">
          <cell r="I110">
            <v>5.9283178299665451E-2</v>
          </cell>
        </row>
      </sheetData>
      <sheetData sheetId="7">
        <row r="110">
          <cell r="I110">
            <v>4.6978726983070374E-2</v>
          </cell>
        </row>
      </sheetData>
      <sheetData sheetId="8">
        <row r="2">
          <cell r="C2">
            <v>0.47883588075637817</v>
          </cell>
          <cell r="D2">
            <v>0.20538723468780518</v>
          </cell>
          <cell r="E2">
            <v>0.39035242795944214</v>
          </cell>
          <cell r="F2">
            <v>0.40426033735275269</v>
          </cell>
        </row>
        <row r="7">
          <cell r="C7">
            <v>0.50919991731643677</v>
          </cell>
          <cell r="D7">
            <v>0.19134068489074707</v>
          </cell>
          <cell r="E7">
            <v>0.37934130430221558</v>
          </cell>
          <cell r="F7">
            <v>0.42931801080703735</v>
          </cell>
          <cell r="G7">
            <v>0.14842991530895233</v>
          </cell>
        </row>
        <row r="12">
          <cell r="C12">
            <v>0.54661136865615845</v>
          </cell>
          <cell r="D12">
            <v>0.16704308986663818</v>
          </cell>
          <cell r="E12">
            <v>0.38031101226806641</v>
          </cell>
          <cell r="F12">
            <v>0.45264589786529541</v>
          </cell>
          <cell r="G12">
            <v>0.16548068821430206</v>
          </cell>
        </row>
        <row r="17">
          <cell r="C17">
            <v>0.52846026420593262</v>
          </cell>
          <cell r="D17">
            <v>0.17000555992126465</v>
          </cell>
          <cell r="E17">
            <v>0.41102749109268188</v>
          </cell>
          <cell r="F17">
            <v>0.41896694898605347</v>
          </cell>
          <cell r="G17">
            <v>0.14260709285736084</v>
          </cell>
        </row>
        <row r="22">
          <cell r="C22">
            <v>0.55552715063095093</v>
          </cell>
          <cell r="D22">
            <v>0.15419352054595947</v>
          </cell>
          <cell r="E22">
            <v>0.40512344241142273</v>
          </cell>
          <cell r="F22">
            <v>0.4406830370426178</v>
          </cell>
          <cell r="G22">
            <v>0.16202853620052338</v>
          </cell>
        </row>
        <row r="27">
          <cell r="C27">
            <v>0.60581111907958984</v>
          </cell>
          <cell r="D27">
            <v>0.13086444139480591</v>
          </cell>
          <cell r="E27">
            <v>0.37358829379081726</v>
          </cell>
          <cell r="F27">
            <v>0.49554726481437683</v>
          </cell>
          <cell r="G27">
            <v>0.21535316109657288</v>
          </cell>
        </row>
        <row r="32">
          <cell r="C32">
            <v>0.60786020755767822</v>
          </cell>
          <cell r="D32">
            <v>0.12853193283081055</v>
          </cell>
          <cell r="E32">
            <v>0.37787055969238281</v>
          </cell>
          <cell r="F32">
            <v>0.49359750747680664</v>
          </cell>
          <cell r="G32">
            <v>0.20061403512954712</v>
          </cell>
        </row>
        <row r="37">
          <cell r="C37">
            <v>0.5916893482208252</v>
          </cell>
          <cell r="D37">
            <v>0.13710087537765503</v>
          </cell>
          <cell r="E37">
            <v>0.3818800151348114</v>
          </cell>
          <cell r="F37">
            <v>0.48101910948753357</v>
          </cell>
          <cell r="G37">
            <v>0.17801757156848907</v>
          </cell>
        </row>
      </sheetData>
      <sheetData sheetId="9">
        <row r="2">
          <cell r="C2">
            <v>0.72672855854034424</v>
          </cell>
          <cell r="D2">
            <v>0.16836640238761902</v>
          </cell>
          <cell r="E2">
            <v>0.10490503907203674</v>
          </cell>
          <cell r="F2">
            <v>0.87112200260162354</v>
          </cell>
          <cell r="G2">
            <v>9.3350790441036224E-2</v>
          </cell>
          <cell r="H2">
            <v>3.5527065396308899E-2</v>
          </cell>
          <cell r="I2">
            <v>0.77429962158203125</v>
          </cell>
          <cell r="J2">
            <v>0.14918582141399384</v>
          </cell>
          <cell r="K2">
            <v>7.6514571905136108E-2</v>
          </cell>
          <cell r="L2">
            <v>0.60743403434753418</v>
          </cell>
          <cell r="M2">
            <v>0.22499930858612061</v>
          </cell>
          <cell r="N2">
            <v>0.16756673157215118</v>
          </cell>
          <cell r="O2">
            <v>0.36677786707878113</v>
          </cell>
          <cell r="P2">
            <v>0.35129565000534058</v>
          </cell>
          <cell r="Q2">
            <v>0.28192812204360962</v>
          </cell>
        </row>
        <row r="7">
          <cell r="C7">
            <v>0.70539140701293945</v>
          </cell>
          <cell r="D7">
            <v>0.18201279640197754</v>
          </cell>
          <cell r="E7">
            <v>0.1125958263874054</v>
          </cell>
          <cell r="F7">
            <v>0.85410404205322266</v>
          </cell>
          <cell r="G7">
            <v>9.4281837344169617E-2</v>
          </cell>
          <cell r="H7">
            <v>5.1614060997962952E-2</v>
          </cell>
          <cell r="I7">
            <v>0.79813969135284424</v>
          </cell>
          <cell r="J7">
            <v>0.12503087520599365</v>
          </cell>
          <cell r="K7">
            <v>7.6829478144645691E-2</v>
          </cell>
          <cell r="L7">
            <v>0.55716085433959961</v>
          </cell>
          <cell r="M7">
            <v>0.27146187424659729</v>
          </cell>
          <cell r="N7">
            <v>0.17137730121612549</v>
          </cell>
          <cell r="O7">
            <v>0.34810334444046021</v>
          </cell>
          <cell r="P7">
            <v>0.42855912446975708</v>
          </cell>
          <cell r="Q7">
            <v>0.22333903610706329</v>
          </cell>
        </row>
        <row r="12">
          <cell r="C12">
            <v>0.66440284252166748</v>
          </cell>
          <cell r="D12">
            <v>0.16057476401329041</v>
          </cell>
          <cell r="E12">
            <v>0.17502236366271973</v>
          </cell>
          <cell r="F12">
            <v>0.83591252565383911</v>
          </cell>
          <cell r="G12">
            <v>8.2890704274177551E-2</v>
          </cell>
          <cell r="H12">
            <v>8.1196174025535583E-2</v>
          </cell>
          <cell r="I12">
            <v>0.76791495084762573</v>
          </cell>
          <cell r="J12">
            <v>0.12480541318655014</v>
          </cell>
          <cell r="K12">
            <v>0.10727964341640472</v>
          </cell>
          <cell r="L12">
            <v>0.51413899660110474</v>
          </cell>
          <cell r="M12">
            <v>0.21929629147052765</v>
          </cell>
          <cell r="N12">
            <v>0.26656481623649597</v>
          </cell>
          <cell r="O12">
            <v>0.29172247648239136</v>
          </cell>
          <cell r="P12">
            <v>0.30785608291625977</v>
          </cell>
          <cell r="Q12">
            <v>0.40042206645011902</v>
          </cell>
        </row>
        <row r="17">
          <cell r="C17">
            <v>0.75110059976577759</v>
          </cell>
          <cell r="D17">
            <v>0.14353321492671967</v>
          </cell>
          <cell r="E17">
            <v>0.10536617040634155</v>
          </cell>
          <cell r="F17">
            <v>0.86532384157180786</v>
          </cell>
          <cell r="G17">
            <v>7.8710824251174927E-2</v>
          </cell>
          <cell r="H17">
            <v>5.596528947353363E-2</v>
          </cell>
          <cell r="I17">
            <v>0.79623878002166748</v>
          </cell>
          <cell r="J17">
            <v>0.11732915788888931</v>
          </cell>
          <cell r="K17">
            <v>8.643195778131485E-2</v>
          </cell>
          <cell r="L17">
            <v>0.66046899557113647</v>
          </cell>
          <cell r="M17">
            <v>0.19554387032985687</v>
          </cell>
          <cell r="N17">
            <v>0.14398713409900665</v>
          </cell>
          <cell r="O17">
            <v>0.47271737456321716</v>
          </cell>
          <cell r="P17">
            <v>0.29248648881912231</v>
          </cell>
          <cell r="Q17">
            <v>0.23479768633842468</v>
          </cell>
        </row>
        <row r="22">
          <cell r="C22">
            <v>0.76210981607437134</v>
          </cell>
          <cell r="D22">
            <v>0.14300119876861572</v>
          </cell>
          <cell r="E22">
            <v>9.4889037311077118E-2</v>
          </cell>
          <cell r="F22">
            <v>0.8385084867477417</v>
          </cell>
          <cell r="G22">
            <v>6.9364592432975769E-2</v>
          </cell>
          <cell r="H22">
            <v>9.2126548290252686E-2</v>
          </cell>
          <cell r="I22">
            <v>0.82224291563034058</v>
          </cell>
          <cell r="J22">
            <v>0.11704199016094208</v>
          </cell>
          <cell r="K22">
            <v>6.0715276747941971E-2</v>
          </cell>
          <cell r="L22">
            <v>0.68009728193283081</v>
          </cell>
          <cell r="M22">
            <v>0.19263090193271637</v>
          </cell>
          <cell r="N22">
            <v>0.12727183103561401</v>
          </cell>
          <cell r="O22">
            <v>0.44252669811248779</v>
          </cell>
          <cell r="P22">
            <v>0.31133246421813965</v>
          </cell>
          <cell r="Q22">
            <v>0.24614125490188599</v>
          </cell>
        </row>
        <row r="27">
          <cell r="C27">
            <v>0.70236539840698242</v>
          </cell>
          <cell r="D27">
            <v>0.14815907180309296</v>
          </cell>
          <cell r="E27">
            <v>0.14947555959224701</v>
          </cell>
          <cell r="F27">
            <v>0.83803373575210571</v>
          </cell>
          <cell r="G27">
            <v>5.8974035084247589E-2</v>
          </cell>
          <cell r="H27">
            <v>0.10299180448055267</v>
          </cell>
          <cell r="I27">
            <v>0.81398749351501465</v>
          </cell>
          <cell r="J27">
            <v>0.11174801737070084</v>
          </cell>
          <cell r="K27">
            <v>7.4264749884605408E-2</v>
          </cell>
          <cell r="L27">
            <v>0.58238720893859863</v>
          </cell>
          <cell r="M27">
            <v>0.19916105270385742</v>
          </cell>
          <cell r="N27">
            <v>0.21845170855522156</v>
          </cell>
          <cell r="O27">
            <v>0.36077538132667542</v>
          </cell>
          <cell r="P27">
            <v>0.28450223803520203</v>
          </cell>
          <cell r="Q27">
            <v>0.35472249984741211</v>
          </cell>
        </row>
        <row r="32">
          <cell r="C32">
            <v>0.73381596803665161</v>
          </cell>
          <cell r="D32">
            <v>0.13119950890541077</v>
          </cell>
          <cell r="E32">
            <v>0.13498444855213165</v>
          </cell>
          <cell r="F32">
            <v>0.83716440200805664</v>
          </cell>
          <cell r="G32">
            <v>7.438669353723526E-2</v>
          </cell>
          <cell r="H32">
            <v>8.8448286056518555E-2</v>
          </cell>
          <cell r="I32">
            <v>0.82633733749389648</v>
          </cell>
          <cell r="J32">
            <v>0.10795306414365768</v>
          </cell>
          <cell r="K32">
            <v>6.5709680318832397E-2</v>
          </cell>
          <cell r="L32">
            <v>0.63607507944107056</v>
          </cell>
          <cell r="M32">
            <v>0.16378962993621826</v>
          </cell>
          <cell r="N32">
            <v>0.2001352459192276</v>
          </cell>
          <cell r="O32">
            <v>0.43072730302810669</v>
          </cell>
          <cell r="P32">
            <v>0.23878805339336395</v>
          </cell>
          <cell r="Q32">
            <v>0.3304850161075592</v>
          </cell>
        </row>
        <row r="37">
          <cell r="C37">
            <v>0.77888798713684082</v>
          </cell>
          <cell r="D37">
            <v>0.12239988893270493</v>
          </cell>
          <cell r="E37">
            <v>9.8712131381034851E-2</v>
          </cell>
          <cell r="F37">
            <v>0.83252495527267456</v>
          </cell>
          <cell r="G37">
            <v>7.6259143650531769E-2</v>
          </cell>
          <cell r="H37">
            <v>9.1215886175632477E-2</v>
          </cell>
          <cell r="I37">
            <v>0.84354996681213379</v>
          </cell>
          <cell r="J37">
            <v>0.11080761253833771</v>
          </cell>
          <cell r="K37">
            <v>4.5642394572496414E-2</v>
          </cell>
          <cell r="L37">
            <v>0.7122652530670166</v>
          </cell>
          <cell r="M37">
            <v>0.1447540819644928</v>
          </cell>
          <cell r="N37">
            <v>0.1429806649684906</v>
          </cell>
          <cell r="O37">
            <v>0.57072246074676514</v>
          </cell>
          <cell r="P37">
            <v>0.155985027551651</v>
          </cell>
          <cell r="Q37">
            <v>0.27329275012016296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6"/>
      <sheetName val="HKG2011"/>
      <sheetName val="HKG2016"/>
      <sheetName val="Summary"/>
      <sheetName val="Composition"/>
      <sheetName val="HKG2001"/>
    </sheetNames>
    <sheetDataSet>
      <sheetData sheetId="0">
        <row r="110">
          <cell r="I110">
            <v>3.2985124737024307E-2</v>
          </cell>
        </row>
      </sheetData>
      <sheetData sheetId="1">
        <row r="110">
          <cell r="I110">
            <v>2.5429561734199524E-2</v>
          </cell>
        </row>
      </sheetData>
      <sheetData sheetId="2">
        <row r="110">
          <cell r="I110">
            <v>2.2598989307880402E-2</v>
          </cell>
        </row>
      </sheetData>
      <sheetData sheetId="3">
        <row r="110">
          <cell r="I110">
            <v>1.8123462796211243E-2</v>
          </cell>
        </row>
      </sheetData>
      <sheetData sheetId="4">
        <row r="110">
          <cell r="I110">
            <v>1.7871212214231491E-2</v>
          </cell>
        </row>
      </sheetData>
      <sheetData sheetId="5">
        <row r="110">
          <cell r="I110">
            <v>1.5350603498518467E-2</v>
          </cell>
        </row>
      </sheetData>
      <sheetData sheetId="6">
        <row r="110">
          <cell r="I110">
            <v>1.3102632015943527E-2</v>
          </cell>
        </row>
      </sheetData>
      <sheetData sheetId="7">
        <row r="2">
          <cell r="C2">
            <v>0.62473368644714355</v>
          </cell>
          <cell r="D2">
            <v>5.0362765789031982E-2</v>
          </cell>
          <cell r="E2">
            <v>0.54283010959625244</v>
          </cell>
          <cell r="F2">
            <v>0.40680709481239319</v>
          </cell>
          <cell r="G2">
            <v>0.11933976411819458</v>
          </cell>
        </row>
        <row r="7">
          <cell r="C7">
            <v>0.65998685359954834</v>
          </cell>
          <cell r="D7">
            <v>2.0943343639373779E-2</v>
          </cell>
          <cell r="E7">
            <v>0.54062771797180176</v>
          </cell>
          <cell r="F7">
            <v>0.43842890858650208</v>
          </cell>
          <cell r="G7">
            <v>0.12173150479793549</v>
          </cell>
        </row>
        <row r="12">
          <cell r="C12">
            <v>0.66930162906646729</v>
          </cell>
          <cell r="D12">
            <v>3.0042827129364014E-2</v>
          </cell>
          <cell r="E12">
            <v>0.5088161826133728</v>
          </cell>
          <cell r="F12">
            <v>0.46114099025726318</v>
          </cell>
          <cell r="G12">
            <v>0.12954474985599518</v>
          </cell>
        </row>
        <row r="17">
          <cell r="C17">
            <v>0.68677592277526855</v>
          </cell>
          <cell r="D17">
            <v>2.3137569427490234E-2</v>
          </cell>
          <cell r="E17">
            <v>0.49434393644332886</v>
          </cell>
          <cell r="F17">
            <v>0.48251849412918091</v>
          </cell>
          <cell r="G17">
            <v>0.12992760539054871</v>
          </cell>
        </row>
        <row r="22">
          <cell r="C22">
            <v>0.70532536506652832</v>
          </cell>
          <cell r="D22">
            <v>1.0736942291259766E-2</v>
          </cell>
          <cell r="E22">
            <v>0.49418166279792786</v>
          </cell>
          <cell r="F22">
            <v>0.49508139491081238</v>
          </cell>
          <cell r="G22">
            <v>0.12162333726882935</v>
          </cell>
        </row>
        <row r="27">
          <cell r="C27">
            <v>0.71177589893341064</v>
          </cell>
          <cell r="D27">
            <v>7.0299506187438965E-3</v>
          </cell>
          <cell r="E27">
            <v>0.49216949939727783</v>
          </cell>
          <cell r="F27">
            <v>0.50080054998397827</v>
          </cell>
          <cell r="G27">
            <v>0.1261652410030365</v>
          </cell>
        </row>
        <row r="32">
          <cell r="C32">
            <v>0.72517025470733643</v>
          </cell>
          <cell r="D32">
            <v>2.6483535766601563E-3</v>
          </cell>
          <cell r="E32">
            <v>0.4780961275100708</v>
          </cell>
          <cell r="F32">
            <v>0.51925551891326904</v>
          </cell>
          <cell r="G32">
            <v>0.12558041512966156</v>
          </cell>
        </row>
        <row r="37">
          <cell r="C37">
            <v>0.72004109621047974</v>
          </cell>
          <cell r="D37">
            <v>8.2546472549438477E-4</v>
          </cell>
          <cell r="E37">
            <v>0.49131661653518677</v>
          </cell>
          <cell r="F37">
            <v>0.50785791873931885</v>
          </cell>
          <cell r="G37">
            <v>0.11200673878192902</v>
          </cell>
        </row>
      </sheetData>
      <sheetData sheetId="8" refreshError="1"/>
      <sheetData sheetId="9">
        <row r="110">
          <cell r="I110">
            <v>1.6175717115402222E-2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6"/>
      <sheetName val="HKG2011"/>
      <sheetName val="HKG2016"/>
      <sheetName val="Summary"/>
      <sheetName val="Composition"/>
      <sheetName val="HKG2001"/>
    </sheetNames>
    <sheetDataSet>
      <sheetData sheetId="0">
        <row r="110">
          <cell r="I110">
            <v>4.3609581887722015E-2</v>
          </cell>
        </row>
      </sheetData>
      <sheetData sheetId="1">
        <row r="110">
          <cell r="I110">
            <v>3.9415907114744186E-2</v>
          </cell>
        </row>
      </sheetData>
      <sheetData sheetId="2">
        <row r="110">
          <cell r="I110">
            <v>4.1941456496715546E-2</v>
          </cell>
        </row>
      </sheetData>
      <sheetData sheetId="3">
        <row r="110">
          <cell r="I110">
            <v>4.2460612952709198E-2</v>
          </cell>
        </row>
      </sheetData>
      <sheetData sheetId="4">
        <row r="110">
          <cell r="I110">
            <v>7.8030161559581757E-2</v>
          </cell>
        </row>
      </sheetData>
      <sheetData sheetId="5">
        <row r="110">
          <cell r="I110">
            <v>7.2245776653289795E-2</v>
          </cell>
        </row>
      </sheetData>
      <sheetData sheetId="6">
        <row r="110">
          <cell r="I110">
            <v>6.4354553818702698E-2</v>
          </cell>
        </row>
      </sheetData>
      <sheetData sheetId="7">
        <row r="2">
          <cell r="C2">
            <v>0.66997474431991577</v>
          </cell>
          <cell r="D2">
            <v>5.2834451198577881E-2</v>
          </cell>
          <cell r="E2">
            <v>0.45363673567771912</v>
          </cell>
          <cell r="F2">
            <v>0.493528813123703</v>
          </cell>
          <cell r="G2">
            <v>0.16582444310188293</v>
          </cell>
        </row>
        <row r="7">
          <cell r="C7">
            <v>0.68221497535705566</v>
          </cell>
          <cell r="D7">
            <v>3.5183370113372803E-2</v>
          </cell>
          <cell r="E7">
            <v>0.47519752383232117</v>
          </cell>
          <cell r="F7">
            <v>0.48961910605430603</v>
          </cell>
          <cell r="G7">
            <v>0.15885241329669952</v>
          </cell>
        </row>
        <row r="12">
          <cell r="C12">
            <v>0.68255358934402466</v>
          </cell>
          <cell r="D12">
            <v>3.3391654491424561E-2</v>
          </cell>
          <cell r="E12">
            <v>0.47788611054420471</v>
          </cell>
          <cell r="F12">
            <v>0.48872223496437073</v>
          </cell>
          <cell r="G12">
            <v>0.15905550122261047</v>
          </cell>
        </row>
        <row r="17">
          <cell r="C17">
            <v>0.66813141107559204</v>
          </cell>
          <cell r="D17">
            <v>4.7350168228149414E-2</v>
          </cell>
          <cell r="E17">
            <v>0.47673097252845764</v>
          </cell>
          <cell r="F17">
            <v>0.47591885924339294</v>
          </cell>
          <cell r="G17">
            <v>0.14711904525756836</v>
          </cell>
        </row>
        <row r="22">
          <cell r="C22">
            <v>0.69219613075256348</v>
          </cell>
          <cell r="D22">
            <v>3.888857364654541E-2</v>
          </cell>
          <cell r="E22">
            <v>0.45575189590454102</v>
          </cell>
          <cell r="F22">
            <v>0.50535953044891357</v>
          </cell>
          <cell r="G22">
            <v>0.14110811054706573</v>
          </cell>
        </row>
        <row r="27">
          <cell r="C27">
            <v>0.71220368146896362</v>
          </cell>
          <cell r="D27">
            <v>3.65486741065979E-2</v>
          </cell>
          <cell r="E27">
            <v>0.42782831192016602</v>
          </cell>
          <cell r="F27">
            <v>0.53562301397323608</v>
          </cell>
          <cell r="G27">
            <v>0.2021583616733551</v>
          </cell>
        </row>
        <row r="32">
          <cell r="C32">
            <v>0.72169005870819092</v>
          </cell>
          <cell r="D32">
            <v>3.3962666988372803E-2</v>
          </cell>
          <cell r="E32">
            <v>0.41625487804412842</v>
          </cell>
          <cell r="F32">
            <v>0.54978245496749878</v>
          </cell>
          <cell r="G32">
            <v>0.20436631143093109</v>
          </cell>
        </row>
        <row r="37">
          <cell r="C37">
            <v>0.70984041690826416</v>
          </cell>
          <cell r="D37">
            <v>4.050058126449585E-2</v>
          </cell>
          <cell r="E37">
            <v>0.42429482936859131</v>
          </cell>
          <cell r="F37">
            <v>0.53520458936691284</v>
          </cell>
          <cell r="G37">
            <v>0.18681512773036957</v>
          </cell>
        </row>
      </sheetData>
      <sheetData sheetId="8"/>
      <sheetData sheetId="9">
        <row r="110">
          <cell r="I110">
            <v>4.194408655166626E-2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6"/>
      <sheetName val="HKG2011"/>
      <sheetName val="HKG2016"/>
      <sheetName val="Summary"/>
      <sheetName val="Composition"/>
      <sheetName val="HKG2001"/>
    </sheetNames>
    <sheetDataSet>
      <sheetData sheetId="0">
        <row r="110">
          <cell r="I110">
            <v>5.3695820271968842E-2</v>
          </cell>
        </row>
      </sheetData>
      <sheetData sheetId="1">
        <row r="110">
          <cell r="I110">
            <v>3.5555601119995117E-2</v>
          </cell>
        </row>
      </sheetData>
      <sheetData sheetId="2">
        <row r="110">
          <cell r="I110">
            <v>2.0603030920028687E-2</v>
          </cell>
        </row>
      </sheetData>
      <sheetData sheetId="3">
        <row r="110">
          <cell r="I110">
            <v>1.6847932711243629E-2</v>
          </cell>
        </row>
      </sheetData>
      <sheetData sheetId="4">
        <row r="110">
          <cell r="I110">
            <v>1.6393382102251053E-2</v>
          </cell>
        </row>
      </sheetData>
      <sheetData sheetId="5">
        <row r="110">
          <cell r="I110">
            <v>1.6347456723451614E-2</v>
          </cell>
        </row>
      </sheetData>
      <sheetData sheetId="6">
        <row r="110">
          <cell r="I110">
            <v>1.3949675485491753E-2</v>
          </cell>
        </row>
      </sheetData>
      <sheetData sheetId="7">
        <row r="2">
          <cell r="C2">
            <v>0.59534770250320435</v>
          </cell>
          <cell r="D2">
            <v>0.10910600423812866</v>
          </cell>
          <cell r="E2">
            <v>0.4631536602973938</v>
          </cell>
          <cell r="F2">
            <v>0.42774033546447754</v>
          </cell>
          <cell r="G2">
            <v>0.1559278815984726</v>
          </cell>
        </row>
        <row r="7">
          <cell r="C7">
            <v>0.62116712331771851</v>
          </cell>
          <cell r="D7">
            <v>8.6781501770019531E-2</v>
          </cell>
          <cell r="E7">
            <v>0.46786981821060181</v>
          </cell>
          <cell r="F7">
            <v>0.44534868001937866</v>
          </cell>
          <cell r="G7">
            <v>0.14290329813957214</v>
          </cell>
        </row>
        <row r="12">
          <cell r="C12">
            <v>0.61298412084579468</v>
          </cell>
          <cell r="D12">
            <v>0.10096091032028198</v>
          </cell>
          <cell r="E12">
            <v>0.44784969091415405</v>
          </cell>
          <cell r="F12">
            <v>0.45118939876556396</v>
          </cell>
          <cell r="G12">
            <v>0.12898634374141693</v>
          </cell>
        </row>
        <row r="17">
          <cell r="C17">
            <v>0.60932987928390503</v>
          </cell>
          <cell r="D17">
            <v>9.821164608001709E-2</v>
          </cell>
          <cell r="E17">
            <v>0.46330928802490234</v>
          </cell>
          <cell r="F17">
            <v>0.43847906589508057</v>
          </cell>
          <cell r="G17">
            <v>0.11672555655241013</v>
          </cell>
        </row>
        <row r="22">
          <cell r="C22">
            <v>0.62256878614425659</v>
          </cell>
          <cell r="D22">
            <v>8.734583854675293E-2</v>
          </cell>
          <cell r="E22">
            <v>0.4659649133682251</v>
          </cell>
          <cell r="F22">
            <v>0.44668924808502197</v>
          </cell>
          <cell r="G22">
            <v>0.11069107055664063</v>
          </cell>
        </row>
        <row r="27">
          <cell r="C27">
            <v>0.63082122802734375</v>
          </cell>
          <cell r="D27">
            <v>8.5523664951324463E-2</v>
          </cell>
          <cell r="E27">
            <v>0.45581111311912537</v>
          </cell>
          <cell r="F27">
            <v>0.45866522192955017</v>
          </cell>
          <cell r="G27">
            <v>0.11602085083723068</v>
          </cell>
        </row>
        <row r="32">
          <cell r="C32">
            <v>0.63979917764663696</v>
          </cell>
          <cell r="D32">
            <v>8.0190718173980713E-2</v>
          </cell>
          <cell r="E32">
            <v>0.45416894555091858</v>
          </cell>
          <cell r="F32">
            <v>0.46564033627510071</v>
          </cell>
          <cell r="G32">
            <v>0.11134129762649536</v>
          </cell>
        </row>
        <row r="37">
          <cell r="C37">
            <v>0.62476474046707153</v>
          </cell>
          <cell r="D37">
            <v>8.6524009704589844E-2</v>
          </cell>
          <cell r="E37">
            <v>0.46208125352859497</v>
          </cell>
          <cell r="F37">
            <v>0.45139473676681519</v>
          </cell>
          <cell r="G37">
            <v>9.9737904965877533E-2</v>
          </cell>
        </row>
      </sheetData>
      <sheetData sheetId="8">
        <row r="2">
          <cell r="C2">
            <v>0.73399406671524048</v>
          </cell>
          <cell r="D2">
            <v>0.16206888854503632</v>
          </cell>
          <cell r="E2">
            <v>0.10393707454204559</v>
          </cell>
          <cell r="F2">
            <v>0.80360597372055054</v>
          </cell>
          <cell r="G2">
            <v>7.1015849709510803E-2</v>
          </cell>
          <cell r="H2">
            <v>0.12537854909896851</v>
          </cell>
          <cell r="I2">
            <v>0.86591410636901855</v>
          </cell>
          <cell r="J2">
            <v>9.6167787909507751E-2</v>
          </cell>
          <cell r="K2">
            <v>3.7918031215667725E-2</v>
          </cell>
          <cell r="L2">
            <v>0.57339578866958618</v>
          </cell>
          <cell r="M2">
            <v>0.25665143132209778</v>
          </cell>
          <cell r="N2">
            <v>0.16995275020599365</v>
          </cell>
          <cell r="O2">
            <v>0.40166780352592468</v>
          </cell>
          <cell r="P2">
            <v>0.308400958776474</v>
          </cell>
          <cell r="Q2">
            <v>0.28993186354637146</v>
          </cell>
        </row>
        <row r="7">
          <cell r="C7">
            <v>0.7141844630241394</v>
          </cell>
          <cell r="D7">
            <v>0.15376301109790802</v>
          </cell>
          <cell r="E7">
            <v>0.13205260038375854</v>
          </cell>
          <cell r="F7">
            <v>0.78459280729293823</v>
          </cell>
          <cell r="G7">
            <v>6.5780103206634521E-2</v>
          </cell>
          <cell r="H7">
            <v>0.14962723851203918</v>
          </cell>
          <cell r="I7">
            <v>0.83134359121322632</v>
          </cell>
          <cell r="J7">
            <v>0.10452141612768173</v>
          </cell>
          <cell r="K7">
            <v>6.4135022461414337E-2</v>
          </cell>
          <cell r="L7">
            <v>0.57738065719604492</v>
          </cell>
          <cell r="M7">
            <v>0.22263926267623901</v>
          </cell>
          <cell r="N7">
            <v>0.19998010993003845</v>
          </cell>
          <cell r="O7">
            <v>0.39373323321342468</v>
          </cell>
          <cell r="P7">
            <v>0.35314473509788513</v>
          </cell>
          <cell r="Q7">
            <v>0.25312435626983643</v>
          </cell>
        </row>
        <row r="12">
          <cell r="C12">
            <v>0.69735109806060791</v>
          </cell>
          <cell r="D12">
            <v>0.14200840890407562</v>
          </cell>
          <cell r="E12">
            <v>0.16064052283763885</v>
          </cell>
          <cell r="F12">
            <v>0.77158594131469727</v>
          </cell>
          <cell r="G12">
            <v>6.0298219323158264E-2</v>
          </cell>
          <cell r="H12">
            <v>0.16811631619930267</v>
          </cell>
          <cell r="I12">
            <v>0.80588746070861816</v>
          </cell>
          <cell r="J12">
            <v>0.10369095951318741</v>
          </cell>
          <cell r="K12">
            <v>9.0421460568904877E-2</v>
          </cell>
          <cell r="L12">
            <v>0.57300692796707153</v>
          </cell>
          <cell r="M12">
            <v>0.19832621514797211</v>
          </cell>
          <cell r="N12">
            <v>0.2286669909954071</v>
          </cell>
          <cell r="O12">
            <v>0.43031597137451172</v>
          </cell>
          <cell r="P12">
            <v>0.26020655035972595</v>
          </cell>
          <cell r="Q12">
            <v>0.30947747826576233</v>
          </cell>
        </row>
        <row r="17">
          <cell r="C17">
            <v>0.73682612180709839</v>
          </cell>
          <cell r="D17">
            <v>0.12951454520225525</v>
          </cell>
          <cell r="E17">
            <v>0.13365933299064636</v>
          </cell>
          <cell r="F17">
            <v>0.73187363147735596</v>
          </cell>
          <cell r="G17">
            <v>5.7635582983493805E-2</v>
          </cell>
          <cell r="H17">
            <v>0.21049042046070099</v>
          </cell>
          <cell r="I17">
            <v>0.77881425619125366</v>
          </cell>
          <cell r="J17">
            <v>9.5742881298065186E-2</v>
          </cell>
          <cell r="K17">
            <v>0.12544283270835876</v>
          </cell>
          <cell r="L17">
            <v>0.6935696005821228</v>
          </cell>
          <cell r="M17">
            <v>0.18129825592041016</v>
          </cell>
          <cell r="N17">
            <v>0.12513229250907898</v>
          </cell>
          <cell r="O17">
            <v>0.60083228349685669</v>
          </cell>
          <cell r="P17">
            <v>0.26888817548751831</v>
          </cell>
          <cell r="Q17">
            <v>0.13027958571910858</v>
          </cell>
        </row>
        <row r="22">
          <cell r="C22">
            <v>0.76901894807815552</v>
          </cell>
          <cell r="D22">
            <v>0.11896878480911255</v>
          </cell>
          <cell r="E22">
            <v>0.11201224476099014</v>
          </cell>
          <cell r="F22">
            <v>0.57639217376708984</v>
          </cell>
          <cell r="G22">
            <v>4.4242162257432938E-2</v>
          </cell>
          <cell r="H22">
            <v>0.37936615943908691</v>
          </cell>
          <cell r="I22">
            <v>0.81164789199829102</v>
          </cell>
          <cell r="J22">
            <v>0.10025017708539963</v>
          </cell>
          <cell r="K22">
            <v>8.8101804256439209E-2</v>
          </cell>
          <cell r="L22">
            <v>0.76221686601638794</v>
          </cell>
          <cell r="M22">
            <v>0.15310722589492798</v>
          </cell>
          <cell r="N22">
            <v>8.4675952792167664E-2</v>
          </cell>
          <cell r="O22">
            <v>0.63622450828552246</v>
          </cell>
          <cell r="P22">
            <v>0.22165998816490173</v>
          </cell>
          <cell r="Q22">
            <v>0.14211553335189819</v>
          </cell>
        </row>
        <row r="27">
          <cell r="C27">
            <v>0.71987563371658325</v>
          </cell>
          <cell r="D27">
            <v>0.11992669105529785</v>
          </cell>
          <cell r="E27">
            <v>0.16019763052463531</v>
          </cell>
          <cell r="F27">
            <v>0.5599210262298584</v>
          </cell>
          <cell r="G27">
            <v>4.4773388653993607E-2</v>
          </cell>
          <cell r="H27">
            <v>0.39530485868453979</v>
          </cell>
          <cell r="I27">
            <v>0.79357510805130005</v>
          </cell>
          <cell r="J27">
            <v>9.5687329769134521E-2</v>
          </cell>
          <cell r="K27">
            <v>0.1107376366853714</v>
          </cell>
          <cell r="L27">
            <v>0.67646026611328125</v>
          </cell>
          <cell r="M27">
            <v>0.15802846848964691</v>
          </cell>
          <cell r="N27">
            <v>0.16551128029823303</v>
          </cell>
          <cell r="O27">
            <v>0.50255513191223145</v>
          </cell>
          <cell r="P27">
            <v>0.21717707812786102</v>
          </cell>
          <cell r="Q27">
            <v>0.2802681028842926</v>
          </cell>
        </row>
        <row r="32">
          <cell r="C32">
            <v>0.72250473499298096</v>
          </cell>
          <cell r="D32">
            <v>0.10935141146183014</v>
          </cell>
          <cell r="E32">
            <v>0.1681438535451889</v>
          </cell>
          <cell r="F32">
            <v>0.51223099231719971</v>
          </cell>
          <cell r="G32">
            <v>5.3497765213251114E-2</v>
          </cell>
          <cell r="H32">
            <v>0.43427109718322754</v>
          </cell>
          <cell r="I32">
            <v>0.79136252403259277</v>
          </cell>
          <cell r="J32">
            <v>0.10090729594230652</v>
          </cell>
          <cell r="K32">
            <v>0.10773010551929474</v>
          </cell>
          <cell r="L32">
            <v>0.69155579805374146</v>
          </cell>
          <cell r="M32">
            <v>0.12720638513565063</v>
          </cell>
          <cell r="N32">
            <v>0.18123789131641388</v>
          </cell>
          <cell r="O32">
            <v>0.55768555402755737</v>
          </cell>
          <cell r="P32">
            <v>0.17894153296947479</v>
          </cell>
          <cell r="Q32">
            <v>0.26337283849716187</v>
          </cell>
        </row>
        <row r="37">
          <cell r="C37">
            <v>0.74129021167755127</v>
          </cell>
          <cell r="D37">
            <v>0.11464264988899231</v>
          </cell>
          <cell r="E37">
            <v>0.14406710863113403</v>
          </cell>
          <cell r="F37">
            <v>0.42622789740562439</v>
          </cell>
          <cell r="G37">
            <v>4.5098047703504562E-2</v>
          </cell>
          <cell r="H37">
            <v>0.52867424488067627</v>
          </cell>
          <cell r="I37">
            <v>0.80500602722167969</v>
          </cell>
          <cell r="J37">
            <v>0.10125906765460968</v>
          </cell>
          <cell r="K37">
            <v>9.3734726309776306E-2</v>
          </cell>
          <cell r="L37">
            <v>0.73645758628845215</v>
          </cell>
          <cell r="M37">
            <v>0.1416734904050827</v>
          </cell>
          <cell r="N37">
            <v>0.12186902761459351</v>
          </cell>
          <cell r="O37">
            <v>0.58672362565994263</v>
          </cell>
          <cell r="P37">
            <v>0.16747617721557617</v>
          </cell>
          <cell r="Q37">
            <v>0.24580104649066925</v>
          </cell>
        </row>
      </sheetData>
      <sheetData sheetId="9">
        <row r="110">
          <cell r="I110">
            <v>1.6501195728778839E-2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1"/>
      <sheetName val="HKG2006"/>
      <sheetName val="HKG2011"/>
      <sheetName val="HKG2016"/>
      <sheetName val="Summary"/>
      <sheetName val="Composition"/>
    </sheetNames>
    <sheetDataSet>
      <sheetData sheetId="0">
        <row r="110">
          <cell r="I110">
            <v>5.7179015129804611E-2</v>
          </cell>
        </row>
      </sheetData>
      <sheetData sheetId="1">
        <row r="110">
          <cell r="I110">
            <v>5.0383131951093674E-2</v>
          </cell>
        </row>
      </sheetData>
      <sheetData sheetId="2">
        <row r="110">
          <cell r="I110">
            <v>4.5190010219812393E-2</v>
          </cell>
        </row>
      </sheetData>
      <sheetData sheetId="3">
        <row r="110">
          <cell r="I110">
            <v>4.7887582331895828E-2</v>
          </cell>
        </row>
      </sheetData>
      <sheetData sheetId="4">
        <row r="110">
          <cell r="I110">
            <v>5.097544938325882E-2</v>
          </cell>
        </row>
      </sheetData>
      <sheetData sheetId="5">
        <row r="110">
          <cell r="I110">
            <v>8.7410949170589447E-2</v>
          </cell>
        </row>
      </sheetData>
      <sheetData sheetId="6">
        <row r="110">
          <cell r="I110">
            <v>9.2308729887008667E-2</v>
          </cell>
        </row>
      </sheetData>
      <sheetData sheetId="7">
        <row r="110">
          <cell r="I110">
            <v>8.2773871719837189E-2</v>
          </cell>
        </row>
      </sheetData>
      <sheetData sheetId="8">
        <row r="2">
          <cell r="C2">
            <v>0.6445692777633667</v>
          </cell>
          <cell r="D2">
            <v>0.10154199600219727</v>
          </cell>
          <cell r="E2">
            <v>0.38861250877380371</v>
          </cell>
          <cell r="F2">
            <v>0.50984549522399902</v>
          </cell>
          <cell r="G2">
            <v>0.19844453036785126</v>
          </cell>
        </row>
        <row r="7">
          <cell r="C7">
            <v>0.67614001035690308</v>
          </cell>
          <cell r="D7">
            <v>6.2328219413757324E-2</v>
          </cell>
          <cell r="E7">
            <v>0.42704951763153076</v>
          </cell>
          <cell r="F7">
            <v>0.51062226295471191</v>
          </cell>
          <cell r="G7">
            <v>0.18561244010925293</v>
          </cell>
        </row>
        <row r="12">
          <cell r="C12">
            <v>0.67457085847854614</v>
          </cell>
          <cell r="D12">
            <v>5.7458102703094482E-2</v>
          </cell>
          <cell r="E12">
            <v>0.43877613544464111</v>
          </cell>
          <cell r="F12">
            <v>0.5037657618522644</v>
          </cell>
          <cell r="G12">
            <v>0.16941156983375549</v>
          </cell>
        </row>
        <row r="17">
          <cell r="C17">
            <v>0.63049989938735962</v>
          </cell>
          <cell r="D17">
            <v>8.7805807590484619E-2</v>
          </cell>
          <cell r="E17">
            <v>0.45222461223602295</v>
          </cell>
          <cell r="F17">
            <v>0.45996958017349243</v>
          </cell>
          <cell r="G17">
            <v>0.14578592777252197</v>
          </cell>
        </row>
        <row r="22">
          <cell r="C22">
            <v>0.65007531642913818</v>
          </cell>
          <cell r="D22">
            <v>7.9491078853607178E-2</v>
          </cell>
          <cell r="E22">
            <v>0.43694233894348145</v>
          </cell>
          <cell r="F22">
            <v>0.48356658220291138</v>
          </cell>
          <cell r="G22">
            <v>0.14294131100177765</v>
          </cell>
        </row>
        <row r="27">
          <cell r="C27">
            <v>0.67618805170059204</v>
          </cell>
          <cell r="D27">
            <v>7.5440406799316406E-2</v>
          </cell>
          <cell r="E27">
            <v>0.40146732330322266</v>
          </cell>
          <cell r="F27">
            <v>0.52309226989746094</v>
          </cell>
          <cell r="G27">
            <v>0.20466521382331848</v>
          </cell>
        </row>
        <row r="32">
          <cell r="C32">
            <v>0.6927565336227417</v>
          </cell>
          <cell r="D32">
            <v>6.5645337104797363E-2</v>
          </cell>
          <cell r="E32">
            <v>0.39678752422332764</v>
          </cell>
          <cell r="F32">
            <v>0.537567138671875</v>
          </cell>
          <cell r="G32">
            <v>0.21154007315635681</v>
          </cell>
        </row>
        <row r="37">
          <cell r="C37">
            <v>0.68100076913833618</v>
          </cell>
          <cell r="D37">
            <v>7.0116281509399414E-2</v>
          </cell>
          <cell r="E37">
            <v>0.40640717744827271</v>
          </cell>
          <cell r="F37">
            <v>0.52347654104232788</v>
          </cell>
          <cell r="G37">
            <v>0.19411809742450714</v>
          </cell>
        </row>
      </sheetData>
      <sheetData sheetId="9">
        <row r="2">
          <cell r="C2">
            <v>0.73022371530532837</v>
          </cell>
          <cell r="D2">
            <v>0.1796090304851532</v>
          </cell>
          <cell r="E2">
            <v>9.0167254209518433E-2</v>
          </cell>
          <cell r="F2">
            <v>0.85662251710891724</v>
          </cell>
          <cell r="G2">
            <v>7.2116382420063019E-2</v>
          </cell>
          <cell r="H2">
            <v>7.126125693321228E-2</v>
          </cell>
          <cell r="I2">
            <v>0.8693617582321167</v>
          </cell>
          <cell r="J2">
            <v>9.9367812275886536E-2</v>
          </cell>
          <cell r="K2">
            <v>3.1270276755094528E-2</v>
          </cell>
          <cell r="L2">
            <v>0.59899652004241943</v>
          </cell>
          <cell r="M2">
            <v>0.2621786892414093</v>
          </cell>
          <cell r="N2">
            <v>0.13882485032081604</v>
          </cell>
          <cell r="O2">
            <v>0.46508112549781799</v>
          </cell>
          <cell r="P2">
            <v>0.31758663058280945</v>
          </cell>
          <cell r="Q2">
            <v>0.21733388304710388</v>
          </cell>
        </row>
        <row r="7">
          <cell r="C7">
            <v>0.72124332189559937</v>
          </cell>
          <cell r="D7">
            <v>0.16795378923416138</v>
          </cell>
          <cell r="E7">
            <v>0.11080287396907806</v>
          </cell>
          <cell r="F7">
            <v>0.87425786256790161</v>
          </cell>
          <cell r="G7">
            <v>7.8892156481742859E-2</v>
          </cell>
          <cell r="H7">
            <v>4.6850800514221191E-2</v>
          </cell>
          <cell r="I7">
            <v>0.8474774956703186</v>
          </cell>
          <cell r="J7">
            <v>0.10252621024847031</v>
          </cell>
          <cell r="K7">
            <v>4.9996167421340942E-2</v>
          </cell>
          <cell r="L7">
            <v>0.59699219465255737</v>
          </cell>
          <cell r="M7">
            <v>0.23354409635066986</v>
          </cell>
          <cell r="N7">
            <v>0.16946364939212799</v>
          </cell>
          <cell r="O7">
            <v>0.42945986986160278</v>
          </cell>
          <cell r="P7">
            <v>0.36110958456993103</v>
          </cell>
          <cell r="Q7">
            <v>0.20943328738212585</v>
          </cell>
        </row>
        <row r="12">
          <cell r="C12">
            <v>0.68928259611129761</v>
          </cell>
          <cell r="D12">
            <v>0.15188013017177582</v>
          </cell>
          <cell r="E12">
            <v>0.15883730351924896</v>
          </cell>
          <cell r="F12">
            <v>0.871756911277771</v>
          </cell>
          <cell r="G12">
            <v>5.6145988404750824E-2</v>
          </cell>
          <cell r="H12">
            <v>7.2096794843673706E-2</v>
          </cell>
          <cell r="I12">
            <v>0.8130529522895813</v>
          </cell>
          <cell r="J12">
            <v>0.10389471054077148</v>
          </cell>
          <cell r="K12">
            <v>8.3052247762680054E-2</v>
          </cell>
          <cell r="L12">
            <v>0.56066703796386719</v>
          </cell>
          <cell r="M12">
            <v>0.20459423959255219</v>
          </cell>
          <cell r="N12">
            <v>0.23473888635635376</v>
          </cell>
          <cell r="O12">
            <v>0.40709757804870605</v>
          </cell>
          <cell r="P12">
            <v>0.26509368419647217</v>
          </cell>
          <cell r="Q12">
            <v>0.32780960202217102</v>
          </cell>
        </row>
        <row r="17">
          <cell r="C17">
            <v>0.76754361391067505</v>
          </cell>
          <cell r="D17">
            <v>0.13495326042175293</v>
          </cell>
          <cell r="E17">
            <v>9.7503133118152618E-2</v>
          </cell>
          <cell r="F17">
            <v>0.87013214826583862</v>
          </cell>
          <cell r="G17">
            <v>6.0376118868589401E-2</v>
          </cell>
          <cell r="H17">
            <v>6.9491297006607056E-2</v>
          </cell>
          <cell r="I17">
            <v>0.82876938581466675</v>
          </cell>
          <cell r="J17">
            <v>9.5842473208904266E-2</v>
          </cell>
          <cell r="K17">
            <v>7.5388260185718536E-2</v>
          </cell>
          <cell r="L17">
            <v>0.68776512145996094</v>
          </cell>
          <cell r="M17">
            <v>0.18764188885688782</v>
          </cell>
          <cell r="N17">
            <v>0.12459295243024826</v>
          </cell>
          <cell r="O17">
            <v>0.54700499773025513</v>
          </cell>
          <cell r="P17">
            <v>0.26976561546325684</v>
          </cell>
          <cell r="Q17">
            <v>0.18323172628879547</v>
          </cell>
        </row>
        <row r="22">
          <cell r="C22">
            <v>0.78855645656585693</v>
          </cell>
          <cell r="D22">
            <v>0.12699908018112183</v>
          </cell>
          <cell r="E22">
            <v>8.4444448351860046E-2</v>
          </cell>
          <cell r="F22">
            <v>0.82236713171005249</v>
          </cell>
          <cell r="G22">
            <v>4.660366103053093E-2</v>
          </cell>
          <cell r="H22">
            <v>0.13102860748767853</v>
          </cell>
          <cell r="I22">
            <v>0.83980280160903931</v>
          </cell>
          <cell r="J22">
            <v>0.10050866007804871</v>
          </cell>
          <cell r="K22">
            <v>5.9688620269298553E-2</v>
          </cell>
          <cell r="L22">
            <v>0.73669320344924927</v>
          </cell>
          <cell r="M22">
            <v>0.1641511470079422</v>
          </cell>
          <cell r="N22">
            <v>9.9155642092227936E-2</v>
          </cell>
          <cell r="O22">
            <v>0.56263303756713867</v>
          </cell>
          <cell r="P22">
            <v>0.23013366758823395</v>
          </cell>
          <cell r="Q22">
            <v>0.20723336935043335</v>
          </cell>
        </row>
        <row r="27">
          <cell r="C27">
            <v>0.72734618186950684</v>
          </cell>
          <cell r="D27">
            <v>0.13287810981273651</v>
          </cell>
          <cell r="E27">
            <v>0.13977575302124023</v>
          </cell>
          <cell r="F27">
            <v>0.81071335077285767</v>
          </cell>
          <cell r="G27">
            <v>4.7366641461849213E-2</v>
          </cell>
          <cell r="H27">
            <v>0.14191962778568268</v>
          </cell>
          <cell r="I27">
            <v>0.83307516574859619</v>
          </cell>
          <cell r="J27">
            <v>9.5868512988090515E-2</v>
          </cell>
          <cell r="K27">
            <v>7.1056447923183441E-2</v>
          </cell>
          <cell r="L27">
            <v>0.63417720794677734</v>
          </cell>
          <cell r="M27">
            <v>0.17361500859260559</v>
          </cell>
          <cell r="N27">
            <v>0.19220784306526184</v>
          </cell>
          <cell r="O27">
            <v>0.44326108694076538</v>
          </cell>
          <cell r="P27">
            <v>0.22777347266674042</v>
          </cell>
          <cell r="Q27">
            <v>0.32896587252616882</v>
          </cell>
        </row>
        <row r="32">
          <cell r="C32">
            <v>0.74298954010009766</v>
          </cell>
          <cell r="D32">
            <v>0.12370091676712036</v>
          </cell>
          <cell r="E32">
            <v>0.13330958783626556</v>
          </cell>
          <cell r="F32">
            <v>0.80456948280334473</v>
          </cell>
          <cell r="G32">
            <v>5.6081134825944901E-2</v>
          </cell>
          <cell r="H32">
            <v>0.13934925198554993</v>
          </cell>
          <cell r="I32">
            <v>0.84432417154312134</v>
          </cell>
          <cell r="J32">
            <v>0.10132391750812531</v>
          </cell>
          <cell r="K32">
            <v>5.4351907223463058E-2</v>
          </cell>
          <cell r="L32">
            <v>0.66067278385162354</v>
          </cell>
          <cell r="M32">
            <v>0.14847519993782043</v>
          </cell>
          <cell r="N32">
            <v>0.19085207581520081</v>
          </cell>
          <cell r="O32">
            <v>0.47475743293762207</v>
          </cell>
          <cell r="P32">
            <v>0.20556381344795227</v>
          </cell>
          <cell r="Q32">
            <v>0.31967869400978088</v>
          </cell>
        </row>
        <row r="37">
          <cell r="C37">
            <v>0.77806961536407471</v>
          </cell>
          <cell r="D37">
            <v>0.12205217033624649</v>
          </cell>
          <cell r="E37">
            <v>9.9878154695034027E-2</v>
          </cell>
          <cell r="F37">
            <v>0.81425744295120239</v>
          </cell>
          <cell r="G37">
            <v>4.6911329030990601E-2</v>
          </cell>
          <cell r="H37">
            <v>0.13883046805858612</v>
          </cell>
          <cell r="I37">
            <v>0.85436326265335083</v>
          </cell>
          <cell r="J37">
            <v>0.10176115483045578</v>
          </cell>
          <cell r="K37">
            <v>4.3875757604837418E-2</v>
          </cell>
          <cell r="L37">
            <v>0.71399104595184326</v>
          </cell>
          <cell r="M37">
            <v>0.14786997437477112</v>
          </cell>
          <cell r="N37">
            <v>0.13813886046409607</v>
          </cell>
          <cell r="O37">
            <v>0.5576021671295166</v>
          </cell>
          <cell r="P37">
            <v>0.16978949308395386</v>
          </cell>
          <cell r="Q37">
            <v>0.27260881662368774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.0"/>
      <sheetName val="A1.1"/>
      <sheetName val="A2.0"/>
      <sheetName val="A2.1"/>
      <sheetName val="A2.2"/>
      <sheetName val="A2.3"/>
      <sheetName val="A3.0"/>
      <sheetName val="A3.1"/>
      <sheetName val="A4.0"/>
      <sheetName val="A4.1"/>
      <sheetName val="A4.2"/>
      <sheetName val="A4.3"/>
      <sheetName val="A4.4"/>
      <sheetName val="A4.5"/>
      <sheetName val="A5.1"/>
      <sheetName val="A5.2"/>
      <sheetName val="AX1"/>
      <sheetName val="AX2"/>
      <sheetName val="AX3"/>
      <sheetName val="AX4"/>
      <sheetName val="AX5"/>
      <sheetName val="AX6"/>
      <sheetName val="AX7"/>
      <sheetName val="AX8"/>
      <sheetName val="AX9"/>
      <sheetName val="AX10"/>
      <sheetName val="AX11"/>
      <sheetName val="bcA2.1"/>
      <sheetName val="bcA2.2"/>
      <sheetName val="bcA2.3"/>
    </sheetNames>
    <sheetDataSet>
      <sheetData sheetId="0" refreshError="1"/>
      <sheetData sheetId="1" refreshError="1"/>
      <sheetData sheetId="2">
        <row r="9">
          <cell r="G9">
            <v>179.29529923500283</v>
          </cell>
          <cell r="I9">
            <v>219.92289211793397</v>
          </cell>
          <cell r="N9">
            <v>243.39898312429784</v>
          </cell>
          <cell r="P9">
            <v>356.01618021806365</v>
          </cell>
        </row>
        <row r="24">
          <cell r="G24">
            <v>649.77922801394209</v>
          </cell>
          <cell r="I24">
            <v>649.55107295333812</v>
          </cell>
          <cell r="N24">
            <v>855.93009444171139</v>
          </cell>
          <cell r="P24">
            <v>850.3159776953114</v>
          </cell>
        </row>
        <row r="29">
          <cell r="G29">
            <v>838.44354296417293</v>
          </cell>
          <cell r="I29">
            <v>834.97994564830242</v>
          </cell>
          <cell r="N29">
            <v>1067.6242556624502</v>
          </cell>
          <cell r="P29">
            <v>1073.097501985686</v>
          </cell>
        </row>
        <row r="44">
          <cell r="G44">
            <v>967.37517140249997</v>
          </cell>
          <cell r="I44">
            <v>1108.5897360168751</v>
          </cell>
          <cell r="N44">
            <v>1208.5978912349999</v>
          </cell>
          <cell r="P44">
            <v>1387.1230348368751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988_world"/>
      <sheetName val="1991_world"/>
      <sheetName val="1996_world"/>
      <sheetName val="1997_world"/>
      <sheetName val="1998_world"/>
      <sheetName val="1999_world"/>
      <sheetName val="2000_world"/>
      <sheetName val="2001_world"/>
      <sheetName val="2002_world"/>
      <sheetName val="2003_world"/>
      <sheetName val="2004_world"/>
      <sheetName val="2005_world"/>
      <sheetName val="2006_world"/>
      <sheetName val="2007_World"/>
      <sheetName val="2008_world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</sheetNames>
    <sheetDataSet>
      <sheetData sheetId="0">
        <row r="18">
          <cell r="G18">
            <v>40</v>
          </cell>
        </row>
        <row r="20">
          <cell r="G20">
            <v>40</v>
          </cell>
        </row>
        <row r="22">
          <cell r="G22">
            <v>40</v>
          </cell>
        </row>
        <row r="24">
          <cell r="C24">
            <v>50</v>
          </cell>
        </row>
      </sheetData>
      <sheetData sheetId="1">
        <row r="2">
          <cell r="C2">
            <v>1.3</v>
          </cell>
        </row>
        <row r="3">
          <cell r="C3">
            <v>1.1000000000000001</v>
          </cell>
        </row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  <row r="8">
          <cell r="C8">
            <v>1</v>
          </cell>
        </row>
        <row r="9">
          <cell r="C9">
            <v>1</v>
          </cell>
        </row>
      </sheetData>
      <sheetData sheetId="2">
        <row r="2">
          <cell r="C2">
            <v>2</v>
          </cell>
        </row>
        <row r="3">
          <cell r="C3">
            <v>2</v>
          </cell>
        </row>
        <row r="4">
          <cell r="C4">
            <v>1.8</v>
          </cell>
        </row>
        <row r="5">
          <cell r="C5">
            <v>1.8</v>
          </cell>
        </row>
        <row r="6">
          <cell r="C6">
            <v>1.5</v>
          </cell>
        </row>
        <row r="7">
          <cell r="C7">
            <v>1.3</v>
          </cell>
        </row>
        <row r="8">
          <cell r="C8">
            <v>1</v>
          </cell>
        </row>
        <row r="9">
          <cell r="C9">
            <v>1</v>
          </cell>
        </row>
      </sheetData>
      <sheetData sheetId="3">
        <row r="98">
          <cell r="C98">
            <v>12.7</v>
          </cell>
        </row>
        <row r="99">
          <cell r="C99">
            <v>11.2</v>
          </cell>
        </row>
        <row r="100">
          <cell r="C100">
            <v>10.6</v>
          </cell>
        </row>
        <row r="101">
          <cell r="C101">
            <v>5.5</v>
          </cell>
        </row>
        <row r="102">
          <cell r="C102">
            <v>5.2</v>
          </cell>
        </row>
        <row r="103">
          <cell r="C103">
            <v>5.2</v>
          </cell>
        </row>
        <row r="104">
          <cell r="C104">
            <v>3.3</v>
          </cell>
        </row>
        <row r="105">
          <cell r="C105">
            <v>3.1</v>
          </cell>
        </row>
        <row r="106">
          <cell r="C106">
            <v>2.5</v>
          </cell>
        </row>
        <row r="107">
          <cell r="C107">
            <v>2.5</v>
          </cell>
        </row>
        <row r="425">
          <cell r="C425">
            <v>73.899999999999977</v>
          </cell>
          <cell r="E425">
            <v>18</v>
          </cell>
        </row>
      </sheetData>
      <sheetData sheetId="4">
        <row r="226">
          <cell r="C226">
            <v>58.199999999999996</v>
          </cell>
          <cell r="E226">
            <v>8</v>
          </cell>
        </row>
      </sheetData>
      <sheetData sheetId="5">
        <row r="211">
          <cell r="C211">
            <v>49.199999999999996</v>
          </cell>
          <cell r="E211">
            <v>8</v>
          </cell>
        </row>
      </sheetData>
      <sheetData sheetId="6">
        <row r="13">
          <cell r="C13">
            <v>12.7</v>
          </cell>
        </row>
        <row r="17">
          <cell r="C17">
            <v>11.1</v>
          </cell>
        </row>
        <row r="23">
          <cell r="C23">
            <v>9.6999999999999993</v>
          </cell>
        </row>
        <row r="85">
          <cell r="C85">
            <v>4.4000000000000004</v>
          </cell>
        </row>
        <row r="108">
          <cell r="C108">
            <v>4</v>
          </cell>
        </row>
        <row r="170">
          <cell r="C170">
            <v>2.4</v>
          </cell>
        </row>
        <row r="197">
          <cell r="C197">
            <v>2</v>
          </cell>
        </row>
        <row r="209">
          <cell r="C209">
            <v>1.9</v>
          </cell>
        </row>
        <row r="213">
          <cell r="C213">
            <v>1.8</v>
          </cell>
        </row>
        <row r="216">
          <cell r="C216">
            <v>1.8</v>
          </cell>
        </row>
        <row r="302">
          <cell r="C302">
            <v>55.999999999999993</v>
          </cell>
          <cell r="E302">
            <v>13</v>
          </cell>
        </row>
      </sheetData>
      <sheetData sheetId="7">
        <row r="21">
          <cell r="C21">
            <v>11.3</v>
          </cell>
        </row>
        <row r="27">
          <cell r="C27">
            <v>9</v>
          </cell>
        </row>
        <row r="29">
          <cell r="C29">
            <v>8.6</v>
          </cell>
        </row>
        <row r="89">
          <cell r="C89">
            <v>4.5</v>
          </cell>
        </row>
        <row r="98">
          <cell r="C98">
            <v>4.3</v>
          </cell>
        </row>
        <row r="133">
          <cell r="C133">
            <v>3.7</v>
          </cell>
        </row>
        <row r="159">
          <cell r="C159">
            <v>2.9</v>
          </cell>
        </row>
        <row r="175">
          <cell r="C175">
            <v>2.6</v>
          </cell>
        </row>
        <row r="185">
          <cell r="C185">
            <v>2.2999999999999998</v>
          </cell>
        </row>
        <row r="221">
          <cell r="C221">
            <v>1.8</v>
          </cell>
        </row>
        <row r="223">
          <cell r="C223">
            <v>1.8</v>
          </cell>
        </row>
        <row r="326">
          <cell r="C326">
            <v>55.399999999999991</v>
          </cell>
          <cell r="E326">
            <v>13</v>
          </cell>
        </row>
      </sheetData>
      <sheetData sheetId="8">
        <row r="464">
          <cell r="C464">
            <v>1.1000000000000001</v>
          </cell>
        </row>
        <row r="466">
          <cell r="C466">
            <v>1.1000000000000001</v>
          </cell>
        </row>
        <row r="490">
          <cell r="C490">
            <v>1.1000000000000001</v>
          </cell>
        </row>
        <row r="522">
          <cell r="C522">
            <v>1</v>
          </cell>
        </row>
        <row r="540">
          <cell r="C540">
            <v>46.300000000000011</v>
          </cell>
          <cell r="E540">
            <v>14</v>
          </cell>
        </row>
      </sheetData>
      <sheetData sheetId="9">
        <row r="470">
          <cell r="C470">
            <v>1</v>
          </cell>
        </row>
        <row r="476">
          <cell r="C476">
            <v>38.4</v>
          </cell>
          <cell r="E476">
            <v>11</v>
          </cell>
          <cell r="F476">
            <v>39.4</v>
          </cell>
        </row>
      </sheetData>
      <sheetData sheetId="10">
        <row r="452">
          <cell r="D452">
            <v>1</v>
          </cell>
        </row>
        <row r="478">
          <cell r="D478">
            <v>32.200000000000003</v>
          </cell>
          <cell r="F478">
            <v>11</v>
          </cell>
          <cell r="G478">
            <v>33.200000000000003</v>
          </cell>
        </row>
      </sheetData>
      <sheetData sheetId="11">
        <row r="415">
          <cell r="D415">
            <v>1.4</v>
          </cell>
        </row>
        <row r="595">
          <cell r="D595">
            <v>46.199999999999989</v>
          </cell>
          <cell r="G595">
            <v>14</v>
          </cell>
          <cell r="H595">
            <v>51.399999999999984</v>
          </cell>
        </row>
      </sheetData>
      <sheetData sheetId="12">
        <row r="132">
          <cell r="D132">
            <v>2</v>
          </cell>
        </row>
        <row r="693">
          <cell r="D693">
            <v>56.400000000000013</v>
          </cell>
          <cell r="G693">
            <v>15</v>
          </cell>
          <cell r="H693">
            <v>64.000000000000014</v>
          </cell>
        </row>
      </sheetData>
      <sheetData sheetId="13">
        <row r="140">
          <cell r="E140">
            <v>18.8</v>
          </cell>
        </row>
        <row r="141">
          <cell r="E141">
            <v>11.6</v>
          </cell>
        </row>
        <row r="142">
          <cell r="E142">
            <v>11</v>
          </cell>
        </row>
        <row r="143">
          <cell r="E143">
            <v>6.5</v>
          </cell>
        </row>
        <row r="144">
          <cell r="E144">
            <v>5.0999999999999996</v>
          </cell>
        </row>
        <row r="145">
          <cell r="E145">
            <v>4.2</v>
          </cell>
        </row>
        <row r="146">
          <cell r="E146">
            <v>3.8</v>
          </cell>
        </row>
        <row r="147">
          <cell r="E147">
            <v>3.7</v>
          </cell>
        </row>
        <row r="148">
          <cell r="E148">
            <v>2.7</v>
          </cell>
        </row>
        <row r="149">
          <cell r="E149">
            <v>2.6</v>
          </cell>
        </row>
        <row r="150">
          <cell r="E150">
            <v>2.2999999999999998</v>
          </cell>
        </row>
        <row r="795">
          <cell r="E795">
            <v>70</v>
          </cell>
          <cell r="G795">
            <v>17</v>
          </cell>
          <cell r="H795">
            <v>81.599999999999994</v>
          </cell>
        </row>
      </sheetData>
      <sheetData sheetId="14">
        <row r="359">
          <cell r="E359">
            <v>2.6</v>
          </cell>
        </row>
        <row r="950">
          <cell r="E950">
            <v>94.399999999999991</v>
          </cell>
          <cell r="G950">
            <v>21</v>
          </cell>
          <cell r="H950">
            <v>110.79999999999998</v>
          </cell>
        </row>
      </sheetData>
      <sheetData sheetId="15">
        <row r="211">
          <cell r="E211">
            <v>3</v>
          </cell>
        </row>
        <row r="1127">
          <cell r="E1127">
            <v>105.80000000000003</v>
          </cell>
        </row>
      </sheetData>
      <sheetData sheetId="16">
        <row r="41">
          <cell r="C41">
            <v>1</v>
          </cell>
        </row>
        <row r="42">
          <cell r="C42">
            <v>155.20000000000002</v>
          </cell>
        </row>
      </sheetData>
      <sheetData sheetId="17">
        <row r="2">
          <cell r="C2">
            <v>16.2</v>
          </cell>
        </row>
        <row r="3">
          <cell r="C3">
            <v>10.8</v>
          </cell>
        </row>
        <row r="4">
          <cell r="C4">
            <v>9</v>
          </cell>
        </row>
        <row r="5">
          <cell r="C5">
            <v>4.2</v>
          </cell>
        </row>
        <row r="6">
          <cell r="C6">
            <v>4</v>
          </cell>
        </row>
        <row r="7">
          <cell r="C7">
            <v>3.8</v>
          </cell>
        </row>
        <row r="8">
          <cell r="C8">
            <v>2.6</v>
          </cell>
        </row>
        <row r="9">
          <cell r="C9">
            <v>2.2000000000000002</v>
          </cell>
        </row>
        <row r="10">
          <cell r="C10">
            <v>1.8</v>
          </cell>
        </row>
        <row r="11">
          <cell r="C11">
            <v>1.7</v>
          </cell>
        </row>
        <row r="12">
          <cell r="C12">
            <v>1.65</v>
          </cell>
        </row>
        <row r="13">
          <cell r="C13">
            <v>1.6</v>
          </cell>
        </row>
        <row r="14">
          <cell r="C14">
            <v>1.3</v>
          </cell>
        </row>
        <row r="15">
          <cell r="C15">
            <v>1.2</v>
          </cell>
        </row>
        <row r="16">
          <cell r="C16">
            <v>1.1499999999999999</v>
          </cell>
        </row>
        <row r="17">
          <cell r="C17">
            <v>1.1000000000000001</v>
          </cell>
        </row>
        <row r="18">
          <cell r="C18">
            <v>1.0900000000000001</v>
          </cell>
        </row>
        <row r="19">
          <cell r="C19">
            <v>1.04</v>
          </cell>
        </row>
        <row r="20">
          <cell r="A20">
            <v>19</v>
          </cell>
          <cell r="C20">
            <v>1</v>
          </cell>
        </row>
        <row r="21">
          <cell r="C21">
            <v>0.95</v>
          </cell>
        </row>
        <row r="22">
          <cell r="C22">
            <v>0.93</v>
          </cell>
        </row>
        <row r="23">
          <cell r="C23">
            <v>0.93</v>
          </cell>
        </row>
        <row r="24">
          <cell r="C24">
            <v>0.9</v>
          </cell>
        </row>
        <row r="25">
          <cell r="C25">
            <v>0.85</v>
          </cell>
        </row>
        <row r="26">
          <cell r="C26">
            <v>0.82</v>
          </cell>
        </row>
        <row r="27">
          <cell r="C27">
            <v>0.72</v>
          </cell>
        </row>
        <row r="28">
          <cell r="C28">
            <v>0.72</v>
          </cell>
        </row>
        <row r="29">
          <cell r="C29">
            <v>0.71</v>
          </cell>
        </row>
        <row r="30">
          <cell r="C30">
            <v>0.7</v>
          </cell>
        </row>
        <row r="31">
          <cell r="C31">
            <v>0.68</v>
          </cell>
        </row>
        <row r="32">
          <cell r="C32">
            <v>0.67</v>
          </cell>
        </row>
        <row r="33">
          <cell r="C33">
            <v>0.67</v>
          </cell>
        </row>
        <row r="34">
          <cell r="C34">
            <v>0.66</v>
          </cell>
        </row>
        <row r="35">
          <cell r="C35">
            <v>0.56999999999999995</v>
          </cell>
        </row>
        <row r="36">
          <cell r="C36">
            <v>0.56000000000000005</v>
          </cell>
        </row>
        <row r="37">
          <cell r="C37">
            <v>0.55000000000000004</v>
          </cell>
        </row>
        <row r="38">
          <cell r="C38">
            <v>0.51</v>
          </cell>
        </row>
        <row r="39">
          <cell r="C39">
            <v>0.5</v>
          </cell>
        </row>
        <row r="40">
          <cell r="C40">
            <v>0.49</v>
          </cell>
        </row>
        <row r="41">
          <cell r="C41">
            <v>0.49</v>
          </cell>
        </row>
      </sheetData>
      <sheetData sheetId="18">
        <row r="2">
          <cell r="C2">
            <v>21.3</v>
          </cell>
        </row>
        <row r="3">
          <cell r="C3">
            <v>19</v>
          </cell>
        </row>
        <row r="4">
          <cell r="C4">
            <v>17</v>
          </cell>
        </row>
        <row r="5">
          <cell r="C5">
            <v>7</v>
          </cell>
        </row>
        <row r="6">
          <cell r="C6">
            <v>6</v>
          </cell>
        </row>
        <row r="7">
          <cell r="C7">
            <v>5</v>
          </cell>
        </row>
        <row r="8">
          <cell r="C8">
            <v>4.2</v>
          </cell>
        </row>
        <row r="9">
          <cell r="C9">
            <v>3.2</v>
          </cell>
        </row>
        <row r="10">
          <cell r="C10">
            <v>3</v>
          </cell>
        </row>
        <row r="11">
          <cell r="C11">
            <v>2.9</v>
          </cell>
        </row>
        <row r="12">
          <cell r="C12">
            <v>2.89</v>
          </cell>
        </row>
        <row r="13">
          <cell r="C13">
            <v>2.6</v>
          </cell>
        </row>
        <row r="14">
          <cell r="C14">
            <v>2.5</v>
          </cell>
        </row>
        <row r="15">
          <cell r="C15">
            <v>2.2999999999999998</v>
          </cell>
        </row>
        <row r="16">
          <cell r="C16">
            <v>2.25</v>
          </cell>
        </row>
        <row r="17">
          <cell r="C17">
            <v>2.13</v>
          </cell>
        </row>
        <row r="18">
          <cell r="C18">
            <v>2.1</v>
          </cell>
        </row>
        <row r="19">
          <cell r="C19">
            <v>2</v>
          </cell>
        </row>
        <row r="20">
          <cell r="C20">
            <v>1.95</v>
          </cell>
        </row>
        <row r="21">
          <cell r="C21">
            <v>1.9</v>
          </cell>
        </row>
        <row r="22">
          <cell r="C22">
            <v>1.8</v>
          </cell>
        </row>
        <row r="23">
          <cell r="C23">
            <v>1.55</v>
          </cell>
        </row>
        <row r="24">
          <cell r="C24">
            <v>1.5</v>
          </cell>
        </row>
        <row r="25">
          <cell r="C25">
            <v>1.47</v>
          </cell>
        </row>
        <row r="26">
          <cell r="C26">
            <v>1.39</v>
          </cell>
        </row>
        <row r="27">
          <cell r="C27">
            <v>1.3</v>
          </cell>
        </row>
        <row r="28">
          <cell r="C28">
            <v>1.29</v>
          </cell>
        </row>
        <row r="29">
          <cell r="C29">
            <v>1.25</v>
          </cell>
        </row>
        <row r="30">
          <cell r="C30">
            <v>1.2</v>
          </cell>
        </row>
        <row r="31">
          <cell r="C31">
            <v>1.1499999999999999</v>
          </cell>
        </row>
        <row r="32">
          <cell r="C32">
            <v>1.1000000000000001</v>
          </cell>
        </row>
        <row r="33">
          <cell r="C33">
            <v>1.06</v>
          </cell>
        </row>
        <row r="34">
          <cell r="C34">
            <v>1.05</v>
          </cell>
        </row>
        <row r="35">
          <cell r="A35">
            <v>34</v>
          </cell>
          <cell r="C35">
            <v>1</v>
          </cell>
        </row>
        <row r="36">
          <cell r="C36">
            <v>0.95</v>
          </cell>
        </row>
        <row r="37">
          <cell r="C37">
            <v>0.94</v>
          </cell>
        </row>
        <row r="38">
          <cell r="C38">
            <v>0.89</v>
          </cell>
        </row>
        <row r="39">
          <cell r="C39">
            <v>0.87</v>
          </cell>
        </row>
        <row r="40">
          <cell r="C40">
            <v>0.86</v>
          </cell>
        </row>
        <row r="41">
          <cell r="C41">
            <v>0.85</v>
          </cell>
        </row>
      </sheetData>
      <sheetData sheetId="19">
        <row r="2">
          <cell r="C2">
            <v>24</v>
          </cell>
        </row>
        <row r="3">
          <cell r="C3">
            <v>20</v>
          </cell>
        </row>
        <row r="4">
          <cell r="C4">
            <v>19.5</v>
          </cell>
        </row>
        <row r="5">
          <cell r="C5">
            <v>9</v>
          </cell>
        </row>
        <row r="6">
          <cell r="C6">
            <v>8.6</v>
          </cell>
        </row>
        <row r="7">
          <cell r="C7">
            <v>6.3</v>
          </cell>
        </row>
        <row r="8">
          <cell r="C8">
            <v>6.1</v>
          </cell>
        </row>
        <row r="9">
          <cell r="C9">
            <v>5.2</v>
          </cell>
        </row>
        <row r="10">
          <cell r="C10">
            <v>4</v>
          </cell>
        </row>
        <row r="11">
          <cell r="C11">
            <v>3.9</v>
          </cell>
        </row>
        <row r="12">
          <cell r="C12">
            <v>3.8</v>
          </cell>
        </row>
        <row r="13">
          <cell r="C13">
            <v>3.5</v>
          </cell>
        </row>
        <row r="14">
          <cell r="C14">
            <v>3.1</v>
          </cell>
        </row>
        <row r="15">
          <cell r="C15">
            <v>3</v>
          </cell>
        </row>
        <row r="16">
          <cell r="C16">
            <v>2.6</v>
          </cell>
        </row>
        <row r="17">
          <cell r="C17">
            <v>2.5</v>
          </cell>
        </row>
        <row r="18">
          <cell r="C18">
            <v>2.4</v>
          </cell>
        </row>
        <row r="19">
          <cell r="C19">
            <v>2.2000000000000002</v>
          </cell>
        </row>
        <row r="20">
          <cell r="C20">
            <v>2.15</v>
          </cell>
        </row>
        <row r="21">
          <cell r="C21">
            <v>2.1</v>
          </cell>
        </row>
        <row r="22">
          <cell r="C22">
            <v>2.0499999999999998</v>
          </cell>
        </row>
        <row r="23">
          <cell r="C23">
            <v>2</v>
          </cell>
        </row>
        <row r="24">
          <cell r="C24">
            <v>1.9</v>
          </cell>
        </row>
        <row r="25">
          <cell r="C25">
            <v>1.85</v>
          </cell>
        </row>
        <row r="26">
          <cell r="C26">
            <v>1.8</v>
          </cell>
        </row>
        <row r="27">
          <cell r="C27">
            <v>1.75</v>
          </cell>
        </row>
        <row r="28">
          <cell r="C28">
            <v>1.73</v>
          </cell>
        </row>
        <row r="29">
          <cell r="C29">
            <v>1.7</v>
          </cell>
        </row>
        <row r="30">
          <cell r="C30">
            <v>1.6</v>
          </cell>
        </row>
        <row r="31">
          <cell r="C31">
            <v>1.35</v>
          </cell>
        </row>
        <row r="32">
          <cell r="C32">
            <v>1.3</v>
          </cell>
        </row>
        <row r="33">
          <cell r="C33">
            <v>1.22</v>
          </cell>
        </row>
        <row r="34">
          <cell r="C34">
            <v>1.2</v>
          </cell>
        </row>
        <row r="35">
          <cell r="C35">
            <v>1.19</v>
          </cell>
        </row>
        <row r="36">
          <cell r="C36">
            <v>1.17</v>
          </cell>
        </row>
        <row r="37">
          <cell r="C37">
            <v>1.1599999999999999</v>
          </cell>
        </row>
        <row r="38">
          <cell r="C38">
            <v>1.1499999999999999</v>
          </cell>
        </row>
        <row r="39">
          <cell r="C39">
            <v>1.1000000000000001</v>
          </cell>
        </row>
        <row r="40">
          <cell r="C40">
            <v>1.05</v>
          </cell>
        </row>
        <row r="41">
          <cell r="A41">
            <v>40</v>
          </cell>
          <cell r="C41">
            <v>1</v>
          </cell>
        </row>
      </sheetData>
      <sheetData sheetId="20">
        <row r="2">
          <cell r="C2">
            <v>22</v>
          </cell>
        </row>
        <row r="3">
          <cell r="C3">
            <v>17</v>
          </cell>
        </row>
        <row r="4">
          <cell r="C4">
            <v>15.4</v>
          </cell>
        </row>
        <row r="5">
          <cell r="C5">
            <v>15</v>
          </cell>
        </row>
        <row r="6">
          <cell r="C6">
            <v>6.5</v>
          </cell>
        </row>
        <row r="7">
          <cell r="C7">
            <v>6.4</v>
          </cell>
        </row>
        <row r="8">
          <cell r="C8">
            <v>6.2</v>
          </cell>
        </row>
        <row r="9">
          <cell r="C9">
            <v>4.5999999999999996</v>
          </cell>
        </row>
        <row r="10">
          <cell r="C10">
            <v>4.2</v>
          </cell>
        </row>
        <row r="11">
          <cell r="C11">
            <v>3.9</v>
          </cell>
        </row>
        <row r="12">
          <cell r="C12">
            <v>3.4</v>
          </cell>
        </row>
        <row r="13">
          <cell r="C13">
            <v>3.3</v>
          </cell>
        </row>
        <row r="14">
          <cell r="C14">
            <v>3</v>
          </cell>
        </row>
        <row r="15">
          <cell r="C15">
            <v>2.6</v>
          </cell>
        </row>
        <row r="16">
          <cell r="C16">
            <v>2.5</v>
          </cell>
        </row>
        <row r="17">
          <cell r="C17">
            <v>2.2999999999999998</v>
          </cell>
        </row>
        <row r="18">
          <cell r="C18">
            <v>2.2000000000000002</v>
          </cell>
        </row>
        <row r="19">
          <cell r="C19">
            <v>1.8</v>
          </cell>
        </row>
        <row r="20">
          <cell r="C20">
            <v>1.7</v>
          </cell>
        </row>
        <row r="21">
          <cell r="C21">
            <v>1.65</v>
          </cell>
        </row>
        <row r="22">
          <cell r="C22">
            <v>1.6</v>
          </cell>
        </row>
        <row r="23">
          <cell r="C23">
            <v>1.56</v>
          </cell>
        </row>
        <row r="24">
          <cell r="C24">
            <v>1.55</v>
          </cell>
        </row>
        <row r="25">
          <cell r="C25">
            <v>1.5</v>
          </cell>
        </row>
        <row r="26">
          <cell r="C26">
            <v>1.46</v>
          </cell>
        </row>
        <row r="27">
          <cell r="C27">
            <v>1.45</v>
          </cell>
        </row>
        <row r="28">
          <cell r="C28">
            <v>1.42</v>
          </cell>
        </row>
        <row r="29">
          <cell r="C29">
            <v>1.4</v>
          </cell>
        </row>
        <row r="30">
          <cell r="C30">
            <v>1.35</v>
          </cell>
        </row>
        <row r="31">
          <cell r="C31">
            <v>1.3</v>
          </cell>
        </row>
        <row r="32">
          <cell r="C32">
            <v>1.25</v>
          </cell>
        </row>
        <row r="33">
          <cell r="C33">
            <v>1.23</v>
          </cell>
        </row>
        <row r="34">
          <cell r="C34">
            <v>1.2</v>
          </cell>
        </row>
        <row r="35">
          <cell r="C35">
            <v>1.1499999999999999</v>
          </cell>
        </row>
        <row r="36">
          <cell r="C36">
            <v>1.0900000000000001</v>
          </cell>
        </row>
        <row r="37">
          <cell r="C37">
            <v>1.06</v>
          </cell>
        </row>
        <row r="38">
          <cell r="A38">
            <v>37</v>
          </cell>
          <cell r="C38">
            <v>1</v>
          </cell>
        </row>
        <row r="39">
          <cell r="C39">
            <v>0.99</v>
          </cell>
        </row>
        <row r="40">
          <cell r="C40">
            <v>0.96</v>
          </cell>
        </row>
        <row r="41">
          <cell r="C41">
            <v>0.95</v>
          </cell>
        </row>
      </sheetData>
      <sheetData sheetId="21">
        <row r="2">
          <cell r="C2">
            <v>30</v>
          </cell>
        </row>
        <row r="3">
          <cell r="C3">
            <v>20</v>
          </cell>
        </row>
        <row r="4">
          <cell r="C4">
            <v>19.2</v>
          </cell>
        </row>
        <row r="5">
          <cell r="C5">
            <v>16</v>
          </cell>
        </row>
        <row r="6">
          <cell r="C6">
            <v>9.5</v>
          </cell>
        </row>
        <row r="7">
          <cell r="C7">
            <v>9</v>
          </cell>
        </row>
        <row r="8">
          <cell r="C8">
            <v>8</v>
          </cell>
        </row>
        <row r="9">
          <cell r="C9">
            <v>7.3</v>
          </cell>
        </row>
        <row r="10">
          <cell r="C10">
            <v>6</v>
          </cell>
        </row>
        <row r="11">
          <cell r="C11">
            <v>5</v>
          </cell>
        </row>
        <row r="12">
          <cell r="C12">
            <v>3.9</v>
          </cell>
        </row>
        <row r="13">
          <cell r="C13">
            <v>3.5</v>
          </cell>
        </row>
        <row r="14">
          <cell r="C14">
            <v>3.4</v>
          </cell>
        </row>
        <row r="15">
          <cell r="C15">
            <v>3.1</v>
          </cell>
        </row>
        <row r="16">
          <cell r="C16">
            <v>2.8</v>
          </cell>
        </row>
        <row r="17">
          <cell r="C17">
            <v>2.7</v>
          </cell>
        </row>
        <row r="18">
          <cell r="C18">
            <v>2.65</v>
          </cell>
        </row>
        <row r="19">
          <cell r="C19">
            <v>2.6</v>
          </cell>
        </row>
        <row r="20">
          <cell r="C20">
            <v>2.5499999999999998</v>
          </cell>
        </row>
        <row r="21">
          <cell r="C21">
            <v>2.5300000000000002</v>
          </cell>
        </row>
        <row r="22">
          <cell r="C22">
            <v>2.5</v>
          </cell>
        </row>
        <row r="23">
          <cell r="C23">
            <v>2.2000000000000002</v>
          </cell>
        </row>
        <row r="24">
          <cell r="C24">
            <v>2.15</v>
          </cell>
        </row>
        <row r="25">
          <cell r="C25">
            <v>2.1</v>
          </cell>
        </row>
        <row r="26">
          <cell r="C26">
            <v>2</v>
          </cell>
        </row>
        <row r="27">
          <cell r="C27">
            <v>1.95</v>
          </cell>
        </row>
        <row r="28">
          <cell r="C28">
            <v>1.9</v>
          </cell>
        </row>
        <row r="29">
          <cell r="C29">
            <v>1.85</v>
          </cell>
        </row>
        <row r="30">
          <cell r="C30">
            <v>1.8</v>
          </cell>
        </row>
        <row r="31">
          <cell r="C31">
            <v>1.75</v>
          </cell>
        </row>
        <row r="32">
          <cell r="C32">
            <v>1.65</v>
          </cell>
        </row>
        <row r="33">
          <cell r="C33">
            <v>1.6</v>
          </cell>
        </row>
        <row r="34">
          <cell r="C34">
            <v>1.55</v>
          </cell>
        </row>
        <row r="35">
          <cell r="C35">
            <v>1.5</v>
          </cell>
        </row>
        <row r="36">
          <cell r="C36">
            <v>1.4</v>
          </cell>
        </row>
        <row r="37">
          <cell r="C37">
            <v>1.35</v>
          </cell>
        </row>
        <row r="38">
          <cell r="C38">
            <v>1.33</v>
          </cell>
        </row>
        <row r="39">
          <cell r="C39">
            <v>1.3</v>
          </cell>
        </row>
        <row r="40">
          <cell r="C40">
            <v>1.25</v>
          </cell>
        </row>
        <row r="41">
          <cell r="C41">
            <v>1.2</v>
          </cell>
        </row>
        <row r="42">
          <cell r="C42">
            <v>1.1000000000000001</v>
          </cell>
        </row>
        <row r="43">
          <cell r="C43">
            <v>1.0900000000000001</v>
          </cell>
        </row>
        <row r="44">
          <cell r="C44">
            <v>1.0699999999999998</v>
          </cell>
        </row>
        <row r="45">
          <cell r="C45">
            <v>1.06</v>
          </cell>
        </row>
        <row r="46">
          <cell r="C46">
            <v>1.05</v>
          </cell>
        </row>
        <row r="47">
          <cell r="C47">
            <v>1.04</v>
          </cell>
        </row>
        <row r="48">
          <cell r="C48">
            <v>1.03</v>
          </cell>
        </row>
        <row r="49">
          <cell r="C49">
            <v>1.02</v>
          </cell>
        </row>
        <row r="50">
          <cell r="C50">
            <v>1.01</v>
          </cell>
        </row>
        <row r="51">
          <cell r="A51">
            <v>50</v>
          </cell>
          <cell r="C51">
            <v>1</v>
          </cell>
        </row>
      </sheetData>
      <sheetData sheetId="22">
        <row r="2">
          <cell r="C2">
            <v>31</v>
          </cell>
        </row>
        <row r="3">
          <cell r="C3">
            <v>21</v>
          </cell>
        </row>
        <row r="4">
          <cell r="C4">
            <v>20</v>
          </cell>
        </row>
        <row r="5">
          <cell r="C5">
            <v>17.5</v>
          </cell>
        </row>
        <row r="6">
          <cell r="C6">
            <v>15.5</v>
          </cell>
        </row>
        <row r="7">
          <cell r="C7">
            <v>9.6999999999999993</v>
          </cell>
        </row>
        <row r="8">
          <cell r="C8">
            <v>8.6</v>
          </cell>
        </row>
        <row r="9">
          <cell r="C9">
            <v>7</v>
          </cell>
        </row>
        <row r="10">
          <cell r="C10">
            <v>6.8</v>
          </cell>
        </row>
        <row r="11">
          <cell r="C11">
            <v>4.7</v>
          </cell>
        </row>
        <row r="12">
          <cell r="C12">
            <v>3.7</v>
          </cell>
        </row>
        <row r="13">
          <cell r="C13">
            <v>3.4</v>
          </cell>
        </row>
        <row r="14">
          <cell r="C14">
            <v>3.3</v>
          </cell>
        </row>
        <row r="15">
          <cell r="C15">
            <v>3.2</v>
          </cell>
        </row>
        <row r="16">
          <cell r="C16">
            <v>3.1</v>
          </cell>
        </row>
        <row r="17">
          <cell r="C17">
            <v>3</v>
          </cell>
        </row>
        <row r="18">
          <cell r="C18">
            <v>2.95</v>
          </cell>
        </row>
        <row r="19">
          <cell r="C19">
            <v>2.9</v>
          </cell>
        </row>
        <row r="20">
          <cell r="C20">
            <v>2.85</v>
          </cell>
        </row>
        <row r="21">
          <cell r="C21">
            <v>2.8</v>
          </cell>
        </row>
        <row r="22">
          <cell r="C22">
            <v>2.7</v>
          </cell>
        </row>
        <row r="23">
          <cell r="C23">
            <v>2.6</v>
          </cell>
        </row>
        <row r="24">
          <cell r="C24">
            <v>2.5</v>
          </cell>
        </row>
        <row r="25">
          <cell r="C25">
            <v>2.4</v>
          </cell>
        </row>
        <row r="26">
          <cell r="C26">
            <v>2.3600000000000003</v>
          </cell>
        </row>
        <row r="27">
          <cell r="C27">
            <v>2.35</v>
          </cell>
        </row>
        <row r="28">
          <cell r="C28">
            <v>2.2999999999999998</v>
          </cell>
        </row>
        <row r="29">
          <cell r="C29">
            <v>2.25</v>
          </cell>
        </row>
        <row r="30">
          <cell r="C30">
            <v>2.2000000000000002</v>
          </cell>
        </row>
        <row r="31">
          <cell r="C31">
            <v>2.15</v>
          </cell>
        </row>
        <row r="32">
          <cell r="C32">
            <v>2.1</v>
          </cell>
        </row>
        <row r="33">
          <cell r="C33">
            <v>2.0499999999999998</v>
          </cell>
        </row>
        <row r="34">
          <cell r="C34">
            <v>2</v>
          </cell>
        </row>
        <row r="35">
          <cell r="C35">
            <v>1.9</v>
          </cell>
        </row>
        <row r="36">
          <cell r="C36">
            <v>1.8</v>
          </cell>
        </row>
        <row r="37">
          <cell r="C37">
            <v>1.7</v>
          </cell>
        </row>
        <row r="38">
          <cell r="C38">
            <v>1.6</v>
          </cell>
        </row>
        <row r="39">
          <cell r="C39">
            <v>1.5</v>
          </cell>
        </row>
        <row r="40">
          <cell r="C40">
            <v>1.45</v>
          </cell>
        </row>
        <row r="41">
          <cell r="C41">
            <v>1.4</v>
          </cell>
        </row>
        <row r="42">
          <cell r="C42">
            <v>1.35</v>
          </cell>
        </row>
        <row r="43">
          <cell r="C43">
            <v>1.3</v>
          </cell>
        </row>
        <row r="44">
          <cell r="C44">
            <v>1.1400000000000001</v>
          </cell>
        </row>
        <row r="45">
          <cell r="C45">
            <v>1.1300000000000001</v>
          </cell>
        </row>
        <row r="46">
          <cell r="C46">
            <v>1.1199999999999999</v>
          </cell>
        </row>
        <row r="47">
          <cell r="C47">
            <v>1.1000000000000001</v>
          </cell>
        </row>
        <row r="48">
          <cell r="C48">
            <v>1.08</v>
          </cell>
        </row>
        <row r="49">
          <cell r="C49">
            <v>1.0699999999999998</v>
          </cell>
        </row>
        <row r="50">
          <cell r="C50">
            <v>1.06</v>
          </cell>
        </row>
        <row r="51">
          <cell r="A51">
            <v>50</v>
          </cell>
          <cell r="C51">
            <v>1</v>
          </cell>
        </row>
      </sheetData>
      <sheetData sheetId="23">
        <row r="2">
          <cell r="C2">
            <v>33.5</v>
          </cell>
        </row>
        <row r="3">
          <cell r="C3">
            <v>25</v>
          </cell>
        </row>
        <row r="4">
          <cell r="C4">
            <v>15</v>
          </cell>
        </row>
        <row r="5">
          <cell r="C5">
            <v>14.7</v>
          </cell>
        </row>
        <row r="6">
          <cell r="C6">
            <v>13.4</v>
          </cell>
        </row>
        <row r="7">
          <cell r="C7">
            <v>10.9</v>
          </cell>
        </row>
        <row r="8">
          <cell r="C8">
            <v>8.9</v>
          </cell>
        </row>
        <row r="9">
          <cell r="C9">
            <v>7.9</v>
          </cell>
        </row>
        <row r="10">
          <cell r="C10">
            <v>6.85</v>
          </cell>
        </row>
        <row r="11">
          <cell r="C11">
            <v>6.7</v>
          </cell>
        </row>
        <row r="12">
          <cell r="C12">
            <v>6.1</v>
          </cell>
        </row>
        <row r="13">
          <cell r="C13">
            <v>5</v>
          </cell>
        </row>
        <row r="14">
          <cell r="C14">
            <v>4.5999999999999996</v>
          </cell>
        </row>
        <row r="15">
          <cell r="C15">
            <v>4.4000000000000004</v>
          </cell>
        </row>
        <row r="16">
          <cell r="C16">
            <v>3.6</v>
          </cell>
        </row>
        <row r="17">
          <cell r="C17">
            <v>3.2</v>
          </cell>
        </row>
        <row r="18">
          <cell r="C18">
            <v>3.1</v>
          </cell>
        </row>
        <row r="19">
          <cell r="C19">
            <v>2.9</v>
          </cell>
        </row>
        <row r="20">
          <cell r="C20">
            <v>2.85</v>
          </cell>
        </row>
        <row r="21">
          <cell r="C21">
            <v>2.8</v>
          </cell>
        </row>
        <row r="22">
          <cell r="C22">
            <v>2.75</v>
          </cell>
        </row>
        <row r="23">
          <cell r="C23">
            <v>2.5100000000000002</v>
          </cell>
        </row>
        <row r="24">
          <cell r="C24">
            <v>2.4500000000000002</v>
          </cell>
        </row>
        <row r="25">
          <cell r="C25">
            <v>2.4</v>
          </cell>
        </row>
        <row r="26">
          <cell r="C26">
            <v>2.2999999999999998</v>
          </cell>
        </row>
        <row r="27">
          <cell r="C27">
            <v>2.25</v>
          </cell>
        </row>
        <row r="28">
          <cell r="C28">
            <v>2.21</v>
          </cell>
        </row>
        <row r="29">
          <cell r="C29">
            <v>2.2000000000000002</v>
          </cell>
        </row>
        <row r="30">
          <cell r="C30">
            <v>2.1</v>
          </cell>
        </row>
        <row r="31">
          <cell r="C31">
            <v>2.0300000000000002</v>
          </cell>
        </row>
        <row r="32">
          <cell r="C32">
            <v>2</v>
          </cell>
        </row>
        <row r="33">
          <cell r="C33">
            <v>1.9600000000000002</v>
          </cell>
        </row>
        <row r="34">
          <cell r="C34">
            <v>1.95</v>
          </cell>
        </row>
        <row r="35">
          <cell r="C35">
            <v>1.9</v>
          </cell>
        </row>
        <row r="36">
          <cell r="C36">
            <v>1.8</v>
          </cell>
        </row>
        <row r="37">
          <cell r="C37">
            <v>1.75</v>
          </cell>
        </row>
        <row r="38">
          <cell r="C38">
            <v>1.7</v>
          </cell>
        </row>
        <row r="39">
          <cell r="C39">
            <v>1.65</v>
          </cell>
        </row>
        <row r="40">
          <cell r="C40">
            <v>1.6199999999999999</v>
          </cell>
        </row>
        <row r="41">
          <cell r="C41">
            <v>1.61</v>
          </cell>
        </row>
        <row r="42">
          <cell r="C42">
            <v>1.6</v>
          </cell>
        </row>
        <row r="43">
          <cell r="C43">
            <v>1.5</v>
          </cell>
        </row>
        <row r="44">
          <cell r="C44">
            <v>1.44</v>
          </cell>
        </row>
        <row r="45">
          <cell r="C45">
            <v>1.4</v>
          </cell>
        </row>
        <row r="46">
          <cell r="C46">
            <v>1.3900000000000001</v>
          </cell>
        </row>
        <row r="47">
          <cell r="C47">
            <v>1.3800000000000001</v>
          </cell>
        </row>
        <row r="48">
          <cell r="C48">
            <v>1.35</v>
          </cell>
        </row>
        <row r="49">
          <cell r="C49">
            <v>1.3</v>
          </cell>
        </row>
        <row r="50">
          <cell r="C50">
            <v>1.29</v>
          </cell>
        </row>
        <row r="51">
          <cell r="C51">
            <v>1.28</v>
          </cell>
        </row>
      </sheetData>
      <sheetData sheetId="24">
        <row r="2">
          <cell r="C2">
            <v>31.3</v>
          </cell>
        </row>
        <row r="3">
          <cell r="C3">
            <v>23.9</v>
          </cell>
        </row>
        <row r="4">
          <cell r="C4">
            <v>15</v>
          </cell>
        </row>
        <row r="5">
          <cell r="C5">
            <v>14.9</v>
          </cell>
        </row>
        <row r="6">
          <cell r="C6">
            <v>14.8</v>
          </cell>
        </row>
        <row r="7">
          <cell r="C7">
            <v>12.2</v>
          </cell>
        </row>
        <row r="8">
          <cell r="C8">
            <v>8</v>
          </cell>
        </row>
        <row r="9">
          <cell r="C9">
            <v>7.5</v>
          </cell>
        </row>
        <row r="10">
          <cell r="C10">
            <v>7.1</v>
          </cell>
        </row>
        <row r="11">
          <cell r="C11">
            <v>6</v>
          </cell>
        </row>
        <row r="12">
          <cell r="C12">
            <v>5.7</v>
          </cell>
        </row>
        <row r="13">
          <cell r="C13">
            <v>5.5</v>
          </cell>
        </row>
        <row r="14">
          <cell r="C14">
            <v>5.3</v>
          </cell>
        </row>
        <row r="15">
          <cell r="C15">
            <v>5.0999999999999996</v>
          </cell>
        </row>
        <row r="16">
          <cell r="C16">
            <v>4.7</v>
          </cell>
        </row>
        <row r="17">
          <cell r="C17">
            <v>4.0999999999999996</v>
          </cell>
        </row>
        <row r="18">
          <cell r="C18">
            <v>3.9</v>
          </cell>
        </row>
        <row r="19">
          <cell r="C19">
            <v>3.7</v>
          </cell>
        </row>
        <row r="20">
          <cell r="C20">
            <v>3.6</v>
          </cell>
        </row>
        <row r="21">
          <cell r="C21">
            <v>3.2</v>
          </cell>
        </row>
        <row r="22">
          <cell r="C22">
            <v>3.1</v>
          </cell>
        </row>
        <row r="23">
          <cell r="C23">
            <v>2.7</v>
          </cell>
        </row>
        <row r="24">
          <cell r="C24">
            <v>2.6</v>
          </cell>
        </row>
        <row r="25">
          <cell r="C25">
            <v>2.5099999999999998</v>
          </cell>
        </row>
        <row r="26">
          <cell r="C26">
            <v>2.5</v>
          </cell>
        </row>
        <row r="27">
          <cell r="C27">
            <v>2.4900000000000002</v>
          </cell>
        </row>
        <row r="28">
          <cell r="C28">
            <v>2.4500000000000002</v>
          </cell>
        </row>
        <row r="29">
          <cell r="C29">
            <v>2.2999999999999998</v>
          </cell>
        </row>
        <row r="30">
          <cell r="C30">
            <v>2.25</v>
          </cell>
        </row>
        <row r="31">
          <cell r="C31">
            <v>2.2000000000000002</v>
          </cell>
        </row>
        <row r="32">
          <cell r="C32">
            <v>2.1</v>
          </cell>
        </row>
        <row r="33">
          <cell r="C33">
            <v>2.0299999999999998</v>
          </cell>
        </row>
        <row r="34">
          <cell r="C34">
            <v>2</v>
          </cell>
        </row>
        <row r="35">
          <cell r="C35">
            <v>1.95</v>
          </cell>
        </row>
        <row r="36">
          <cell r="C36">
            <v>1.9</v>
          </cell>
        </row>
        <row r="37">
          <cell r="C37">
            <v>1.85</v>
          </cell>
        </row>
        <row r="38">
          <cell r="C38">
            <v>1.8</v>
          </cell>
        </row>
        <row r="39">
          <cell r="C39">
            <v>1.65</v>
          </cell>
        </row>
        <row r="40">
          <cell r="C40">
            <v>1.61</v>
          </cell>
        </row>
        <row r="41">
          <cell r="C41">
            <v>1.6</v>
          </cell>
        </row>
        <row r="42">
          <cell r="C42">
            <v>1.57</v>
          </cell>
        </row>
        <row r="43">
          <cell r="C43">
            <v>1.55</v>
          </cell>
        </row>
        <row r="44">
          <cell r="C44">
            <v>1.52</v>
          </cell>
        </row>
        <row r="45">
          <cell r="C45">
            <v>1.5</v>
          </cell>
        </row>
        <row r="46">
          <cell r="C46">
            <v>1.35</v>
          </cell>
        </row>
        <row r="47">
          <cell r="C47">
            <v>1.25</v>
          </cell>
        </row>
        <row r="48">
          <cell r="C48">
            <v>1.2</v>
          </cell>
        </row>
        <row r="49">
          <cell r="C49">
            <v>1.1000000000000001</v>
          </cell>
        </row>
        <row r="50">
          <cell r="C50">
            <v>1.07</v>
          </cell>
        </row>
        <row r="51">
          <cell r="C51">
            <v>1.05</v>
          </cell>
        </row>
      </sheetData>
      <sheetData sheetId="25">
        <row r="2">
          <cell r="C2">
            <v>36</v>
          </cell>
        </row>
        <row r="3">
          <cell r="C3">
            <v>32.9</v>
          </cell>
        </row>
        <row r="4">
          <cell r="C4">
            <v>19</v>
          </cell>
        </row>
        <row r="5">
          <cell r="C5">
            <v>17.8</v>
          </cell>
        </row>
        <row r="6">
          <cell r="C6">
            <v>17</v>
          </cell>
        </row>
        <row r="7">
          <cell r="C7">
            <v>13</v>
          </cell>
        </row>
        <row r="8">
          <cell r="C8">
            <v>12</v>
          </cell>
        </row>
        <row r="9">
          <cell r="C9">
            <v>11.1</v>
          </cell>
        </row>
        <row r="10">
          <cell r="C10">
            <v>10.4</v>
          </cell>
        </row>
        <row r="11">
          <cell r="C11">
            <v>8.6999999999999993</v>
          </cell>
        </row>
        <row r="12">
          <cell r="C12">
            <v>8.5</v>
          </cell>
        </row>
        <row r="13">
          <cell r="C13">
            <v>7.6</v>
          </cell>
        </row>
        <row r="14">
          <cell r="C14">
            <v>6.5</v>
          </cell>
        </row>
      </sheetData>
      <sheetData sheetId="26">
        <row r="2">
          <cell r="C2">
            <v>36</v>
          </cell>
        </row>
        <row r="3">
          <cell r="C3">
            <v>32.9</v>
          </cell>
        </row>
        <row r="4">
          <cell r="C4">
            <v>19</v>
          </cell>
        </row>
        <row r="5">
          <cell r="C5">
            <v>17.8</v>
          </cell>
        </row>
        <row r="6">
          <cell r="C6">
            <v>17</v>
          </cell>
        </row>
        <row r="7">
          <cell r="C7">
            <v>13</v>
          </cell>
        </row>
        <row r="8">
          <cell r="C8">
            <v>12</v>
          </cell>
        </row>
        <row r="9">
          <cell r="C9">
            <v>11.1</v>
          </cell>
        </row>
        <row r="10">
          <cell r="C10">
            <v>10.4</v>
          </cell>
        </row>
        <row r="11">
          <cell r="C11">
            <v>8.6999999999999993</v>
          </cell>
        </row>
        <row r="12">
          <cell r="C12">
            <v>8.5</v>
          </cell>
        </row>
        <row r="13">
          <cell r="C13">
            <v>7.6</v>
          </cell>
        </row>
        <row r="14">
          <cell r="C14">
            <v>6.5</v>
          </cell>
        </row>
        <row r="15">
          <cell r="C15">
            <v>5.7</v>
          </cell>
        </row>
        <row r="16">
          <cell r="C16">
            <v>5.5</v>
          </cell>
        </row>
        <row r="17">
          <cell r="C17">
            <v>5.2</v>
          </cell>
        </row>
        <row r="18">
          <cell r="C18">
            <v>5.0999999999999996</v>
          </cell>
        </row>
        <row r="19">
          <cell r="C19">
            <v>5</v>
          </cell>
        </row>
        <row r="20">
          <cell r="C20">
            <v>4.4000000000000004</v>
          </cell>
        </row>
        <row r="21">
          <cell r="C21">
            <v>4.3</v>
          </cell>
        </row>
        <row r="22">
          <cell r="C22">
            <v>4</v>
          </cell>
        </row>
        <row r="23">
          <cell r="C23">
            <v>3.7</v>
          </cell>
        </row>
        <row r="24">
          <cell r="C24">
            <v>3.5</v>
          </cell>
        </row>
        <row r="25">
          <cell r="C25">
            <v>3.45</v>
          </cell>
        </row>
        <row r="26">
          <cell r="C26">
            <v>3.4</v>
          </cell>
        </row>
        <row r="27">
          <cell r="C27">
            <v>3.35</v>
          </cell>
        </row>
        <row r="28">
          <cell r="C28">
            <v>3.3</v>
          </cell>
        </row>
        <row r="29">
          <cell r="C29">
            <v>2.8</v>
          </cell>
        </row>
        <row r="30">
          <cell r="C30">
            <v>2.65</v>
          </cell>
        </row>
        <row r="31">
          <cell r="C31">
            <v>2.6</v>
          </cell>
        </row>
        <row r="32">
          <cell r="C32">
            <v>2.5</v>
          </cell>
        </row>
        <row r="33">
          <cell r="C33">
            <v>2.4500000000000002</v>
          </cell>
        </row>
        <row r="34">
          <cell r="C34">
            <v>2.4</v>
          </cell>
        </row>
        <row r="35">
          <cell r="C35">
            <v>2.37</v>
          </cell>
        </row>
        <row r="36">
          <cell r="C36">
            <v>2.36</v>
          </cell>
        </row>
        <row r="37">
          <cell r="C37">
            <v>2.35</v>
          </cell>
        </row>
        <row r="38">
          <cell r="C38">
            <v>2.2999999999999998</v>
          </cell>
        </row>
        <row r="39">
          <cell r="C39">
            <v>2.2999999999999998</v>
          </cell>
        </row>
        <row r="40">
          <cell r="C40">
            <v>2.2799999999999998</v>
          </cell>
        </row>
        <row r="41">
          <cell r="C41">
            <v>2</v>
          </cell>
        </row>
        <row r="42">
          <cell r="C42">
            <v>1.7</v>
          </cell>
        </row>
        <row r="43">
          <cell r="C43">
            <v>1.65</v>
          </cell>
        </row>
        <row r="44">
          <cell r="C44">
            <v>1.61</v>
          </cell>
        </row>
        <row r="45">
          <cell r="C45">
            <v>1.6</v>
          </cell>
        </row>
        <row r="46">
          <cell r="C46">
            <v>1.59</v>
          </cell>
        </row>
        <row r="47">
          <cell r="C47">
            <v>1.55</v>
          </cell>
        </row>
        <row r="48">
          <cell r="C48">
            <v>1.5</v>
          </cell>
        </row>
        <row r="49">
          <cell r="C49">
            <v>1.37</v>
          </cell>
        </row>
        <row r="50">
          <cell r="C50">
            <v>1.3</v>
          </cell>
        </row>
        <row r="51">
          <cell r="C51">
            <v>1.25</v>
          </cell>
        </row>
      </sheetData>
      <sheetData sheetId="27">
        <row r="2">
          <cell r="C2">
            <v>31.7</v>
          </cell>
        </row>
        <row r="3">
          <cell r="C3">
            <v>30</v>
          </cell>
          <cell r="G3">
            <v>175.50700000000001</v>
          </cell>
        </row>
        <row r="4">
          <cell r="C4">
            <v>17.100000000000001</v>
          </cell>
        </row>
        <row r="5">
          <cell r="C5">
            <v>17</v>
          </cell>
        </row>
        <row r="6">
          <cell r="C6">
            <v>15</v>
          </cell>
        </row>
        <row r="7">
          <cell r="C7">
            <v>14.8</v>
          </cell>
        </row>
        <row r="8">
          <cell r="C8">
            <v>10.8</v>
          </cell>
        </row>
        <row r="9">
          <cell r="C9">
            <v>9.5</v>
          </cell>
        </row>
        <row r="10">
          <cell r="C10">
            <v>8.5</v>
          </cell>
        </row>
        <row r="11">
          <cell r="C11">
            <v>6.7</v>
          </cell>
        </row>
        <row r="12">
          <cell r="C12">
            <v>5.4</v>
          </cell>
        </row>
        <row r="13">
          <cell r="C13">
            <v>5.35</v>
          </cell>
        </row>
        <row r="14">
          <cell r="C14">
            <v>5.3</v>
          </cell>
        </row>
        <row r="15">
          <cell r="C15">
            <v>5.2</v>
          </cell>
        </row>
        <row r="16">
          <cell r="C16">
            <v>5.0999999999999996</v>
          </cell>
        </row>
        <row r="17">
          <cell r="C17">
            <v>5</v>
          </cell>
        </row>
        <row r="18">
          <cell r="C18">
            <v>4.9000000000000004</v>
          </cell>
        </row>
        <row r="19">
          <cell r="C19">
            <v>4.8</v>
          </cell>
        </row>
        <row r="20">
          <cell r="C20">
            <v>4.7</v>
          </cell>
        </row>
        <row r="21">
          <cell r="C21">
            <v>4.62</v>
          </cell>
        </row>
        <row r="22">
          <cell r="C22">
            <v>4.5999999999999996</v>
          </cell>
        </row>
        <row r="23">
          <cell r="C23">
            <v>4.3899999999999997</v>
          </cell>
        </row>
        <row r="24">
          <cell r="C24">
            <v>4.2</v>
          </cell>
        </row>
        <row r="25">
          <cell r="C25">
            <v>4.0999999999999996</v>
          </cell>
        </row>
        <row r="26">
          <cell r="C26">
            <v>4</v>
          </cell>
        </row>
        <row r="27">
          <cell r="C27">
            <v>3.9</v>
          </cell>
        </row>
        <row r="28">
          <cell r="C28">
            <v>3.8</v>
          </cell>
        </row>
        <row r="29">
          <cell r="C29">
            <v>3.3</v>
          </cell>
        </row>
        <row r="30">
          <cell r="C30">
            <v>3</v>
          </cell>
        </row>
        <row r="31">
          <cell r="C31">
            <v>2.8</v>
          </cell>
        </row>
        <row r="32">
          <cell r="C32">
            <v>2.6</v>
          </cell>
        </row>
        <row r="33">
          <cell r="C33">
            <v>2.5499999999999998</v>
          </cell>
        </row>
        <row r="34">
          <cell r="C34">
            <v>2.5</v>
          </cell>
        </row>
        <row r="35">
          <cell r="C35">
            <v>2.2999999999999998</v>
          </cell>
        </row>
        <row r="36">
          <cell r="C36">
            <v>2.25</v>
          </cell>
        </row>
        <row r="37">
          <cell r="C37">
            <v>2.1</v>
          </cell>
        </row>
        <row r="38">
          <cell r="C38">
            <v>2.02</v>
          </cell>
        </row>
        <row r="39">
          <cell r="C39">
            <v>2</v>
          </cell>
        </row>
        <row r="40">
          <cell r="C40">
            <v>1.95</v>
          </cell>
        </row>
        <row r="41">
          <cell r="C41">
            <v>1.9</v>
          </cell>
        </row>
        <row r="42">
          <cell r="C42">
            <v>1.85</v>
          </cell>
        </row>
        <row r="43">
          <cell r="C43">
            <v>1.8</v>
          </cell>
        </row>
        <row r="44">
          <cell r="C44">
            <v>1.65</v>
          </cell>
        </row>
        <row r="45">
          <cell r="C45">
            <v>1.6</v>
          </cell>
        </row>
        <row r="46">
          <cell r="C46">
            <v>1.45</v>
          </cell>
        </row>
        <row r="47">
          <cell r="C47">
            <v>1.4</v>
          </cell>
        </row>
        <row r="48">
          <cell r="C48">
            <v>1.36</v>
          </cell>
        </row>
        <row r="49">
          <cell r="C49">
            <v>1.34</v>
          </cell>
        </row>
        <row r="50">
          <cell r="C50">
            <v>1.3</v>
          </cell>
        </row>
        <row r="51">
          <cell r="C51">
            <v>1.27</v>
          </cell>
        </row>
      </sheetData>
      <sheetData sheetId="28">
        <row r="18">
          <cell r="G18">
            <v>32.74</v>
          </cell>
        </row>
        <row r="519">
          <cell r="G519">
            <v>2807.4439999999954</v>
          </cell>
        </row>
        <row r="1159">
          <cell r="G1159">
            <v>21.649999999999995</v>
          </cell>
        </row>
        <row r="1198">
          <cell r="G1198">
            <v>86.126000000000005</v>
          </cell>
        </row>
        <row r="1229">
          <cell r="G1229">
            <v>58.161999999999992</v>
          </cell>
        </row>
        <row r="1349">
          <cell r="G1349">
            <v>63.375</v>
          </cell>
        </row>
        <row r="1380">
          <cell r="G1380">
            <v>43.555</v>
          </cell>
        </row>
        <row r="2030">
          <cell r="G2030">
            <v>167.16800000000001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1"/>
      <sheetName val="1986"/>
      <sheetName val="1991"/>
      <sheetName val="1996"/>
      <sheetName val="2001"/>
      <sheetName val="2006"/>
      <sheetName val="2011"/>
      <sheetName val="2016"/>
      <sheetName val="2018"/>
      <sheetName val="AP1"/>
      <sheetName val="pop"/>
      <sheetName val="MPF"/>
      <sheetName val="AP2"/>
      <sheetName val="C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H3">
            <v>3439400.0000000005</v>
          </cell>
          <cell r="I3">
            <v>3880100.0000000005</v>
          </cell>
        </row>
        <row r="25">
          <cell r="H25">
            <v>3492900</v>
          </cell>
          <cell r="I25">
            <v>3948700.0000000005</v>
          </cell>
        </row>
        <row r="47">
          <cell r="H47">
            <v>3539899.9999999995</v>
          </cell>
          <cell r="I47">
            <v>4009899.9999999995</v>
          </cell>
        </row>
        <row r="69">
          <cell r="H69">
            <v>3561200</v>
          </cell>
          <cell r="I69">
            <v>4044000</v>
          </cell>
        </row>
        <row r="91">
          <cell r="H91">
            <v>3633300.0000000005</v>
          </cell>
          <cell r="I91">
            <v>4135700.0000000009</v>
          </cell>
        </row>
        <row r="113">
          <cell r="H113">
            <v>3678000</v>
          </cell>
          <cell r="I113">
            <v>4200300</v>
          </cell>
        </row>
        <row r="135">
          <cell r="H135">
            <v>3760399.9999999995</v>
          </cell>
          <cell r="I135">
            <v>4306400</v>
          </cell>
        </row>
        <row r="157">
          <cell r="H157">
            <v>3856700</v>
          </cell>
          <cell r="I157">
            <v>4430700</v>
          </cell>
        </row>
        <row r="179">
          <cell r="H179">
            <v>3938000</v>
          </cell>
          <cell r="I179">
            <v>4539800</v>
          </cell>
        </row>
        <row r="201">
          <cell r="M201">
            <v>4132000</v>
          </cell>
          <cell r="N201">
            <v>4785700</v>
          </cell>
        </row>
        <row r="223">
          <cell r="M223">
            <v>4182100.0000000005</v>
          </cell>
          <cell r="N223">
            <v>4853700.0000000009</v>
          </cell>
        </row>
        <row r="245">
          <cell r="M245">
            <v>4228499.9999999991</v>
          </cell>
          <cell r="N245">
            <v>4919099.9999999991</v>
          </cell>
        </row>
        <row r="267">
          <cell r="M267">
            <v>4279400</v>
          </cell>
          <cell r="N267">
            <v>4989400</v>
          </cell>
        </row>
        <row r="289">
          <cell r="M289">
            <v>4348700</v>
          </cell>
          <cell r="N289">
            <v>5077900</v>
          </cell>
        </row>
        <row r="311">
          <cell r="M311">
            <v>4416500</v>
          </cell>
          <cell r="N311">
            <v>5169800</v>
          </cell>
        </row>
        <row r="333">
          <cell r="M333">
            <v>4454900</v>
          </cell>
          <cell r="N333">
            <v>5232000</v>
          </cell>
        </row>
        <row r="355">
          <cell r="M355">
            <v>4465600</v>
          </cell>
          <cell r="N355">
            <v>5261000</v>
          </cell>
        </row>
        <row r="377">
          <cell r="M377">
            <v>4523500</v>
          </cell>
          <cell r="N377">
            <v>5342500</v>
          </cell>
        </row>
        <row r="399">
          <cell r="M399">
            <v>4575400.0000000009</v>
          </cell>
          <cell r="N399">
            <v>5410100</v>
          </cell>
        </row>
        <row r="421">
          <cell r="M421">
            <v>4629600</v>
          </cell>
          <cell r="N421">
            <v>5481700.0000000009</v>
          </cell>
        </row>
        <row r="443">
          <cell r="M443">
            <v>4684700</v>
          </cell>
          <cell r="N443">
            <v>5556900</v>
          </cell>
        </row>
        <row r="465">
          <cell r="M465">
            <v>4737800</v>
          </cell>
          <cell r="N465">
            <v>5620500</v>
          </cell>
        </row>
        <row r="487">
          <cell r="M487">
            <v>4779299.9999999991</v>
          </cell>
          <cell r="N487">
            <v>5677900</v>
          </cell>
        </row>
        <row r="509">
          <cell r="M509">
            <v>4833500</v>
          </cell>
          <cell r="N509">
            <v>5752000</v>
          </cell>
        </row>
        <row r="531">
          <cell r="M531">
            <v>4883000</v>
          </cell>
          <cell r="N531">
            <v>5824400.0000000009</v>
          </cell>
        </row>
        <row r="553">
          <cell r="M553">
            <v>4937600</v>
          </cell>
          <cell r="N553">
            <v>5917500</v>
          </cell>
        </row>
        <row r="575">
          <cell r="M575">
            <v>4956799.9999999991</v>
          </cell>
          <cell r="N575">
            <v>5976700</v>
          </cell>
        </row>
        <row r="597">
          <cell r="M597">
            <v>4975700</v>
          </cell>
          <cell r="N597">
            <v>6039500</v>
          </cell>
        </row>
        <row r="619">
          <cell r="M619">
            <v>4987900</v>
          </cell>
          <cell r="N619">
            <v>6102500</v>
          </cell>
        </row>
        <row r="641">
          <cell r="M641">
            <v>5002000.0000000009</v>
          </cell>
          <cell r="N641">
            <v>6165200.0000000009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_wage"/>
      <sheetName val="edu"/>
      <sheetName val="sex"/>
      <sheetName val="pob"/>
      <sheetName val="inds"/>
      <sheetName val="occ"/>
      <sheetName val="tnr"/>
      <sheetName val="tnr2"/>
      <sheetName val="uqr_1981"/>
      <sheetName val="uqr_1986"/>
      <sheetName val="uqr_1996"/>
      <sheetName val="uqr_2001"/>
      <sheetName val="uqr_2006"/>
      <sheetName val="uqr_2011"/>
      <sheetName val="uqr_2016"/>
      <sheetName val="oaxaca"/>
      <sheetName val="sex_top1"/>
      <sheetName val="pob_top1"/>
      <sheetName val="edu_top1"/>
      <sheetName val="inds_top1"/>
      <sheetName val="occ_top1"/>
      <sheetName val="tnr_top1"/>
      <sheetName val="sex_20"/>
      <sheetName val="sex_30"/>
      <sheetName val="sex_40"/>
      <sheetName val="sex_50"/>
      <sheetName val="pob_20"/>
      <sheetName val="pob_30"/>
      <sheetName val="pob_40"/>
      <sheetName val="pob_50"/>
      <sheetName val="edu_20"/>
      <sheetName val="edu_30"/>
      <sheetName val="edu_40"/>
      <sheetName val="edu_50"/>
      <sheetName val="inds_20"/>
      <sheetName val="inds_30"/>
      <sheetName val="inds_40"/>
      <sheetName val="inds_50"/>
      <sheetName val="occ_20"/>
      <sheetName val="occ_30"/>
      <sheetName val="occ_40"/>
      <sheetName val="occ_50"/>
      <sheetName val="tnr_20"/>
      <sheetName val="tnr_30"/>
      <sheetName val="tnr_40"/>
      <sheetName val="tnr_50"/>
    </sheetNames>
    <sheetDataSet>
      <sheetData sheetId="0">
        <row r="2">
          <cell r="B2">
            <v>29638936</v>
          </cell>
          <cell r="C2">
            <v>1815.6661376953125</v>
          </cell>
          <cell r="E2">
            <v>0.32686358690261841</v>
          </cell>
          <cell r="H2">
            <v>65909288</v>
          </cell>
          <cell r="I2">
            <v>3270.283203125</v>
          </cell>
          <cell r="K2">
            <v>0.35397624969482422</v>
          </cell>
          <cell r="N2">
            <v>220161296</v>
          </cell>
          <cell r="O2">
            <v>7545.7822265625</v>
          </cell>
          <cell r="Q2">
            <v>0.38034093379974365</v>
          </cell>
          <cell r="T2">
            <v>514304384</v>
          </cell>
          <cell r="U2">
            <v>14506.0234375</v>
          </cell>
          <cell r="W2">
            <v>0.41295731067657471</v>
          </cell>
          <cell r="Z2">
            <v>716030592</v>
          </cell>
          <cell r="AA2">
            <v>17388.076171875</v>
          </cell>
          <cell r="AC2">
            <v>0.42219609022140503</v>
          </cell>
          <cell r="AF2">
            <v>761224960</v>
          </cell>
          <cell r="AG2">
            <v>16254.6982421875</v>
          </cell>
          <cell r="AI2">
            <v>0.42907789349555969</v>
          </cell>
          <cell r="AL2">
            <v>961197696</v>
          </cell>
          <cell r="AM2">
            <v>19417.431640625</v>
          </cell>
          <cell r="AO2">
            <v>0.44136467576026917</v>
          </cell>
          <cell r="AR2">
            <v>1202014208</v>
          </cell>
          <cell r="AS2">
            <v>23930.287109375</v>
          </cell>
          <cell r="AU2">
            <v>0.42800700664520264</v>
          </cell>
        </row>
        <row r="7">
          <cell r="B7">
            <v>21133380</v>
          </cell>
          <cell r="C7">
            <v>2588.92333984375</v>
          </cell>
          <cell r="H7">
            <v>48042576</v>
          </cell>
          <cell r="I7">
            <v>4767.07470703125</v>
          </cell>
          <cell r="N7">
            <v>163751120</v>
          </cell>
          <cell r="O7">
            <v>11224.7177734375</v>
          </cell>
          <cell r="T7">
            <v>391815232</v>
          </cell>
          <cell r="U7">
            <v>22101.880859375</v>
          </cell>
          <cell r="Z7">
            <v>554188800</v>
          </cell>
          <cell r="AA7">
            <v>26915.59375</v>
          </cell>
          <cell r="AF7">
            <v>592369216</v>
          </cell>
          <cell r="AG7">
            <v>25297.9296875</v>
          </cell>
          <cell r="AL7">
            <v>755641472</v>
          </cell>
          <cell r="AM7">
            <v>30529.384765625</v>
          </cell>
          <cell r="AR7">
            <v>931711232</v>
          </cell>
          <cell r="AS7">
            <v>37097.47265625</v>
          </cell>
        </row>
        <row r="11">
          <cell r="B11">
            <v>7944023</v>
          </cell>
          <cell r="C11">
            <v>4864.68017578125</v>
          </cell>
          <cell r="H11">
            <v>19324646</v>
          </cell>
          <cell r="I11">
            <v>9585.6376953125</v>
          </cell>
          <cell r="N11">
            <v>69463208</v>
          </cell>
          <cell r="O11">
            <v>23804.57421875</v>
          </cell>
          <cell r="T11">
            <v>176070704</v>
          </cell>
          <cell r="U11">
            <v>49657.69140625</v>
          </cell>
          <cell r="Z11">
            <v>241147424</v>
          </cell>
          <cell r="AA11">
            <v>58559.3515625</v>
          </cell>
          <cell r="AF11">
            <v>259200480</v>
          </cell>
          <cell r="AG11">
            <v>55343.0546875</v>
          </cell>
          <cell r="AL11">
            <v>335796768</v>
          </cell>
          <cell r="AM11">
            <v>67829.2890625</v>
          </cell>
          <cell r="AR11">
            <v>413367744</v>
          </cell>
          <cell r="AS11">
            <v>82294.296875</v>
          </cell>
        </row>
        <row r="13">
          <cell r="B13">
            <v>1848220</v>
          </cell>
          <cell r="C13">
            <v>11269.6337890625</v>
          </cell>
          <cell r="H13">
            <v>4428612</v>
          </cell>
          <cell r="I13">
            <v>21923.822265625</v>
          </cell>
          <cell r="N13">
            <v>17816496</v>
          </cell>
          <cell r="O13">
            <v>61038.28515625</v>
          </cell>
          <cell r="T13">
            <v>49669488</v>
          </cell>
          <cell r="U13">
            <v>140029.9375</v>
          </cell>
          <cell r="Z13">
            <v>57531668</v>
          </cell>
          <cell r="AA13">
            <v>139634.4375</v>
          </cell>
          <cell r="AF13">
            <v>64373188</v>
          </cell>
          <cell r="AG13">
            <v>137435.109375</v>
          </cell>
          <cell r="AL13">
            <v>85278360</v>
          </cell>
          <cell r="AM13">
            <v>172251.84375</v>
          </cell>
          <cell r="AR13">
            <v>107824776</v>
          </cell>
          <cell r="AS13">
            <v>214532.265625</v>
          </cell>
        </row>
      </sheetData>
      <sheetData sheetId="1">
        <row r="2">
          <cell r="B2">
            <v>0.48296985030174255</v>
          </cell>
        </row>
      </sheetData>
      <sheetData sheetId="2">
        <row r="2">
          <cell r="A2">
            <v>1981</v>
          </cell>
        </row>
      </sheetData>
      <sheetData sheetId="3">
        <row r="2">
          <cell r="B2">
            <v>0.48198971152305603</v>
          </cell>
        </row>
      </sheetData>
      <sheetData sheetId="4">
        <row r="2">
          <cell r="A2">
            <v>1981</v>
          </cell>
        </row>
      </sheetData>
      <sheetData sheetId="5">
        <row r="2">
          <cell r="A2">
            <v>1981</v>
          </cell>
        </row>
      </sheetData>
      <sheetData sheetId="6">
        <row r="2">
          <cell r="A2">
            <v>1981</v>
          </cell>
        </row>
      </sheetData>
      <sheetData sheetId="7">
        <row r="2">
          <cell r="A2">
            <v>1981</v>
          </cell>
        </row>
      </sheetData>
      <sheetData sheetId="8">
        <row r="1">
          <cell r="A1" t="str">
            <v>p</v>
          </cell>
        </row>
      </sheetData>
      <sheetData sheetId="9" refreshError="1"/>
      <sheetData sheetId="10">
        <row r="2">
          <cell r="C2">
            <v>-0.20703718066215515</v>
          </cell>
        </row>
      </sheetData>
      <sheetData sheetId="11" refreshError="1"/>
      <sheetData sheetId="12" refreshError="1"/>
      <sheetData sheetId="13" refreshError="1"/>
      <sheetData sheetId="14">
        <row r="1">
          <cell r="A1" t="str">
            <v>p</v>
          </cell>
        </row>
      </sheetData>
      <sheetData sheetId="15">
        <row r="6">
          <cell r="A6" t="str">
            <v>group_1</v>
          </cell>
        </row>
      </sheetData>
      <sheetData sheetId="16">
        <row r="2">
          <cell r="B2">
            <v>0.12195122241973877</v>
          </cell>
        </row>
      </sheetData>
      <sheetData sheetId="17">
        <row r="2">
          <cell r="B2">
            <v>0.65243899822235107</v>
          </cell>
        </row>
      </sheetData>
      <sheetData sheetId="18">
        <row r="2">
          <cell r="A2">
            <v>1981</v>
          </cell>
        </row>
      </sheetData>
      <sheetData sheetId="19">
        <row r="2">
          <cell r="A2">
            <v>1981</v>
          </cell>
        </row>
      </sheetData>
      <sheetData sheetId="20">
        <row r="2">
          <cell r="A2">
            <v>1981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A2">
            <v>1981</v>
          </cell>
        </row>
      </sheetData>
      <sheetData sheetId="31">
        <row r="2">
          <cell r="B2">
            <v>0.42408081889152527</v>
          </cell>
        </row>
      </sheetData>
      <sheetData sheetId="32">
        <row r="2">
          <cell r="B2">
            <v>0.65610027313232422</v>
          </cell>
        </row>
      </sheetData>
      <sheetData sheetId="33">
        <row r="2">
          <cell r="B2">
            <v>0.80162841081619263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_w"/>
      <sheetName val="age_top1"/>
      <sheetName val="inc_wage_20"/>
      <sheetName val="inc_wage_30"/>
      <sheetName val="inc_wage_40"/>
      <sheetName val="inc_wage_50"/>
      <sheetName val="20"/>
      <sheetName val="30"/>
      <sheetName val="40"/>
      <sheetName val="50"/>
      <sheetName val="age_ws"/>
    </sheetNames>
    <sheetDataSet>
      <sheetData sheetId="0">
        <row r="2">
          <cell r="A2">
            <v>1981</v>
          </cell>
        </row>
      </sheetData>
      <sheetData sheetId="1">
        <row r="2">
          <cell r="A2">
            <v>1981</v>
          </cell>
        </row>
      </sheetData>
      <sheetData sheetId="2">
        <row r="2">
          <cell r="C2">
            <v>1651.710205078125</v>
          </cell>
          <cell r="E2">
            <v>0.26760917901992798</v>
          </cell>
          <cell r="I2">
            <v>2732.972412109375</v>
          </cell>
          <cell r="K2">
            <v>0.26885122060775757</v>
          </cell>
          <cell r="O2">
            <v>6616.6748046875</v>
          </cell>
          <cell r="Q2">
            <v>0.28269249200820923</v>
          </cell>
          <cell r="U2">
            <v>12047.7646484375</v>
          </cell>
          <cell r="W2">
            <v>0.30730649828910828</v>
          </cell>
          <cell r="AA2">
            <v>13300.615234375</v>
          </cell>
          <cell r="AC2">
            <v>0.3110315203666687</v>
          </cell>
          <cell r="AG2">
            <v>11189.7333984375</v>
          </cell>
          <cell r="AI2">
            <v>0.30143436789512634</v>
          </cell>
          <cell r="AM2">
            <v>13804.611328125</v>
          </cell>
          <cell r="AO2">
            <v>0.340272456407547</v>
          </cell>
          <cell r="AS2">
            <v>16261.59375</v>
          </cell>
          <cell r="AU2">
            <v>0.30163753032684326</v>
          </cell>
        </row>
      </sheetData>
      <sheetData sheetId="3">
        <row r="2">
          <cell r="C2">
            <v>2260.3505859375</v>
          </cell>
          <cell r="E2">
            <v>0.35993897914886475</v>
          </cell>
          <cell r="I2">
            <v>4076.231689453125</v>
          </cell>
          <cell r="K2">
            <v>0.37910667061805725</v>
          </cell>
          <cell r="O2">
            <v>8875.529296875</v>
          </cell>
          <cell r="Q2">
            <v>0.38906478881835938</v>
          </cell>
          <cell r="U2">
            <v>16413.48046875</v>
          </cell>
          <cell r="W2">
            <v>0.39832624793052673</v>
          </cell>
          <cell r="AA2">
            <v>20193.71484375</v>
          </cell>
          <cell r="AC2">
            <v>0.39357113838195801</v>
          </cell>
          <cell r="AG2">
            <v>18421.1171875</v>
          </cell>
          <cell r="AI2">
            <v>0.38412338495254517</v>
          </cell>
          <cell r="AM2">
            <v>21723.01171875</v>
          </cell>
          <cell r="AO2">
            <v>0.39259800314903259</v>
          </cell>
          <cell r="AS2">
            <v>26350.990234375</v>
          </cell>
          <cell r="AU2">
            <v>0.37882101535797119</v>
          </cell>
        </row>
      </sheetData>
      <sheetData sheetId="4">
        <row r="2">
          <cell r="C2">
            <v>1891.7762451171875</v>
          </cell>
          <cell r="E2">
            <v>0.35263651609420776</v>
          </cell>
          <cell r="I2">
            <v>3637.562744140625</v>
          </cell>
          <cell r="K2">
            <v>0.38690543174743652</v>
          </cell>
          <cell r="O2">
            <v>8377.490234375</v>
          </cell>
          <cell r="Q2">
            <v>0.44107776880264282</v>
          </cell>
          <cell r="U2">
            <v>16169.07421875</v>
          </cell>
          <cell r="W2">
            <v>0.47300595045089722</v>
          </cell>
          <cell r="AA2">
            <v>18723.76953125</v>
          </cell>
          <cell r="AC2">
            <v>0.46224990487098694</v>
          </cell>
          <cell r="AG2">
            <v>18465.1171875</v>
          </cell>
          <cell r="AI2">
            <v>0.45723527669906616</v>
          </cell>
          <cell r="AM2">
            <v>22460.712890625</v>
          </cell>
          <cell r="AO2">
            <v>0.45584124326705933</v>
          </cell>
          <cell r="AS2">
            <v>27963.33984375</v>
          </cell>
          <cell r="AU2">
            <v>0.43757185339927673</v>
          </cell>
        </row>
      </sheetData>
      <sheetData sheetId="5">
        <row r="2">
          <cell r="C2">
            <v>1598.6136474609375</v>
          </cell>
          <cell r="E2">
            <v>0.34687882661819458</v>
          </cell>
          <cell r="I2">
            <v>2883.7666015625</v>
          </cell>
          <cell r="K2">
            <v>0.37897968292236328</v>
          </cell>
          <cell r="O2">
            <v>5885.7119140625</v>
          </cell>
          <cell r="Q2">
            <v>0.41505399346351624</v>
          </cell>
          <cell r="U2">
            <v>11353.46484375</v>
          </cell>
          <cell r="W2">
            <v>0.45825916528701782</v>
          </cell>
          <cell r="AA2">
            <v>15171.806640625</v>
          </cell>
          <cell r="AC2">
            <v>0.48698461055755615</v>
          </cell>
          <cell r="AG2">
            <v>14961.28125</v>
          </cell>
          <cell r="AI2">
            <v>0.49076908826828003</v>
          </cell>
          <cell r="AM2">
            <v>17957.845703125</v>
          </cell>
          <cell r="AO2">
            <v>0.49015611410140991</v>
          </cell>
          <cell r="AS2">
            <v>23234.521484375</v>
          </cell>
          <cell r="AU2">
            <v>0.47187790274620056</v>
          </cell>
        </row>
      </sheetData>
      <sheetData sheetId="6">
        <row r="2">
          <cell r="B2">
            <v>-0.21399915218353271</v>
          </cell>
        </row>
      </sheetData>
      <sheetData sheetId="7">
        <row r="2">
          <cell r="B2">
            <v>-0.51902514696121216</v>
          </cell>
        </row>
      </sheetData>
      <sheetData sheetId="8">
        <row r="2">
          <cell r="B2">
            <v>-0.57037925720214844</v>
          </cell>
        </row>
      </sheetData>
      <sheetData sheetId="9">
        <row r="2">
          <cell r="B2">
            <v>-0.52723050117492676</v>
          </cell>
        </row>
      </sheetData>
      <sheetData sheetId="10">
        <row r="2">
          <cell r="A2">
            <v>1981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  <sheetName val="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1"/>
      <sheetName val="1986"/>
      <sheetName val="1991"/>
      <sheetName val="2001"/>
      <sheetName val="1996"/>
      <sheetName val="2006"/>
      <sheetName val="2011"/>
      <sheetName val="2016"/>
      <sheetName val="2018"/>
    </sheetNames>
    <sheetDataSet>
      <sheetData sheetId="0">
        <row r="7">
          <cell r="B7">
            <v>18961.12109375</v>
          </cell>
          <cell r="C7">
            <v>13967.3544921875</v>
          </cell>
          <cell r="D7">
            <v>3280.572998046875</v>
          </cell>
        </row>
        <row r="10">
          <cell r="C10">
            <v>17132.30078125</v>
          </cell>
        </row>
        <row r="13">
          <cell r="B13">
            <v>27734.158203125</v>
          </cell>
          <cell r="D13">
            <v>4669.50048828125</v>
          </cell>
        </row>
      </sheetData>
      <sheetData sheetId="1">
        <row r="7">
          <cell r="B7">
            <v>31752.267578125</v>
          </cell>
          <cell r="C7">
            <v>23065.57421875</v>
          </cell>
          <cell r="D7">
            <v>5331.3525390625</v>
          </cell>
        </row>
        <row r="10">
          <cell r="C10">
            <v>28465.892578125</v>
          </cell>
        </row>
        <row r="13">
          <cell r="B13">
            <v>39048.76171875</v>
          </cell>
          <cell r="D13">
            <v>7107.37451171875</v>
          </cell>
        </row>
      </sheetData>
      <sheetData sheetId="2">
        <row r="7">
          <cell r="B7">
            <v>80020.875</v>
          </cell>
          <cell r="C7">
            <v>53986.01953125</v>
          </cell>
          <cell r="D7">
            <v>12506.5478515625</v>
          </cell>
        </row>
        <row r="10">
          <cell r="C10">
            <v>57817.17578125</v>
          </cell>
        </row>
        <row r="13">
          <cell r="B13">
            <v>85532.828125</v>
          </cell>
          <cell r="D13">
            <v>13734.4130859375</v>
          </cell>
        </row>
      </sheetData>
      <sheetData sheetId="3">
        <row r="7">
          <cell r="B7">
            <v>151161.125</v>
          </cell>
          <cell r="C7">
            <v>118712.2421875</v>
          </cell>
          <cell r="D7">
            <v>20298.810546875</v>
          </cell>
        </row>
        <row r="10">
          <cell r="C10">
            <v>118221.84375</v>
          </cell>
        </row>
        <row r="13">
          <cell r="B13">
            <v>151936.0625</v>
          </cell>
          <cell r="D13">
            <v>21727.0390625</v>
          </cell>
        </row>
      </sheetData>
      <sheetData sheetId="4">
        <row r="7">
          <cell r="B7">
            <v>142440.828125</v>
          </cell>
          <cell r="C7">
            <v>108133.9375</v>
          </cell>
          <cell r="D7">
            <v>20474.125</v>
          </cell>
        </row>
        <row r="10">
          <cell r="C10">
            <v>108095.96875</v>
          </cell>
        </row>
        <row r="13">
          <cell r="B13">
            <v>141506.546875</v>
          </cell>
          <cell r="D13">
            <v>20310.888671875</v>
          </cell>
        </row>
      </sheetData>
      <sheetData sheetId="5">
        <row r="7">
          <cell r="B7">
            <v>148016.25</v>
          </cell>
          <cell r="C7">
            <v>109899.0703125</v>
          </cell>
          <cell r="D7">
            <v>19850.861328125</v>
          </cell>
        </row>
        <row r="10">
          <cell r="C10">
            <v>130311.0625</v>
          </cell>
        </row>
        <row r="13">
          <cell r="B13">
            <v>178736.28125</v>
          </cell>
          <cell r="D13">
            <v>26481.400390625</v>
          </cell>
        </row>
      </sheetData>
      <sheetData sheetId="6">
        <row r="7">
          <cell r="B7">
            <v>173050.984375</v>
          </cell>
          <cell r="C7">
            <v>132005.453125</v>
          </cell>
          <cell r="D7">
            <v>21071.73046875</v>
          </cell>
        </row>
        <row r="10">
          <cell r="C10">
            <v>155593.265625</v>
          </cell>
        </row>
        <row r="13">
          <cell r="B13">
            <v>205938.125</v>
          </cell>
          <cell r="D13">
            <v>27018.98046875</v>
          </cell>
        </row>
      </sheetData>
      <sheetData sheetId="7">
        <row r="7">
          <cell r="B7">
            <v>196209.875</v>
          </cell>
          <cell r="C7">
            <v>157048.5625</v>
          </cell>
          <cell r="D7">
            <v>23284.53125</v>
          </cell>
        </row>
        <row r="10">
          <cell r="C10">
            <v>179974.046875</v>
          </cell>
        </row>
        <row r="13">
          <cell r="B13">
            <v>225192.546875</v>
          </cell>
          <cell r="D13">
            <v>27563.54296875</v>
          </cell>
        </row>
      </sheetData>
      <sheetData sheetId="8">
        <row r="10">
          <cell r="C10">
            <v>208845.796875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6"/>
      <sheetName val="HKG2011"/>
      <sheetName val="HKG2016"/>
      <sheetName val="Summary"/>
      <sheetName val="Composition"/>
      <sheetName val="HKG2001"/>
    </sheetNames>
    <sheetDataSet>
      <sheetData sheetId="0">
        <row r="110">
          <cell r="I110">
            <v>2.8057007119059563E-2</v>
          </cell>
        </row>
      </sheetData>
      <sheetData sheetId="1">
        <row r="110">
          <cell r="I110">
            <v>1.6587641090154648E-2</v>
          </cell>
        </row>
      </sheetData>
      <sheetData sheetId="2">
        <row r="110">
          <cell r="I110">
            <v>1.8357647582888603E-2</v>
          </cell>
        </row>
      </sheetData>
      <sheetData sheetId="3">
        <row r="110">
          <cell r="I110">
            <v>1.6792099922895432E-2</v>
          </cell>
        </row>
      </sheetData>
      <sheetData sheetId="4">
        <row r="110">
          <cell r="I110">
            <v>1.6391998156905174E-2</v>
          </cell>
        </row>
      </sheetData>
      <sheetData sheetId="5">
        <row r="110">
          <cell r="I110">
            <v>1.4019489288330078E-2</v>
          </cell>
        </row>
      </sheetData>
      <sheetData sheetId="6">
        <row r="110">
          <cell r="I110">
            <v>1.1968203820288181E-2</v>
          </cell>
        </row>
      </sheetData>
      <sheetData sheetId="7">
        <row r="2">
          <cell r="C2">
            <v>0.4340137243270874</v>
          </cell>
          <cell r="D2">
            <v>0.21964037418365479</v>
          </cell>
          <cell r="E2">
            <v>0.45672842860221863</v>
          </cell>
          <cell r="F2">
            <v>0.32363119721412659</v>
          </cell>
          <cell r="G2">
            <v>9.1186374425888062E-2</v>
          </cell>
        </row>
        <row r="7">
          <cell r="C7">
            <v>0.45858126878738403</v>
          </cell>
          <cell r="D7">
            <v>0.20256274938583374</v>
          </cell>
          <cell r="E7">
            <v>0.45793202519416809</v>
          </cell>
          <cell r="F7">
            <v>0.33950522541999817</v>
          </cell>
          <cell r="G7">
            <v>8.4507763385772705E-2</v>
          </cell>
        </row>
        <row r="12">
          <cell r="C12">
            <v>0.54034745693206787</v>
          </cell>
          <cell r="D12">
            <v>0.14852172136306763</v>
          </cell>
          <cell r="E12">
            <v>0.459023118019104</v>
          </cell>
          <cell r="F12">
            <v>0.39245516061782837</v>
          </cell>
          <cell r="G12">
            <v>9.8296552896499634E-2</v>
          </cell>
        </row>
        <row r="17">
          <cell r="C17">
            <v>0.5315176248550415</v>
          </cell>
          <cell r="D17">
            <v>0.15690690279006958</v>
          </cell>
          <cell r="E17">
            <v>0.44717073440551758</v>
          </cell>
          <cell r="F17">
            <v>0.39592236280441284</v>
          </cell>
          <cell r="G17">
            <v>9.5772542059421539E-2</v>
          </cell>
        </row>
        <row r="22">
          <cell r="C22">
            <v>0.5637890100479126</v>
          </cell>
          <cell r="D22">
            <v>0.13250666856765747</v>
          </cell>
          <cell r="E22">
            <v>0.45607995986938477</v>
          </cell>
          <cell r="F22">
            <v>0.41141337156295776</v>
          </cell>
          <cell r="G22">
            <v>9.3636438250541687E-2</v>
          </cell>
        </row>
        <row r="27">
          <cell r="C27">
            <v>0.56645828485488892</v>
          </cell>
          <cell r="D27">
            <v>0.12932127714157104</v>
          </cell>
          <cell r="E27">
            <v>0.46168753504753113</v>
          </cell>
          <cell r="F27">
            <v>0.40899118781089783</v>
          </cell>
          <cell r="G27">
            <v>9.6836000680923462E-2</v>
          </cell>
        </row>
        <row r="32">
          <cell r="C32">
            <v>0.57198649644851685</v>
          </cell>
          <cell r="D32">
            <v>0.1268952488899231</v>
          </cell>
          <cell r="E32">
            <v>0.4567234218120575</v>
          </cell>
          <cell r="F32">
            <v>0.41638132929801941</v>
          </cell>
          <cell r="G32">
            <v>9.3913175165653229E-2</v>
          </cell>
        </row>
        <row r="37">
          <cell r="C37">
            <v>0.55450242757797241</v>
          </cell>
          <cell r="D37">
            <v>0.13549411296844482</v>
          </cell>
          <cell r="E37">
            <v>0.46570098400115967</v>
          </cell>
          <cell r="F37">
            <v>0.39880490303039551</v>
          </cell>
          <cell r="G37">
            <v>8.5750490427017212E-2</v>
          </cell>
        </row>
      </sheetData>
      <sheetData sheetId="8" refreshError="1"/>
      <sheetData sheetId="9">
        <row r="110">
          <cell r="I110">
            <v>1.4945430681109428E-2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1"/>
      <sheetName val="HKG2006"/>
      <sheetName val="HKG2011"/>
      <sheetName val="HKG2016"/>
      <sheetName val="Summary"/>
      <sheetName val="Composition"/>
    </sheetNames>
    <sheetDataSet>
      <sheetData sheetId="0">
        <row r="110">
          <cell r="I110">
            <v>3.4342497587203979E-2</v>
          </cell>
        </row>
      </sheetData>
      <sheetData sheetId="1">
        <row r="110">
          <cell r="I110">
            <v>1.7847629263997078E-2</v>
          </cell>
        </row>
      </sheetData>
      <sheetData sheetId="2">
        <row r="110">
          <cell r="I110">
            <v>2.3684581741690636E-2</v>
          </cell>
        </row>
      </sheetData>
      <sheetData sheetId="3">
        <row r="110">
          <cell r="I110">
            <v>2.7541903778910637E-2</v>
          </cell>
        </row>
      </sheetData>
      <sheetData sheetId="4">
        <row r="110">
          <cell r="I110">
            <v>2.0657803863286972E-2</v>
          </cell>
        </row>
      </sheetData>
      <sheetData sheetId="5">
        <row r="110">
          <cell r="I110">
            <v>2.4771286174654961E-2</v>
          </cell>
        </row>
      </sheetData>
      <sheetData sheetId="6">
        <row r="110">
          <cell r="I110">
            <v>2.3729337379336357E-2</v>
          </cell>
        </row>
      </sheetData>
      <sheetData sheetId="7">
        <row r="110">
          <cell r="I110">
            <v>2.267318032681942E-2</v>
          </cell>
        </row>
      </sheetData>
      <sheetData sheetId="8">
        <row r="2">
          <cell r="C2">
            <v>0.43767133355140686</v>
          </cell>
          <cell r="D2">
            <v>0.21821999549865723</v>
          </cell>
          <cell r="E2">
            <v>0.45377495884895325</v>
          </cell>
          <cell r="F2">
            <v>0.32800504565238953</v>
          </cell>
          <cell r="G2">
            <v>9.7063392400741577E-2</v>
          </cell>
        </row>
        <row r="7">
          <cell r="C7">
            <v>0.45927461981773376</v>
          </cell>
          <cell r="D7">
            <v>0.20230317115783691</v>
          </cell>
          <cell r="E7">
            <v>0.45734533667564392</v>
          </cell>
          <cell r="F7">
            <v>0.34035149216651917</v>
          </cell>
          <cell r="G7">
            <v>8.5680745542049408E-2</v>
          </cell>
        </row>
        <row r="12">
          <cell r="C12">
            <v>0.54600286483764648</v>
          </cell>
          <cell r="D12">
            <v>0.14667946100234985</v>
          </cell>
          <cell r="E12">
            <v>0.45332708954811096</v>
          </cell>
          <cell r="F12">
            <v>0.39999344944953918</v>
          </cell>
          <cell r="G12">
            <v>0.10923509299755096</v>
          </cell>
        </row>
        <row r="17">
          <cell r="C17">
            <v>0.54546225070953369</v>
          </cell>
          <cell r="D17">
            <v>0.15216356515884399</v>
          </cell>
          <cell r="E17">
            <v>0.43365368247032166</v>
          </cell>
          <cell r="F17">
            <v>0.41418275237083435</v>
          </cell>
          <cell r="G17">
            <v>0.12054727971553802</v>
          </cell>
        </row>
        <row r="22">
          <cell r="C22">
            <v>0.57107847929000854</v>
          </cell>
          <cell r="D22">
            <v>0.13023698329925537</v>
          </cell>
          <cell r="E22">
            <v>0.44827336072921753</v>
          </cell>
          <cell r="F22">
            <v>0.4214896559715271</v>
          </cell>
          <cell r="G22">
            <v>0.1060960441827774</v>
          </cell>
        </row>
        <row r="27">
          <cell r="C27">
            <v>0.5743829607963562</v>
          </cell>
          <cell r="D27">
            <v>0.12691283226013184</v>
          </cell>
          <cell r="E27">
            <v>0.45308810472488403</v>
          </cell>
          <cell r="F27">
            <v>0.41999906301498413</v>
          </cell>
          <cell r="G27">
            <v>0.1117522269487381</v>
          </cell>
        </row>
        <row r="32">
          <cell r="C32">
            <v>0.58461880683898926</v>
          </cell>
          <cell r="D32">
            <v>0.12304562330245972</v>
          </cell>
          <cell r="E32">
            <v>0.44287079572677612</v>
          </cell>
          <cell r="F32">
            <v>0.43408358097076416</v>
          </cell>
          <cell r="G32">
            <v>0.11603857576847076</v>
          </cell>
        </row>
        <row r="37">
          <cell r="C37">
            <v>0.57395410537719727</v>
          </cell>
          <cell r="D37">
            <v>0.12938392162322998</v>
          </cell>
          <cell r="E37">
            <v>0.44470429420471191</v>
          </cell>
          <cell r="F37">
            <v>0.42591178417205811</v>
          </cell>
          <cell r="G37">
            <v>0.11645259708166122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1"/>
      <sheetName val="HKG2006"/>
      <sheetName val="HKG2011"/>
      <sheetName val="HKG2016"/>
      <sheetName val="HKG2018"/>
      <sheetName val="Summary"/>
      <sheetName val="Composition"/>
    </sheetNames>
    <sheetDataSet>
      <sheetData sheetId="0">
        <row r="110">
          <cell r="I110">
            <v>2.5190537795424461E-2</v>
          </cell>
        </row>
      </sheetData>
      <sheetData sheetId="1">
        <row r="110">
          <cell r="I110">
            <v>2.4315821006894112E-2</v>
          </cell>
        </row>
      </sheetData>
      <sheetData sheetId="2">
        <row r="110">
          <cell r="I110">
            <v>3.1086564064025879E-2</v>
          </cell>
        </row>
      </sheetData>
      <sheetData sheetId="3">
        <row r="110">
          <cell r="I110">
            <v>3.22108194231987E-2</v>
          </cell>
        </row>
      </sheetData>
      <sheetData sheetId="4">
        <row r="110">
          <cell r="I110">
            <v>3.7396762520074844E-2</v>
          </cell>
        </row>
      </sheetData>
      <sheetData sheetId="5">
        <row r="110">
          <cell r="I110">
            <v>5.3963784128427505E-2</v>
          </cell>
        </row>
      </sheetData>
      <sheetData sheetId="6">
        <row r="110">
          <cell r="I110">
            <v>4.222174733877182E-2</v>
          </cell>
        </row>
      </sheetData>
      <sheetData sheetId="7">
        <row r="110">
          <cell r="I110">
            <v>4.1752088814973831E-2</v>
          </cell>
        </row>
      </sheetData>
      <sheetData sheetId="8">
        <row r="110">
          <cell r="I110">
            <v>4.412122443318367E-2</v>
          </cell>
        </row>
      </sheetData>
      <sheetData sheetId="9">
        <row r="2">
          <cell r="C2">
            <v>0.50420445203781128</v>
          </cell>
          <cell r="D2">
            <v>0.18658280372619629</v>
          </cell>
          <cell r="E2">
            <v>0.40641376376152039</v>
          </cell>
          <cell r="F2">
            <v>0.40700343251228333</v>
          </cell>
          <cell r="G2">
            <v>0.10666424781084061</v>
          </cell>
        </row>
        <row r="7">
          <cell r="C7">
            <v>0.50444525480270386</v>
          </cell>
          <cell r="D7">
            <v>0.18123108148574829</v>
          </cell>
          <cell r="E7">
            <v>0.42666900157928467</v>
          </cell>
          <cell r="F7">
            <v>0.39209991693496704</v>
          </cell>
          <cell r="G7">
            <v>0.10679087787866592</v>
          </cell>
        </row>
        <row r="12">
          <cell r="C12">
            <v>0.56543701887130737</v>
          </cell>
          <cell r="D12">
            <v>0.13906663656234741</v>
          </cell>
          <cell r="E12">
            <v>0.43539789319038391</v>
          </cell>
          <cell r="F12">
            <v>0.42553547024726868</v>
          </cell>
          <cell r="G12">
            <v>0.12177582085132599</v>
          </cell>
        </row>
        <row r="17">
          <cell r="C17">
            <v>0.54384797811508179</v>
          </cell>
          <cell r="D17">
            <v>0.15258830785751343</v>
          </cell>
          <cell r="E17">
            <v>0.43590137362480164</v>
          </cell>
          <cell r="F17">
            <v>0.41151031851768494</v>
          </cell>
          <cell r="G17">
            <v>0.11830522119998932</v>
          </cell>
        </row>
        <row r="22">
          <cell r="C22">
            <v>0.58018797636032104</v>
          </cell>
          <cell r="D22">
            <v>0.12898147106170654</v>
          </cell>
          <cell r="E22">
            <v>0.43412607908248901</v>
          </cell>
          <cell r="F22">
            <v>0.43689244985580444</v>
          </cell>
          <cell r="G22">
            <v>0.13343586027622223</v>
          </cell>
        </row>
        <row r="27">
          <cell r="C27">
            <v>0.61565941572189331</v>
          </cell>
          <cell r="D27">
            <v>0.1124383807182312</v>
          </cell>
          <cell r="E27">
            <v>0.41343507170677185</v>
          </cell>
          <cell r="F27">
            <v>0.47412654757499695</v>
          </cell>
          <cell r="G27">
            <v>0.17187821865081787</v>
          </cell>
        </row>
        <row r="32">
          <cell r="C32">
            <v>0.62179344892501831</v>
          </cell>
          <cell r="D32">
            <v>0.11004108190536499</v>
          </cell>
          <cell r="E32">
            <v>0.40736812353134155</v>
          </cell>
          <cell r="F32">
            <v>0.48259079456329346</v>
          </cell>
          <cell r="G32">
            <v>0.16854876279830933</v>
          </cell>
        </row>
        <row r="37">
          <cell r="C37">
            <v>0.61599826812744141</v>
          </cell>
          <cell r="D37">
            <v>0.11479270458221436</v>
          </cell>
          <cell r="E37">
            <v>0.4021790623664856</v>
          </cell>
          <cell r="F37">
            <v>0.48302823305130005</v>
          </cell>
          <cell r="G37">
            <v>0.16552810370922089</v>
          </cell>
        </row>
        <row r="39">
          <cell r="C39">
            <v>0.610848069190979</v>
          </cell>
          <cell r="D39">
            <v>0.11566668748855591</v>
          </cell>
          <cell r="E39">
            <v>0.41148591041564941</v>
          </cell>
          <cell r="F39">
            <v>0.47284740209579468</v>
          </cell>
          <cell r="G39">
            <v>0.16274772584438324</v>
          </cell>
        </row>
      </sheetData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KG1981"/>
      <sheetName val="HKG1986"/>
      <sheetName val="HKG1991"/>
      <sheetName val="HKG1996"/>
      <sheetName val="HKG2001"/>
      <sheetName val="HKG2006"/>
      <sheetName val="HKG2011"/>
      <sheetName val="HKG2016"/>
      <sheetName val="Summary"/>
      <sheetName val="Composition"/>
    </sheetNames>
    <sheetDataSet>
      <sheetData sheetId="0">
        <row r="110">
          <cell r="I110">
            <v>3.4518923610448837E-2</v>
          </cell>
        </row>
      </sheetData>
      <sheetData sheetId="1">
        <row r="110">
          <cell r="I110">
            <v>2.0588554441928864E-2</v>
          </cell>
        </row>
      </sheetData>
      <sheetData sheetId="2">
        <row r="110">
          <cell r="I110">
            <v>1.6887903213500977E-2</v>
          </cell>
        </row>
      </sheetData>
      <sheetData sheetId="3">
        <row r="110">
          <cell r="I110">
            <v>1.4552495442330837E-2</v>
          </cell>
        </row>
      </sheetData>
      <sheetData sheetId="4">
        <row r="110">
          <cell r="I110">
            <v>1.3533152639865875E-2</v>
          </cell>
        </row>
      </sheetData>
      <sheetData sheetId="5">
        <row r="110">
          <cell r="I110">
            <v>1.4704108238220215E-2</v>
          </cell>
        </row>
      </sheetData>
      <sheetData sheetId="6">
        <row r="110">
          <cell r="I110">
            <v>1.3799054548144341E-2</v>
          </cell>
        </row>
      </sheetData>
      <sheetData sheetId="7">
        <row r="110">
          <cell r="I110">
            <v>1.1653502471745014E-2</v>
          </cell>
        </row>
      </sheetData>
      <sheetData sheetId="8">
        <row r="2">
          <cell r="C2">
            <v>0.40731227397918701</v>
          </cell>
          <cell r="D2">
            <v>0.24711072444915771</v>
          </cell>
          <cell r="E2">
            <v>0.40555456280708313</v>
          </cell>
          <cell r="F2">
            <v>0.34733471274375916</v>
          </cell>
          <cell r="G2">
            <v>0.11595525592565536</v>
          </cell>
        </row>
        <row r="7">
          <cell r="C7">
            <v>0.4243190586566925</v>
          </cell>
          <cell r="D7">
            <v>0.23324346542358398</v>
          </cell>
          <cell r="E7">
            <v>0.41441991925239563</v>
          </cell>
          <cell r="F7">
            <v>0.35233661532402039</v>
          </cell>
          <cell r="G7">
            <v>9.6460781991481781E-2</v>
          </cell>
        </row>
        <row r="12">
          <cell r="C12">
            <v>0.48389405012130737</v>
          </cell>
          <cell r="D12">
            <v>0.19402563571929932</v>
          </cell>
          <cell r="E12">
            <v>0.41900363564491272</v>
          </cell>
          <cell r="F12">
            <v>0.38697072863578796</v>
          </cell>
          <cell r="G12">
            <v>9.9745497107505798E-2</v>
          </cell>
        </row>
        <row r="17">
          <cell r="C17">
            <v>0.47827616333961487</v>
          </cell>
          <cell r="D17">
            <v>0.19276589155197144</v>
          </cell>
          <cell r="E17">
            <v>0.43266260623931885</v>
          </cell>
          <cell r="F17">
            <v>0.37457150220870972</v>
          </cell>
          <cell r="G17">
            <v>8.85152667760849E-2</v>
          </cell>
        </row>
        <row r="22">
          <cell r="C22">
            <v>0.50800848007202148</v>
          </cell>
          <cell r="D22">
            <v>0.17158263921737671</v>
          </cell>
          <cell r="E22">
            <v>0.44259563088417053</v>
          </cell>
          <cell r="F22">
            <v>0.38582172989845276</v>
          </cell>
          <cell r="G22">
            <v>8.7291799485683441E-2</v>
          </cell>
        </row>
        <row r="27">
          <cell r="C27">
            <v>0.52116143703460693</v>
          </cell>
          <cell r="D27">
            <v>0.16347193717956543</v>
          </cell>
          <cell r="E27">
            <v>0.44144970178604126</v>
          </cell>
          <cell r="F27">
            <v>0.39507836103439331</v>
          </cell>
          <cell r="G27">
            <v>9.5239974558353424E-2</v>
          </cell>
        </row>
        <row r="32">
          <cell r="C32">
            <v>0.5260615348815918</v>
          </cell>
          <cell r="D32">
            <v>0.15995693206787109</v>
          </cell>
          <cell r="E32">
            <v>0.44371110200881958</v>
          </cell>
          <cell r="F32">
            <v>0.39633196592330933</v>
          </cell>
          <cell r="G32">
            <v>9.0520896017551422E-2</v>
          </cell>
        </row>
        <row r="37">
          <cell r="C37">
            <v>0.50776380300521851</v>
          </cell>
          <cell r="D37">
            <v>0.1697850227355957</v>
          </cell>
          <cell r="E37">
            <v>0.45118823647499084</v>
          </cell>
          <cell r="F37">
            <v>0.37902674078941345</v>
          </cell>
          <cell r="G37">
            <v>8.1016115844249725E-2</v>
          </cell>
        </row>
      </sheetData>
      <sheetData sheetId="9">
        <row r="2">
          <cell r="C2">
            <v>0.75727856159210205</v>
          </cell>
          <cell r="D2">
            <v>0.16238376498222351</v>
          </cell>
          <cell r="E2">
            <v>8.0337747931480408E-2</v>
          </cell>
          <cell r="F2">
            <v>0.8595699667930603</v>
          </cell>
          <cell r="G2">
            <v>9.5624223351478577E-2</v>
          </cell>
          <cell r="H2">
            <v>4.4805672019720078E-2</v>
          </cell>
          <cell r="I2">
            <v>0.82518541812896729</v>
          </cell>
          <cell r="J2">
            <v>0.13809862732887268</v>
          </cell>
          <cell r="K2">
            <v>3.6716148257255554E-2</v>
          </cell>
          <cell r="L2">
            <v>0.60521411895751953</v>
          </cell>
          <cell r="M2">
            <v>0.23823551833629608</v>
          </cell>
          <cell r="N2">
            <v>0.15655039250850677</v>
          </cell>
          <cell r="O2">
            <v>0.41962519288063049</v>
          </cell>
          <cell r="P2">
            <v>0.3199462890625</v>
          </cell>
          <cell r="Q2">
            <v>0.26042994856834412</v>
          </cell>
        </row>
        <row r="7">
          <cell r="C7">
            <v>0.7429233193397522</v>
          </cell>
          <cell r="D7">
            <v>0.15376301109790802</v>
          </cell>
          <cell r="E7">
            <v>0.10331366211175919</v>
          </cell>
          <cell r="F7">
            <v>0.85156542062759399</v>
          </cell>
          <cell r="G7">
            <v>9.3142084777355194E-2</v>
          </cell>
          <cell r="H7">
            <v>5.5292580276727676E-2</v>
          </cell>
          <cell r="I7">
            <v>0.80003243684768677</v>
          </cell>
          <cell r="J7">
            <v>0.12439152598381042</v>
          </cell>
          <cell r="K7">
            <v>7.5576044619083405E-2</v>
          </cell>
          <cell r="L7">
            <v>0.60383135080337524</v>
          </cell>
          <cell r="M7">
            <v>0.22844035923480988</v>
          </cell>
          <cell r="N7">
            <v>0.16772826015949249</v>
          </cell>
          <cell r="O7">
            <v>0.43307951092720032</v>
          </cell>
          <cell r="P7">
            <v>0.33619129657745361</v>
          </cell>
          <cell r="Q7">
            <v>0.23073039948940277</v>
          </cell>
        </row>
        <row r="12">
          <cell r="C12">
            <v>0.70658552646636963</v>
          </cell>
          <cell r="D12">
            <v>0.14200842380523682</v>
          </cell>
          <cell r="E12">
            <v>0.15140610933303833</v>
          </cell>
          <cell r="F12">
            <v>0.81940311193466187</v>
          </cell>
          <cell r="G12">
            <v>8.1384114921092987E-2</v>
          </cell>
          <cell r="H12">
            <v>9.9212504923343658E-2</v>
          </cell>
          <cell r="I12">
            <v>0.76856106519699097</v>
          </cell>
          <cell r="J12">
            <v>0.12450751662254333</v>
          </cell>
          <cell r="K12">
            <v>0.1069314256310463</v>
          </cell>
          <cell r="L12">
            <v>0.58291333913803101</v>
          </cell>
          <cell r="M12">
            <v>0.19135482609272003</v>
          </cell>
          <cell r="N12">
            <v>0.22573201358318329</v>
          </cell>
          <cell r="O12">
            <v>0.42676728963851929</v>
          </cell>
          <cell r="P12">
            <v>0.2347453236579895</v>
          </cell>
          <cell r="Q12">
            <v>0.33848750591278076</v>
          </cell>
        </row>
        <row r="17">
          <cell r="C17">
            <v>0.78387117385864258</v>
          </cell>
          <cell r="D17">
            <v>0.12951454520225525</v>
          </cell>
          <cell r="E17">
            <v>8.661428838968277E-2</v>
          </cell>
          <cell r="F17">
            <v>0.86134612560272217</v>
          </cell>
          <cell r="G17">
            <v>7.6863296329975128E-2</v>
          </cell>
          <cell r="H17">
            <v>6.1790820211172104E-2</v>
          </cell>
          <cell r="I17">
            <v>0.79655766487121582</v>
          </cell>
          <cell r="J17">
            <v>0.11714167147874832</v>
          </cell>
          <cell r="K17">
            <v>8.630051463842392E-2</v>
          </cell>
          <cell r="L17">
            <v>0.72934627532958984</v>
          </cell>
          <cell r="M17">
            <v>0.17090220749378204</v>
          </cell>
          <cell r="N17">
            <v>9.975164383649826E-2</v>
          </cell>
          <cell r="O17">
            <v>0.67300015687942505</v>
          </cell>
          <cell r="P17">
            <v>0.22548317909240723</v>
          </cell>
          <cell r="Q17">
            <v>0.10151778906583786</v>
          </cell>
        </row>
        <row r="22">
          <cell r="C22">
            <v>0.80924659967422485</v>
          </cell>
          <cell r="D22">
            <v>0.11896879225969315</v>
          </cell>
          <cell r="E22">
            <v>7.1784570813179016E-2</v>
          </cell>
          <cell r="F22">
            <v>0.83619731664657593</v>
          </cell>
          <cell r="G22">
            <v>6.8078607320785522E-2</v>
          </cell>
          <cell r="H22">
            <v>9.5724068582057953E-2</v>
          </cell>
          <cell r="I22">
            <v>0.82201629877090454</v>
          </cell>
          <cell r="J22">
            <v>0.11740400642156601</v>
          </cell>
          <cell r="K22">
            <v>6.0579597949981689E-2</v>
          </cell>
          <cell r="L22">
            <v>0.78261232376098633</v>
          </cell>
          <cell r="M22">
            <v>0.14339572191238403</v>
          </cell>
          <cell r="N22">
            <v>7.3991991579532623E-2</v>
          </cell>
          <cell r="O22">
            <v>0.70134443044662476</v>
          </cell>
          <cell r="P22">
            <v>0.1754811704158783</v>
          </cell>
          <cell r="Q22">
            <v>0.12317466735839844</v>
          </cell>
        </row>
        <row r="27">
          <cell r="C27">
            <v>0.77136355638504028</v>
          </cell>
          <cell r="D27">
            <v>0.11992669850587845</v>
          </cell>
          <cell r="E27">
            <v>0.10870971530675888</v>
          </cell>
          <cell r="F27">
            <v>0.83685284852981567</v>
          </cell>
          <cell r="G27">
            <v>5.8128155767917633E-2</v>
          </cell>
          <cell r="H27">
            <v>0.10501888394355774</v>
          </cell>
          <cell r="I27">
            <v>0.81474596261978149</v>
          </cell>
          <cell r="J27">
            <v>0.11101838946342468</v>
          </cell>
          <cell r="K27">
            <v>7.4235573410987854E-2</v>
          </cell>
          <cell r="L27">
            <v>0.69579166173934937</v>
          </cell>
          <cell r="M27">
            <v>0.15545102953910828</v>
          </cell>
          <cell r="N27">
            <v>0.14875733852386475</v>
          </cell>
          <cell r="O27">
            <v>0.55180788040161133</v>
          </cell>
          <cell r="P27">
            <v>0.19047422707080841</v>
          </cell>
          <cell r="Q27">
            <v>0.25771787762641907</v>
          </cell>
        </row>
        <row r="32">
          <cell r="C32">
            <v>0.79129397869110107</v>
          </cell>
          <cell r="D32">
            <v>0.10935141146183014</v>
          </cell>
          <cell r="E32">
            <v>9.9354691803455353E-2</v>
          </cell>
          <cell r="F32">
            <v>0.83550870418548584</v>
          </cell>
          <cell r="G32">
            <v>7.3192976415157318E-2</v>
          </cell>
          <cell r="H32">
            <v>9.1298565268516541E-2</v>
          </cell>
          <cell r="I32">
            <v>0.82746684551239014</v>
          </cell>
          <cell r="J32">
            <v>0.10700327157974243</v>
          </cell>
          <cell r="K32">
            <v>6.5529830753803253E-2</v>
          </cell>
          <cell r="L32">
            <v>0.73295199871063232</v>
          </cell>
          <cell r="M32">
            <v>0.12657356262207031</v>
          </cell>
          <cell r="N32">
            <v>0.14047451317310333</v>
          </cell>
          <cell r="O32">
            <v>0.62048500776290894</v>
          </cell>
          <cell r="P32">
            <v>0.15207818150520325</v>
          </cell>
          <cell r="Q32">
            <v>0.22743687033653259</v>
          </cell>
        </row>
        <row r="37">
          <cell r="C37">
            <v>0.81550335884094238</v>
          </cell>
          <cell r="D37">
            <v>0.11464264988899231</v>
          </cell>
          <cell r="E37">
            <v>6.9853976368904114E-2</v>
          </cell>
          <cell r="F37">
            <v>0.83312225341796875</v>
          </cell>
          <cell r="G37">
            <v>7.349260151386261E-2</v>
          </cell>
          <cell r="H37">
            <v>9.338485449552536E-2</v>
          </cell>
          <cell r="I37">
            <v>0.84285849332809448</v>
          </cell>
          <cell r="J37">
            <v>0.11133908480405807</v>
          </cell>
          <cell r="K37">
            <v>4.5802541077136993E-2</v>
          </cell>
          <cell r="L37">
            <v>0.7750478982925415</v>
          </cell>
          <cell r="M37">
            <v>0.13700832426548004</v>
          </cell>
          <cell r="N37">
            <v>8.7943822145462036E-2</v>
          </cell>
          <cell r="O37">
            <v>0.6961437463760376</v>
          </cell>
          <cell r="P37">
            <v>0.15962101519107819</v>
          </cell>
          <cell r="Q37">
            <v>0.1442352682352066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position"/>
      <sheetName val="HKG1981"/>
      <sheetName val="HKG1986"/>
      <sheetName val="HKG1991"/>
      <sheetName val="HKG1996"/>
      <sheetName val="HKG2001"/>
      <sheetName val="HKG2006"/>
      <sheetName val="HKG2011"/>
      <sheetName val="HKG2016"/>
    </sheetNames>
    <sheetDataSet>
      <sheetData sheetId="0">
        <row r="2">
          <cell r="C2">
            <v>0.4271867573261261</v>
          </cell>
          <cell r="D2">
            <v>0.23881882429122925</v>
          </cell>
          <cell r="E2">
            <v>0.39194601774215698</v>
          </cell>
          <cell r="F2">
            <v>0.36923515796661377</v>
          </cell>
          <cell r="G2">
            <v>0.14561982452869415</v>
          </cell>
        </row>
        <row r="7">
          <cell r="C7">
            <v>0.43779182434082031</v>
          </cell>
          <cell r="D7">
            <v>0.22777086496353149</v>
          </cell>
          <cell r="E7">
            <v>0.40469643473625183</v>
          </cell>
          <cell r="F7">
            <v>0.36753270030021667</v>
          </cell>
          <cell r="G7">
            <v>0.11766047775745392</v>
          </cell>
        </row>
        <row r="12">
          <cell r="C12">
            <v>0.51298552751541138</v>
          </cell>
          <cell r="D12">
            <v>0.18295800685882568</v>
          </cell>
          <cell r="E12">
            <v>0.39511275291442871</v>
          </cell>
          <cell r="F12">
            <v>0.42192924022674561</v>
          </cell>
          <cell r="G12">
            <v>0.14780981838703156</v>
          </cell>
        </row>
        <row r="17">
          <cell r="C17">
            <v>0.50949776172637939</v>
          </cell>
          <cell r="D17">
            <v>0.18104422092437744</v>
          </cell>
          <cell r="E17">
            <v>0.40635323524475098</v>
          </cell>
          <cell r="F17">
            <v>0.41260254383087158</v>
          </cell>
          <cell r="G17">
            <v>0.13757164776325226</v>
          </cell>
        </row>
        <row r="22">
          <cell r="C22">
            <v>0.53024667501449585</v>
          </cell>
          <cell r="D22">
            <v>0.16366314888000488</v>
          </cell>
          <cell r="E22">
            <v>0.42217293381690979</v>
          </cell>
          <cell r="F22">
            <v>0.41416391730308533</v>
          </cell>
          <cell r="G22">
            <v>0.12207693606615067</v>
          </cell>
        </row>
        <row r="27">
          <cell r="C27">
            <v>0.54716753959655762</v>
          </cell>
          <cell r="D27">
            <v>0.15442001819610596</v>
          </cell>
          <cell r="E27">
            <v>0.41700324416160583</v>
          </cell>
          <cell r="F27">
            <v>0.42857673764228821</v>
          </cell>
          <cell r="G27">
            <v>0.1380237489938736</v>
          </cell>
        </row>
        <row r="32">
          <cell r="C32">
            <v>0.55615121126174927</v>
          </cell>
          <cell r="D32">
            <v>0.14951997995376587</v>
          </cell>
          <cell r="E32">
            <v>0.41476568579673767</v>
          </cell>
          <cell r="F32">
            <v>0.43571433424949646</v>
          </cell>
          <cell r="G32">
            <v>0.13655103743076324</v>
          </cell>
        </row>
        <row r="37">
          <cell r="C37">
            <v>0.53763413429260254</v>
          </cell>
          <cell r="D37">
            <v>0.15913140773773193</v>
          </cell>
          <cell r="E37">
            <v>0.42291811108589172</v>
          </cell>
          <cell r="F37">
            <v>0.41795048117637634</v>
          </cell>
          <cell r="G37">
            <v>0.12248846143484116</v>
          </cell>
        </row>
      </sheetData>
      <sheetData sheetId="1">
        <row r="2">
          <cell r="C2">
            <v>0.73663127422332764</v>
          </cell>
          <cell r="D2">
            <v>0.17301575839519501</v>
          </cell>
          <cell r="E2">
            <v>9.0352974832057953E-2</v>
          </cell>
          <cell r="F2">
            <v>0.8595697283744812</v>
          </cell>
          <cell r="G2">
            <v>9.5624148845672607E-2</v>
          </cell>
          <cell r="H2">
            <v>4.4805679470300674E-2</v>
          </cell>
          <cell r="I2">
            <v>0.82542067766189575</v>
          </cell>
          <cell r="J2">
            <v>0.13799290359020233</v>
          </cell>
          <cell r="K2">
            <v>3.6586608737707138E-2</v>
          </cell>
          <cell r="L2">
            <v>0.56286484003067017</v>
          </cell>
          <cell r="M2">
            <v>0.26024916768074036</v>
          </cell>
          <cell r="N2">
            <v>0.17688608169555664</v>
          </cell>
          <cell r="O2">
            <v>0.35557124018669128</v>
          </cell>
          <cell r="P2">
            <v>0.35665160417556763</v>
          </cell>
          <cell r="Q2">
            <v>0.28777879476547241</v>
          </cell>
        </row>
        <row r="7">
          <cell r="C7">
            <v>0.72642290592193604</v>
          </cell>
          <cell r="D7">
            <v>0.16790463030338287</v>
          </cell>
          <cell r="E7">
            <v>0.10567246377468109</v>
          </cell>
          <cell r="F7">
            <v>0.85156267881393433</v>
          </cell>
          <cell r="G7">
            <v>9.3142010271549225E-2</v>
          </cell>
          <cell r="H7">
            <v>5.52951879799366E-2</v>
          </cell>
          <cell r="I7">
            <v>0.80003750324249268</v>
          </cell>
          <cell r="J7">
            <v>0.12441706657409668</v>
          </cell>
          <cell r="K7">
            <v>7.5545482337474823E-2</v>
          </cell>
          <cell r="L7">
            <v>0.56781178712844849</v>
          </cell>
          <cell r="M7">
            <v>0.26212209463119507</v>
          </cell>
          <cell r="N7">
            <v>0.17006607353687286</v>
          </cell>
          <cell r="O7">
            <v>0.35398784279823303</v>
          </cell>
          <cell r="P7">
            <v>0.42000344395637512</v>
          </cell>
          <cell r="Q7">
            <v>0.22601088881492615</v>
          </cell>
        </row>
        <row r="12">
          <cell r="C12">
            <v>0.67464917898178101</v>
          </cell>
          <cell r="D12">
            <v>0.15629106760025024</v>
          </cell>
          <cell r="E12">
            <v>0.16905966401100159</v>
          </cell>
          <cell r="F12">
            <v>0.8194161057472229</v>
          </cell>
          <cell r="G12">
            <v>8.1392258405685425E-2</v>
          </cell>
          <cell r="H12">
            <v>9.9191159009933472E-2</v>
          </cell>
          <cell r="I12">
            <v>0.76893919706344604</v>
          </cell>
          <cell r="J12">
            <v>0.12420865148305893</v>
          </cell>
          <cell r="K12">
            <v>0.10685208439826965</v>
          </cell>
          <cell r="L12">
            <v>0.52357780933380127</v>
          </cell>
          <cell r="M12">
            <v>0.2188122421503067</v>
          </cell>
          <cell r="N12">
            <v>0.25761005282402039</v>
          </cell>
          <cell r="O12">
            <v>0.30324524641036987</v>
          </cell>
          <cell r="P12">
            <v>0.31200382113456726</v>
          </cell>
          <cell r="Q12">
            <v>0.38475191593170166</v>
          </cell>
        </row>
        <row r="17">
          <cell r="C17">
            <v>0.75914990901947021</v>
          </cell>
          <cell r="D17">
            <v>0.14373776316642761</v>
          </cell>
          <cell r="E17">
            <v>9.7112394869327545E-2</v>
          </cell>
          <cell r="F17">
            <v>0.86134183406829834</v>
          </cell>
          <cell r="G17">
            <v>7.6863370835781097E-2</v>
          </cell>
          <cell r="H17">
            <v>6.1794724315404892E-2</v>
          </cell>
          <cell r="I17">
            <v>0.79640352725982666</v>
          </cell>
          <cell r="J17">
            <v>0.11735470592975616</v>
          </cell>
          <cell r="K17">
            <v>8.6241774260997772E-2</v>
          </cell>
          <cell r="L17">
            <v>0.6776200532913208</v>
          </cell>
          <cell r="M17">
            <v>0.19906474649906158</v>
          </cell>
          <cell r="N17">
            <v>0.12331525981426239</v>
          </cell>
          <cell r="O17">
            <v>0.51734554767608643</v>
          </cell>
          <cell r="P17">
            <v>0.30716630816459656</v>
          </cell>
          <cell r="Q17">
            <v>0.17548935115337372</v>
          </cell>
        </row>
        <row r="22">
          <cell r="C22">
            <v>0.78533577919006348</v>
          </cell>
          <cell r="D22">
            <v>0.13428591191768646</v>
          </cell>
          <cell r="E22">
            <v>8.0378271639347076E-2</v>
          </cell>
          <cell r="F22">
            <v>0.83621162176132202</v>
          </cell>
          <cell r="G22">
            <v>6.8065665662288666E-2</v>
          </cell>
          <cell r="H22">
            <v>9.5722474157810211E-2</v>
          </cell>
          <cell r="I22">
            <v>0.82201439142227173</v>
          </cell>
          <cell r="J22">
            <v>0.11732594668865204</v>
          </cell>
          <cell r="K22">
            <v>6.0659646987915039E-2</v>
          </cell>
          <cell r="L22">
            <v>0.72784358263015747</v>
          </cell>
          <cell r="M22">
            <v>0.17774179577827454</v>
          </cell>
          <cell r="N22">
            <v>9.441472589969635E-2</v>
          </cell>
          <cell r="O22">
            <v>0.51089060306549072</v>
          </cell>
          <cell r="P22">
            <v>0.30772131681442261</v>
          </cell>
          <cell r="Q22">
            <v>0.18138845264911652</v>
          </cell>
        </row>
        <row r="27">
          <cell r="C27">
            <v>0.74247974157333374</v>
          </cell>
          <cell r="D27">
            <v>0.13411271572113037</v>
          </cell>
          <cell r="E27">
            <v>0.12340755015611649</v>
          </cell>
          <cell r="F27">
            <v>0.8369329571723938</v>
          </cell>
          <cell r="G27">
            <v>5.812440812587738E-2</v>
          </cell>
          <cell r="H27">
            <v>0.10494270175695419</v>
          </cell>
          <cell r="I27">
            <v>0.81431227922439575</v>
          </cell>
          <cell r="J27">
            <v>0.11145340651273727</v>
          </cell>
          <cell r="K27">
            <v>7.423420250415802E-2</v>
          </cell>
          <cell r="L27">
            <v>0.63855475187301636</v>
          </cell>
          <cell r="M27">
            <v>0.18353939056396484</v>
          </cell>
          <cell r="N27">
            <v>0.17790603637695313</v>
          </cell>
          <cell r="O27">
            <v>0.39631587266921997</v>
          </cell>
          <cell r="P27">
            <v>0.2882925271987915</v>
          </cell>
          <cell r="Q27">
            <v>0.31539168953895569</v>
          </cell>
        </row>
        <row r="32">
          <cell r="C32">
            <v>0.76281249523162842</v>
          </cell>
          <cell r="D32">
            <v>0.12176602333784103</v>
          </cell>
          <cell r="E32">
            <v>0.11542154848575592</v>
          </cell>
          <cell r="F32">
            <v>0.83551615476608276</v>
          </cell>
          <cell r="G32">
            <v>7.3204442858695984E-2</v>
          </cell>
          <cell r="H32">
            <v>9.1279558837413788E-2</v>
          </cell>
          <cell r="I32">
            <v>0.82735401391983032</v>
          </cell>
          <cell r="J32">
            <v>0.10699225962162018</v>
          </cell>
          <cell r="K32">
            <v>6.5653659403324127E-2</v>
          </cell>
          <cell r="L32">
            <v>0.67642498016357422</v>
          </cell>
          <cell r="M32">
            <v>0.1524939090013504</v>
          </cell>
          <cell r="N32">
            <v>0.17108123004436493</v>
          </cell>
          <cell r="O32">
            <v>0.45698529481887817</v>
          </cell>
          <cell r="P32">
            <v>0.23878686130046844</v>
          </cell>
          <cell r="Q32">
            <v>0.30422812700271606</v>
          </cell>
        </row>
        <row r="37">
          <cell r="C37">
            <v>0.80041110515594482</v>
          </cell>
          <cell r="D37">
            <v>0.11867155879735947</v>
          </cell>
          <cell r="E37">
            <v>8.0917365849018097E-2</v>
          </cell>
          <cell r="F37">
            <v>0.83245956897735596</v>
          </cell>
          <cell r="G37">
            <v>7.4091903865337372E-2</v>
          </cell>
          <cell r="H37">
            <v>9.3448549509048462E-2</v>
          </cell>
          <cell r="I37">
            <v>0.84338223934173584</v>
          </cell>
          <cell r="J37">
            <v>0.11084072291851044</v>
          </cell>
          <cell r="K37">
            <v>4.5777104794979095E-2</v>
          </cell>
          <cell r="L37">
            <v>0.74472701549530029</v>
          </cell>
          <cell r="M37">
            <v>0.14356881380081177</v>
          </cell>
          <cell r="N37">
            <v>0.11170414090156555</v>
          </cell>
          <cell r="O37">
            <v>0.61774802207946777</v>
          </cell>
          <cell r="P37">
            <v>0.16030608117580414</v>
          </cell>
          <cell r="Q37">
            <v>0.22194641828536987</v>
          </cell>
        </row>
      </sheetData>
      <sheetData sheetId="2">
        <row r="110">
          <cell r="I110">
            <v>6.6917389631271362E-2</v>
          </cell>
        </row>
      </sheetData>
      <sheetData sheetId="3">
        <row r="110">
          <cell r="I110">
            <v>3.7883821874856949E-2</v>
          </cell>
        </row>
      </sheetData>
      <sheetData sheetId="4">
        <row r="110">
          <cell r="I110">
            <v>3.7113592028617859E-2</v>
          </cell>
        </row>
      </sheetData>
      <sheetData sheetId="5">
        <row r="110">
          <cell r="I110">
            <v>3.433382511138916E-2</v>
          </cell>
        </row>
      </sheetData>
      <sheetData sheetId="6">
        <row r="110">
          <cell r="I110">
            <v>3.045164979994297E-2</v>
          </cell>
        </row>
      </sheetData>
      <sheetData sheetId="7">
        <row r="110">
          <cell r="I110">
            <v>3.4481935203075409E-2</v>
          </cell>
        </row>
      </sheetData>
      <sheetData sheetId="8">
        <row r="110">
          <cell r="I110">
            <v>3.2828006893396378E-2</v>
          </cell>
        </row>
      </sheetData>
      <sheetData sheetId="9">
        <row r="110">
          <cell r="I110">
            <v>2.3546822369098663E-2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tradingeconomics.com/hong-kong/stock-market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asiapacificwealthreport.com/reports/population/asia-pacific/hong-kong/" TargetMode="External"/><Relationship Id="rId1" Type="http://schemas.openxmlformats.org/officeDocument/2006/relationships/hyperlink" Target="https://asiapacificwealthreport.com/reports/population/asia-pacific/hong-kong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tatd.gov.hk/hkstat/sub/sp110_tc.jsp?tableID=193&amp;ID=0&amp;productType=8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vd.gov.hk/doc/en/statistics/full.pdf" TargetMode="External"/><Relationship Id="rId2" Type="http://schemas.openxmlformats.org/officeDocument/2006/relationships/hyperlink" Target="https://www.rvd.gov.hk/doc/en/statistics/full.pdf" TargetMode="External"/><Relationship Id="rId1" Type="http://schemas.openxmlformats.org/officeDocument/2006/relationships/hyperlink" Target="https://www.rvd.gov.hk/doc/en/statistics/full.pdf" TargetMode="External"/><Relationship Id="rId5" Type="http://schemas.openxmlformats.org/officeDocument/2006/relationships/hyperlink" Target="https://www.hkma.gov.hk/gb_chi/data-publications-and-research/data-and-statistics/monthly-statistical-bulletin/" TargetMode="External"/><Relationship Id="rId4" Type="http://schemas.openxmlformats.org/officeDocument/2006/relationships/hyperlink" Target="https://www.rvd.gov.hk/doc/en/statistics/full.pdf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C081-B9FF-4047-B16E-0A53CD5812B9}">
  <dimension ref="A1:C150"/>
  <sheetViews>
    <sheetView workbookViewId="0">
      <pane xSplit="1" ySplit="8" topLeftCell="B9" activePane="bottomRight" state="frozen"/>
      <selection activeCell="A58" sqref="A58:XFD133"/>
      <selection pane="topRight" activeCell="A58" sqref="A58:XFD133"/>
      <selection pane="bottomLeft" activeCell="A58" sqref="A58:XFD133"/>
      <selection pane="bottomRight" activeCell="B19" sqref="B19"/>
    </sheetView>
  </sheetViews>
  <sheetFormatPr defaultColWidth="0" defaultRowHeight="14.25" zeroHeight="1"/>
  <cols>
    <col min="1" max="1" width="9.375" style="958" customWidth="1"/>
    <col min="2" max="2" width="113.625" style="958" customWidth="1"/>
    <col min="3" max="3" width="9.375" style="958" customWidth="1"/>
    <col min="4" max="16384" width="9.375" style="958" hidden="1"/>
  </cols>
  <sheetData>
    <row r="1" spans="1:3" ht="15">
      <c r="A1" s="957"/>
      <c r="B1" s="957"/>
      <c r="C1" s="957"/>
    </row>
    <row r="2" spans="1:3" ht="30">
      <c r="A2" s="957"/>
      <c r="B2" s="965" t="s">
        <v>1630</v>
      </c>
      <c r="C2" s="957"/>
    </row>
    <row r="3" spans="1:3" ht="18">
      <c r="A3" s="957"/>
      <c r="B3" s="959"/>
      <c r="C3" s="957"/>
    </row>
    <row r="4" spans="1:3" ht="26.25">
      <c r="A4" s="957"/>
      <c r="B4" s="960" t="s">
        <v>1629</v>
      </c>
      <c r="C4" s="957"/>
    </row>
    <row r="5" spans="1:3" ht="15">
      <c r="A5" s="957"/>
      <c r="B5" s="957"/>
      <c r="C5" s="957"/>
    </row>
    <row r="6" spans="1:3" ht="26.25">
      <c r="A6" s="957"/>
      <c r="B6" s="960" t="s">
        <v>1627</v>
      </c>
      <c r="C6" s="957"/>
    </row>
    <row r="7" spans="1:3" ht="23.1" customHeight="1" thickBot="1">
      <c r="A7" s="957"/>
      <c r="B7" s="961" t="s">
        <v>1628</v>
      </c>
      <c r="C7" s="957"/>
    </row>
    <row r="8" spans="1:3" ht="23.1" customHeight="1" thickTop="1">
      <c r="A8" s="957"/>
      <c r="B8" s="962"/>
      <c r="C8" s="957"/>
    </row>
    <row r="9" spans="1:3" ht="23.1" customHeight="1">
      <c r="A9" s="957"/>
      <c r="B9" s="963" t="s">
        <v>1632</v>
      </c>
      <c r="C9" s="957"/>
    </row>
    <row r="10" spans="1:3" ht="23.1" customHeight="1">
      <c r="A10" s="957"/>
      <c r="B10" s="971" t="str">
        <f>'A1.0'!B2</f>
        <v>A1.0: Decomposition of National Income (% of NI)</v>
      </c>
      <c r="C10" s="957"/>
    </row>
    <row r="11" spans="1:3" ht="23.1" customHeight="1">
      <c r="A11" s="957"/>
      <c r="B11" s="971" t="str">
        <f>'A1.1'!B2</f>
        <v>A1.1: Decomposition of Government Revenue (% of NI)</v>
      </c>
      <c r="C11" s="957"/>
    </row>
    <row r="12" spans="1:3" ht="23.1" customHeight="1">
      <c r="A12" s="957"/>
      <c r="B12" s="972" t="s">
        <v>1633</v>
      </c>
      <c r="C12" s="957"/>
    </row>
    <row r="13" spans="1:3" ht="23.1" customHeight="1">
      <c r="A13" s="957"/>
      <c r="B13" s="973" t="str">
        <f>'A2.0'!A2</f>
        <v xml:space="preserve">A2.0: Reference table for national income and compensation of employees, HKG 1980-2016 </v>
      </c>
      <c r="C13" s="957"/>
    </row>
    <row r="14" spans="1:3" ht="23.1" customHeight="1">
      <c r="A14" s="957"/>
      <c r="B14" s="973" t="str">
        <f>'A2.1'!A2</f>
        <v>A2.1: Income shares: Survey vs. Survey_uncoded vs. Adj. Survey(Equal split series)</v>
      </c>
      <c r="C14" s="957"/>
    </row>
    <row r="15" spans="1:3" ht="23.1" customHeight="1">
      <c r="A15" s="957"/>
      <c r="B15" s="973" t="str">
        <f>'A2.2'!A2</f>
        <v>A2.2:Growth rate in different income groups (Equal split series)</v>
      </c>
      <c r="C15" s="957"/>
    </row>
    <row r="16" spans="1:3" ht="23.1" customHeight="1">
      <c r="A16" s="957"/>
      <c r="B16" s="973" t="str">
        <f>'A2.3'!A2</f>
        <v>A2.3: Income decomposition by income sources and income groups (Equal split series)</v>
      </c>
      <c r="C16" s="957"/>
    </row>
    <row r="17" spans="1:3" ht="23.1" customHeight="1">
      <c r="A17" s="957"/>
      <c r="B17" s="973" t="str">
        <f>'A2.4'!A2</f>
        <v>A2.4: Income shares: Survey vs. Adj. Survey(individual series)</v>
      </c>
      <c r="C17" s="957"/>
    </row>
    <row r="18" spans="1:3" ht="23.1" customHeight="1">
      <c r="A18" s="957"/>
      <c r="B18" s="973" t="str">
        <f>'A2.5'!A2</f>
        <v>A2.5: Growth rate in different income groups (Individual series)</v>
      </c>
      <c r="C18" s="957"/>
    </row>
    <row r="19" spans="1:3" ht="23.1" customHeight="1">
      <c r="A19" s="957"/>
      <c r="B19" s="973" t="str">
        <f>'A2.6'!A2</f>
        <v>A2.6: Income decomposition by income sources and income groups (Individual series)</v>
      </c>
      <c r="C19" s="957"/>
    </row>
    <row r="20" spans="1:3" ht="23.1" customHeight="1">
      <c r="A20" s="957"/>
      <c r="B20" s="964" t="s">
        <v>1634</v>
      </c>
      <c r="C20" s="957"/>
    </row>
    <row r="21" spans="1:3" ht="23.1" customHeight="1">
      <c r="A21" s="957"/>
      <c r="B21" s="974" t="str">
        <f>'A3.0'!A2</f>
        <v xml:space="preserve">A3.0: Reference table for capital share, HKG 1980-2016 </v>
      </c>
      <c r="C21" s="957"/>
    </row>
    <row r="22" spans="1:3" ht="23.1" customHeight="1">
      <c r="A22" s="957"/>
      <c r="B22" s="974" t="str">
        <f>'A3.1'!A2</f>
        <v>A3.1: Capital Share in high income countries 1981-2018</v>
      </c>
      <c r="C22" s="957"/>
    </row>
    <row r="23" spans="1:3" ht="23.1" customHeight="1">
      <c r="A23" s="957"/>
      <c r="B23" s="972" t="s">
        <v>1635</v>
      </c>
      <c r="C23" s="957"/>
    </row>
    <row r="24" spans="1:3" ht="23.1" customHeight="1">
      <c r="A24" s="957"/>
      <c r="B24" s="973" t="str">
        <f>'A4.0'!A2</f>
        <v>A4.0 Wealth top 0.001%  in HongKong (Rich List)</v>
      </c>
      <c r="C24" s="957"/>
    </row>
    <row r="25" spans="1:3" ht="23.1" customHeight="1">
      <c r="A25" s="957"/>
      <c r="B25" s="973" t="str">
        <f>'A4.1'!A2</f>
        <v>A4.1 Wealth top 0.001%  in HongKong and other countries (Rich List)</v>
      </c>
      <c r="C25" s="957"/>
    </row>
    <row r="26" spans="1:3" ht="23.1" customHeight="1">
      <c r="A26" s="957"/>
      <c r="B26" s="975" t="s">
        <v>1626</v>
      </c>
      <c r="C26" s="957"/>
    </row>
    <row r="27" spans="1:3" ht="23.1" customHeight="1">
      <c r="A27" s="957"/>
      <c r="B27" s="976" t="str">
        <f>'AX1'!B2</f>
        <v>AX1: National Account (flow) and other Macro Series</v>
      </c>
      <c r="C27" s="957"/>
    </row>
    <row r="28" spans="1:3" ht="23.1" customHeight="1">
      <c r="A28" s="957"/>
      <c r="B28" s="976" t="str">
        <f>'AX2'!A1</f>
        <v>AX2: UN National Account Data Set</v>
      </c>
      <c r="C28" s="957"/>
    </row>
    <row r="29" spans="1:3" ht="23.1" customHeight="1">
      <c r="A29" s="957"/>
      <c r="B29" s="976" t="str">
        <f>'AX3'!A1</f>
        <v>AX:3 Population</v>
      </c>
      <c r="C29" s="957"/>
    </row>
    <row r="30" spans="1:3" ht="23.1" customHeight="1">
      <c r="A30" s="957"/>
      <c r="B30" s="976" t="str">
        <f>'AX4'!A1</f>
        <v>AX4: Rich List Summary Statistics</v>
      </c>
      <c r="C30" s="957"/>
    </row>
    <row r="31" spans="1:3" ht="23.1" customHeight="1">
      <c r="A31" s="957"/>
      <c r="B31" s="976" t="str">
        <f>'AX5'!A1</f>
        <v>AX5: Top coding of raw survey</v>
      </c>
      <c r="C31" s="957"/>
    </row>
    <row r="32" spans="1:3" ht="23.1" customHeight="1">
      <c r="A32" s="957"/>
      <c r="B32" s="976" t="str">
        <f>'AX6'!A1</f>
        <v xml:space="preserve">AX6: Tax Rate in Hong Kong </v>
      </c>
      <c r="C32" s="957"/>
    </row>
    <row r="33" spans="1:3" ht="23.1" customHeight="1">
      <c r="A33" s="957"/>
      <c r="B33" s="976" t="str">
        <f>'AX7'!A1</f>
        <v>AX7: Hong Kong Gov. Revenue (mill HKD)</v>
      </c>
      <c r="C33" s="957"/>
    </row>
    <row r="34" spans="1:3" ht="23.1" customHeight="1">
      <c r="A34" s="957"/>
      <c r="B34" s="976" t="str">
        <f>'AX8'!A1</f>
        <v>AX8: Top 0.001% wealth/National Inomce</v>
      </c>
      <c r="C34" s="957"/>
    </row>
    <row r="35" spans="1:3" ht="23.1" customHeight="1">
      <c r="A35" s="957"/>
      <c r="B35" s="976" t="str">
        <f>'AX9'!A1</f>
        <v>AX9: Top 0.001% wealth/National Inomce</v>
      </c>
      <c r="C35" s="957"/>
    </row>
    <row r="36" spans="1:3" ht="23.1" customHeight="1">
      <c r="A36" s="957"/>
      <c r="B36" s="976" t="str">
        <f>'AX10'!B1</f>
        <v>AX10: Hong Assets in Hong Kong</v>
      </c>
      <c r="C36" s="957"/>
    </row>
    <row r="37" spans="1:3" ht="23.1" customHeight="1">
      <c r="A37" s="957"/>
      <c r="B37" s="976" t="str">
        <f>'AX11'!A1</f>
        <v>AX11: Growth of High Net Wealth Individuals (HNWI) in HongKong, 2008-2016</v>
      </c>
      <c r="C37" s="957"/>
    </row>
    <row r="38" spans="1:3" ht="23.1" customHeight="1">
      <c r="A38" s="957"/>
      <c r="B38" s="976" t="str">
        <f>'AX12'!A1</f>
        <v>AX12: Summary Statistics of Wage Income (top-decoded), 1981-2016</v>
      </c>
      <c r="C38" s="957"/>
    </row>
    <row r="39" spans="1:3" ht="23.1" customHeight="1">
      <c r="A39" s="957"/>
      <c r="B39" s="976" t="str">
        <f>'AX13'!A1</f>
        <v>AX13: Summary Statistics of Wage Income (top-decoded), 1981-2016, by age cohort</v>
      </c>
      <c r="C39" s="957"/>
    </row>
    <row r="40" spans="1:3" ht="23.1" customHeight="1">
      <c r="A40" s="957"/>
      <c r="B40" s="962"/>
      <c r="C40" s="957"/>
    </row>
    <row r="41" spans="1:3" ht="23.1" customHeight="1">
      <c r="A41" s="957"/>
      <c r="B41" s="962"/>
      <c r="C41" s="957"/>
    </row>
    <row r="42" spans="1:3" ht="23.1" customHeight="1">
      <c r="A42" s="957"/>
      <c r="B42" s="962"/>
      <c r="C42" s="957"/>
    </row>
    <row r="43" spans="1:3" ht="23.1" customHeight="1">
      <c r="A43" s="957"/>
      <c r="B43" s="962"/>
      <c r="C43" s="957"/>
    </row>
    <row r="44" spans="1:3" ht="23.1" customHeight="1">
      <c r="A44" s="957"/>
      <c r="B44" s="962"/>
      <c r="C44" s="957"/>
    </row>
    <row r="45" spans="1:3" ht="23.1" customHeight="1">
      <c r="A45" s="957"/>
      <c r="B45" s="962"/>
      <c r="C45" s="957"/>
    </row>
    <row r="46" spans="1:3" ht="23.1" customHeight="1">
      <c r="A46" s="957"/>
      <c r="B46" s="962"/>
      <c r="C46" s="957"/>
    </row>
    <row r="47" spans="1:3" ht="23.1" customHeight="1">
      <c r="A47" s="957"/>
      <c r="B47" s="962"/>
      <c r="C47" s="957"/>
    </row>
    <row r="48" spans="1:3" ht="23.1" customHeight="1">
      <c r="A48" s="957"/>
      <c r="B48" s="962"/>
      <c r="C48" s="957"/>
    </row>
    <row r="49" spans="1:3" ht="23.1" customHeight="1">
      <c r="A49" s="957"/>
      <c r="B49" s="962"/>
      <c r="C49" s="957"/>
    </row>
    <row r="50" spans="1:3" ht="23.1" customHeight="1">
      <c r="A50" s="957"/>
      <c r="B50" s="962"/>
      <c r="C50" s="957"/>
    </row>
    <row r="51" spans="1:3" ht="23.1" customHeight="1">
      <c r="A51" s="957"/>
      <c r="B51" s="962"/>
      <c r="C51" s="957"/>
    </row>
    <row r="52" spans="1:3" ht="23.1" customHeight="1">
      <c r="A52" s="957"/>
      <c r="B52" s="962"/>
      <c r="C52" s="957"/>
    </row>
    <row r="53" spans="1:3" ht="23.1" customHeight="1">
      <c r="A53" s="957"/>
      <c r="B53" s="962"/>
      <c r="C53" s="957"/>
    </row>
    <row r="54" spans="1:3" ht="23.1" customHeight="1">
      <c r="A54" s="957"/>
      <c r="B54" s="962"/>
      <c r="C54" s="957"/>
    </row>
    <row r="55" spans="1:3" ht="23.1" customHeight="1">
      <c r="A55" s="957"/>
      <c r="B55" s="962"/>
      <c r="C55" s="957"/>
    </row>
    <row r="56" spans="1:3" ht="23.1" customHeight="1">
      <c r="A56" s="957"/>
      <c r="B56" s="962"/>
      <c r="C56" s="957"/>
    </row>
    <row r="57" spans="1:3" ht="23.1" customHeight="1">
      <c r="A57" s="957"/>
      <c r="B57" s="962"/>
      <c r="C57" s="957"/>
    </row>
    <row r="58" spans="1:3" ht="23.1" customHeight="1">
      <c r="A58" s="957"/>
      <c r="B58" s="962"/>
      <c r="C58" s="957"/>
    </row>
    <row r="59" spans="1:3" ht="23.1" customHeight="1">
      <c r="A59" s="957"/>
      <c r="B59" s="962"/>
      <c r="C59" s="957"/>
    </row>
    <row r="60" spans="1:3" ht="23.1" customHeight="1">
      <c r="A60" s="957"/>
      <c r="B60" s="962"/>
      <c r="C60" s="957"/>
    </row>
    <row r="61" spans="1:3"/>
    <row r="62" spans="1:3"/>
    <row r="63" spans="1:3"/>
    <row r="64" spans="1:3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</sheetData>
  <phoneticPr fontId="11" type="noConversion"/>
  <hyperlinks>
    <hyperlink ref="B10" location="A1.0!A1" display="A1.0!A1" xr:uid="{F501CE42-C464-4735-85A7-9625594D60CC}"/>
    <hyperlink ref="B11" location="A1.1!A1" display="A1.1!A1" xr:uid="{1C814321-42ED-4244-B1EE-1838610438D0}"/>
    <hyperlink ref="B13" location="A2.0!A1" display="A2.0!A1" xr:uid="{2F304DDF-E9D0-4B79-918F-7A79134BE2E5}"/>
    <hyperlink ref="B14" location="A2.1!A1" display="A2.1!A1" xr:uid="{988A451D-67D8-4F3C-95D3-5146E9A64EAF}"/>
    <hyperlink ref="B15" location="A2.2!A1" display="A2.2!A1" xr:uid="{1402925B-4B80-4D3A-B0F8-2D803EDEC985}"/>
    <hyperlink ref="B16" location="A2.3!A1" display="A2.3!A1" xr:uid="{2D9E3367-A847-497F-9F95-F9ECDD539D4B}"/>
    <hyperlink ref="B21" location="A3.0!A1" display="A3.0!A1" xr:uid="{5601553C-49BF-4500-B246-861A9C54A50E}"/>
    <hyperlink ref="B22" location="A3.1!A1" display="A3.1!A1" xr:uid="{B0EED3CB-7E18-423E-B73F-362B3EA01D1A}"/>
    <hyperlink ref="B24" location="A4.0!A1" display="A4.0!A1" xr:uid="{657EE7D2-DB53-4FA2-9666-4D00FE649CE5}"/>
    <hyperlink ref="B25" location="A4.1!A1" display="A4.1!A1" xr:uid="{9454DBFB-3303-498C-A22A-BE197BF3D779}"/>
    <hyperlink ref="B38" location="A5.0!A1" display="A5.0!A1" xr:uid="{D91DAF81-DDD4-41B0-96DC-0E5473378D67}"/>
    <hyperlink ref="B39" location="A5.1!A1" display="A5.1!A1" xr:uid="{41256BF9-18FD-4288-809F-3515DEC928F9}"/>
    <hyperlink ref="B27" location="'AX1'!A1" display="'AX1'!A1" xr:uid="{1DE2C500-D057-4A52-BFA5-C86269961436}"/>
    <hyperlink ref="B28" location="'AX2'!A1" display="'AX2'!A1" xr:uid="{5E852CA8-1F27-493A-9F52-1F64C6170B32}"/>
    <hyperlink ref="B29" location="'AX3'!A1" display="'AX3'!A1" xr:uid="{CC1AFE29-5B2B-4D5D-BF4D-9DAE7CDEB42B}"/>
    <hyperlink ref="B30" location="'AX4'!A1" display="'AX4'!A1" xr:uid="{DF8071F4-AB84-40FB-BBB8-81265F1FE0D1}"/>
    <hyperlink ref="B31" location="'AX5'!A1" display="'AX5'!A1" xr:uid="{C8B77D2E-9065-461B-ACB4-40E3D910D426}"/>
    <hyperlink ref="B32" location="'AX6'!A1" display="'AX6'!A1" xr:uid="{38677A8D-58BA-4186-994C-EAB5860C3475}"/>
    <hyperlink ref="B33" location="'AX7'!A1" display="'AX7'!A1" xr:uid="{D47C9FC9-AC74-42B1-9A58-769A69DF24FA}"/>
    <hyperlink ref="B34" location="'AX8'!A1" display="'AX8'!A1" xr:uid="{03DF3411-208F-4D69-A6F9-26F95D07A2B3}"/>
    <hyperlink ref="B35" location="'AX9'!A1" display="'AX9'!A1" xr:uid="{90D4AEA4-5E6B-46E9-9BCF-35F635EF96F8}"/>
    <hyperlink ref="B36" location="'AX10'!A1" display="'AX10'!A1" xr:uid="{90FED2C9-084A-49C7-B952-0239C31019CE}"/>
    <hyperlink ref="B37" location="'AX11'!A1" display="'AX11'!A1" xr:uid="{E11FADA8-C9C2-494B-B7F6-E183F88449D9}"/>
    <hyperlink ref="B17" location="A2.4!A1" display="A2.4!A1" xr:uid="{F617C584-60C0-424D-8877-510B4942A030}"/>
    <hyperlink ref="B18" location="A2.5!A1" display="A2.5!A1" xr:uid="{824A46C7-320D-45F8-8A72-FD85F4DB08A0}"/>
    <hyperlink ref="B19" location="A2.6!A1" display="A2.6!A1" xr:uid="{FAAFAAAE-3A41-4474-A60D-C9095685433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DE07C-F8C4-4701-9CBF-EB302F10379C}">
  <sheetPr>
    <tabColor theme="5" tint="0.39997558519241921"/>
  </sheetPr>
  <dimension ref="A1:AE21"/>
  <sheetViews>
    <sheetView workbookViewId="0">
      <pane xSplit="1" topLeftCell="B1" activePane="topRight" state="frozen"/>
      <selection activeCell="F35" sqref="F35"/>
      <selection pane="topRight" activeCell="F35" sqref="F35"/>
    </sheetView>
  </sheetViews>
  <sheetFormatPr defaultColWidth="9" defaultRowHeight="15"/>
  <cols>
    <col min="1" max="1" width="11.375" style="1057" bestFit="1" customWidth="1"/>
    <col min="2" max="16" width="8.625" style="1057" customWidth="1"/>
    <col min="17" max="22" width="8.625" style="1033" customWidth="1"/>
    <col min="23" max="31" width="8.625" style="983" customWidth="1"/>
    <col min="32" max="16384" width="9" style="983"/>
  </cols>
  <sheetData>
    <row r="1" spans="1:31" ht="15.75" thickBot="1">
      <c r="A1" s="1047"/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982"/>
      <c r="R1" s="982"/>
      <c r="S1" s="982"/>
      <c r="T1" s="982"/>
      <c r="U1" s="982"/>
      <c r="V1" s="982"/>
    </row>
    <row r="2" spans="1:31" s="984" customFormat="1" ht="45" customHeight="1" thickTop="1" thickBot="1">
      <c r="A2" s="1058" t="s">
        <v>1641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60"/>
    </row>
    <row r="3" spans="1:31" s="993" customFormat="1" ht="12.75">
      <c r="A3" s="1048"/>
      <c r="B3" s="986" t="s">
        <v>1157</v>
      </c>
      <c r="C3" s="987" t="s">
        <v>1201</v>
      </c>
      <c r="D3" s="987" t="s">
        <v>1159</v>
      </c>
      <c r="E3" s="987" t="s">
        <v>1163</v>
      </c>
      <c r="F3" s="987" t="s">
        <v>1164</v>
      </c>
      <c r="G3" s="987" t="s">
        <v>1165</v>
      </c>
      <c r="H3" s="987" t="s">
        <v>1169</v>
      </c>
      <c r="I3" s="987" t="s">
        <v>1170</v>
      </c>
      <c r="J3" s="987" t="s">
        <v>1171</v>
      </c>
      <c r="K3" s="987" t="s">
        <v>1175</v>
      </c>
      <c r="L3" s="987" t="s">
        <v>1176</v>
      </c>
      <c r="M3" s="987" t="s">
        <v>1177</v>
      </c>
      <c r="N3" s="987" t="s">
        <v>1181</v>
      </c>
      <c r="O3" s="987" t="s">
        <v>1182</v>
      </c>
      <c r="P3" s="987" t="s">
        <v>1183</v>
      </c>
      <c r="Q3" s="986" t="s">
        <v>1184</v>
      </c>
      <c r="R3" s="987" t="s">
        <v>1185</v>
      </c>
      <c r="S3" s="987" t="s">
        <v>1186</v>
      </c>
      <c r="T3" s="987" t="s">
        <v>1187</v>
      </c>
      <c r="U3" s="987" t="s">
        <v>1188</v>
      </c>
      <c r="V3" s="987" t="s">
        <v>1189</v>
      </c>
      <c r="W3" s="987" t="s">
        <v>1190</v>
      </c>
      <c r="X3" s="987" t="s">
        <v>1211</v>
      </c>
      <c r="Y3" s="987" t="s">
        <v>1212</v>
      </c>
      <c r="Z3" s="987" t="s">
        <v>1213</v>
      </c>
      <c r="AA3" s="987" t="s">
        <v>1214</v>
      </c>
      <c r="AB3" s="987" t="s">
        <v>1215</v>
      </c>
      <c r="AC3" s="987" t="s">
        <v>1216</v>
      </c>
      <c r="AD3" s="987" t="s">
        <v>1217</v>
      </c>
      <c r="AE3" s="992" t="s">
        <v>1218</v>
      </c>
    </row>
    <row r="4" spans="1:31" s="995" customFormat="1" ht="12.75">
      <c r="A4" s="1049"/>
      <c r="B4" s="1158" t="s">
        <v>1220</v>
      </c>
      <c r="C4" s="1159"/>
      <c r="D4" s="1159"/>
      <c r="E4" s="1159"/>
      <c r="F4" s="1159"/>
      <c r="G4" s="1159"/>
      <c r="H4" s="1159"/>
      <c r="I4" s="1159"/>
      <c r="J4" s="1159"/>
      <c r="K4" s="1159"/>
      <c r="L4" s="1159"/>
      <c r="M4" s="1159"/>
      <c r="N4" s="1159"/>
      <c r="O4" s="1159"/>
      <c r="P4" s="1160"/>
      <c r="Q4" s="1159" t="s">
        <v>1230</v>
      </c>
      <c r="R4" s="1159"/>
      <c r="S4" s="1159"/>
      <c r="T4" s="1159"/>
      <c r="U4" s="1159"/>
      <c r="V4" s="1159"/>
      <c r="W4" s="1159"/>
      <c r="X4" s="1159"/>
      <c r="Y4" s="1159"/>
      <c r="Z4" s="1159"/>
      <c r="AA4" s="1159"/>
      <c r="AB4" s="1159"/>
      <c r="AC4" s="1159"/>
      <c r="AD4" s="1159"/>
      <c r="AE4" s="1161"/>
    </row>
    <row r="5" spans="1:31" s="993" customFormat="1" ht="12.75">
      <c r="A5" s="1048"/>
      <c r="B5" s="1162" t="s">
        <v>1202</v>
      </c>
      <c r="C5" s="1156"/>
      <c r="D5" s="1156"/>
      <c r="E5" s="1155" t="s">
        <v>1203</v>
      </c>
      <c r="F5" s="1156"/>
      <c r="G5" s="1156"/>
      <c r="H5" s="1155" t="s">
        <v>1204</v>
      </c>
      <c r="I5" s="1156"/>
      <c r="J5" s="1156"/>
      <c r="K5" s="1155" t="s">
        <v>1205</v>
      </c>
      <c r="L5" s="1156"/>
      <c r="M5" s="1156"/>
      <c r="N5" s="1155" t="s">
        <v>1206</v>
      </c>
      <c r="O5" s="1156"/>
      <c r="P5" s="1163"/>
      <c r="Q5" s="1156" t="s">
        <v>1202</v>
      </c>
      <c r="R5" s="1156"/>
      <c r="S5" s="1156"/>
      <c r="T5" s="1155" t="s">
        <v>1203</v>
      </c>
      <c r="U5" s="1156"/>
      <c r="V5" s="1156"/>
      <c r="W5" s="1155" t="s">
        <v>1204</v>
      </c>
      <c r="X5" s="1156"/>
      <c r="Y5" s="1156"/>
      <c r="Z5" s="1155" t="s">
        <v>1205</v>
      </c>
      <c r="AA5" s="1156"/>
      <c r="AB5" s="1156"/>
      <c r="AC5" s="1155" t="s">
        <v>1206</v>
      </c>
      <c r="AD5" s="1156"/>
      <c r="AE5" s="1157"/>
    </row>
    <row r="6" spans="1:31" s="1003" customFormat="1" ht="60" customHeight="1">
      <c r="A6" s="1052" t="s">
        <v>1207</v>
      </c>
      <c r="B6" s="1053" t="s">
        <v>1208</v>
      </c>
      <c r="C6" s="1016" t="s">
        <v>1209</v>
      </c>
      <c r="D6" s="1016" t="s">
        <v>1210</v>
      </c>
      <c r="E6" s="1054" t="s">
        <v>1208</v>
      </c>
      <c r="F6" s="1016" t="s">
        <v>1209</v>
      </c>
      <c r="G6" s="1016" t="s">
        <v>1210</v>
      </c>
      <c r="H6" s="1054" t="s">
        <v>1208</v>
      </c>
      <c r="I6" s="1016" t="s">
        <v>1209</v>
      </c>
      <c r="J6" s="1016" t="s">
        <v>1210</v>
      </c>
      <c r="K6" s="1054" t="s">
        <v>1208</v>
      </c>
      <c r="L6" s="1016" t="s">
        <v>1209</v>
      </c>
      <c r="M6" s="1016" t="s">
        <v>1210</v>
      </c>
      <c r="N6" s="1054" t="s">
        <v>1208</v>
      </c>
      <c r="O6" s="1016" t="s">
        <v>1209</v>
      </c>
      <c r="P6" s="1020" t="s">
        <v>1210</v>
      </c>
      <c r="Q6" s="1016" t="s">
        <v>1208</v>
      </c>
      <c r="R6" s="1016" t="s">
        <v>1209</v>
      </c>
      <c r="S6" s="1016" t="s">
        <v>1210</v>
      </c>
      <c r="T6" s="1054" t="s">
        <v>1208</v>
      </c>
      <c r="U6" s="1016" t="s">
        <v>1209</v>
      </c>
      <c r="V6" s="1016" t="s">
        <v>1210</v>
      </c>
      <c r="W6" s="1054" t="s">
        <v>1208</v>
      </c>
      <c r="X6" s="1016" t="s">
        <v>1209</v>
      </c>
      <c r="Y6" s="1016" t="s">
        <v>1210</v>
      </c>
      <c r="Z6" s="1054" t="s">
        <v>1208</v>
      </c>
      <c r="AA6" s="1016" t="s">
        <v>1209</v>
      </c>
      <c r="AB6" s="1016" t="s">
        <v>1210</v>
      </c>
      <c r="AC6" s="1054" t="s">
        <v>1208</v>
      </c>
      <c r="AD6" s="1016" t="s">
        <v>1209</v>
      </c>
      <c r="AE6" s="1021" t="s">
        <v>1210</v>
      </c>
    </row>
    <row r="7" spans="1:31" s="1003" customFormat="1" ht="49.9" customHeight="1">
      <c r="A7" s="1055"/>
      <c r="B7" s="1005" t="s">
        <v>1199</v>
      </c>
      <c r="C7" s="1006" t="s">
        <v>1199</v>
      </c>
      <c r="D7" s="1006" t="s">
        <v>1199</v>
      </c>
      <c r="E7" s="1008" t="s">
        <v>1199</v>
      </c>
      <c r="F7" s="1006" t="s">
        <v>1199</v>
      </c>
      <c r="G7" s="1006" t="s">
        <v>1199</v>
      </c>
      <c r="H7" s="1008" t="s">
        <v>1199</v>
      </c>
      <c r="I7" s="1006" t="s">
        <v>1199</v>
      </c>
      <c r="J7" s="1006" t="s">
        <v>1199</v>
      </c>
      <c r="K7" s="1008" t="s">
        <v>1199</v>
      </c>
      <c r="L7" s="1006" t="s">
        <v>1199</v>
      </c>
      <c r="M7" s="1006" t="s">
        <v>1199</v>
      </c>
      <c r="N7" s="1008" t="s">
        <v>1199</v>
      </c>
      <c r="O7" s="1006" t="s">
        <v>1199</v>
      </c>
      <c r="P7" s="1009" t="s">
        <v>1199</v>
      </c>
      <c r="Q7" s="1006" t="s">
        <v>1199</v>
      </c>
      <c r="R7" s="1006" t="s">
        <v>1199</v>
      </c>
      <c r="S7" s="1006" t="s">
        <v>1199</v>
      </c>
      <c r="T7" s="1008" t="s">
        <v>1199</v>
      </c>
      <c r="U7" s="1006" t="s">
        <v>1199</v>
      </c>
      <c r="V7" s="1006" t="s">
        <v>1199</v>
      </c>
      <c r="W7" s="1008" t="s">
        <v>1199</v>
      </c>
      <c r="X7" s="1006" t="s">
        <v>1199</v>
      </c>
      <c r="Y7" s="1006" t="s">
        <v>1199</v>
      </c>
      <c r="Z7" s="1008" t="s">
        <v>1199</v>
      </c>
      <c r="AA7" s="1006" t="s">
        <v>1199</v>
      </c>
      <c r="AB7" s="1006" t="s">
        <v>1199</v>
      </c>
      <c r="AC7" s="1008" t="s">
        <v>1199</v>
      </c>
      <c r="AD7" s="1006" t="s">
        <v>1199</v>
      </c>
      <c r="AE7" s="1010" t="s">
        <v>1199</v>
      </c>
    </row>
    <row r="8" spans="1:31" s="1022" customFormat="1" ht="18.75" customHeight="1">
      <c r="A8" s="1052" t="s">
        <v>1200</v>
      </c>
      <c r="B8" s="1018"/>
      <c r="C8" s="1016"/>
      <c r="D8" s="1016"/>
      <c r="E8" s="1015"/>
      <c r="F8" s="1016"/>
      <c r="G8" s="1016"/>
      <c r="H8" s="1015"/>
      <c r="I8" s="1016"/>
      <c r="J8" s="1016"/>
      <c r="K8" s="1015"/>
      <c r="L8" s="1016"/>
      <c r="M8" s="1016"/>
      <c r="N8" s="1015"/>
      <c r="O8" s="1016"/>
      <c r="P8" s="1020"/>
      <c r="Q8" s="1017"/>
      <c r="R8" s="1016"/>
      <c r="S8" s="1016"/>
      <c r="T8" s="1015"/>
      <c r="U8" s="1016"/>
      <c r="V8" s="1016"/>
      <c r="W8" s="1015"/>
      <c r="X8" s="1016"/>
      <c r="Y8" s="1016"/>
      <c r="Z8" s="1015"/>
      <c r="AA8" s="1016"/>
      <c r="AB8" s="1016"/>
      <c r="AC8" s="1015"/>
      <c r="AD8" s="1016"/>
      <c r="AE8" s="1021"/>
    </row>
    <row r="9" spans="1:31" s="1022" customFormat="1">
      <c r="A9" s="1023">
        <v>1981</v>
      </c>
      <c r="B9" s="222">
        <f>[13]Composition!$O$2</f>
        <v>0.40166780352592468</v>
      </c>
      <c r="C9" s="210">
        <f>[13]Composition!$P$2</f>
        <v>0.308400958776474</v>
      </c>
      <c r="D9" s="210">
        <f>[13]Composition!$Q$2</f>
        <v>0.28993186354637146</v>
      </c>
      <c r="E9" s="219">
        <f>[13]Composition!$L$2</f>
        <v>0.57339578866958618</v>
      </c>
      <c r="F9" s="210">
        <f>[13]Composition!$M$2</f>
        <v>0.25665143132209778</v>
      </c>
      <c r="G9" s="220">
        <f>[13]Composition!$N$2</f>
        <v>0.16995275020599365</v>
      </c>
      <c r="H9" s="210">
        <f>[13]Composition!$I$2</f>
        <v>0.86591410636901855</v>
      </c>
      <c r="I9" s="210">
        <f>[13]Composition!$J$2</f>
        <v>9.6167787909507751E-2</v>
      </c>
      <c r="J9" s="210">
        <f>[13]Composition!$K$2</f>
        <v>3.7918031215667725E-2</v>
      </c>
      <c r="K9" s="219">
        <f>[13]Composition!$F$2</f>
        <v>0.80360597372055054</v>
      </c>
      <c r="L9" s="210">
        <f>[13]Composition!$G$2</f>
        <v>7.1015849709510803E-2</v>
      </c>
      <c r="M9" s="220">
        <f>[13]Composition!$H$2</f>
        <v>0.12537854909896851</v>
      </c>
      <c r="N9" s="210">
        <f>[13]Composition!$C$2</f>
        <v>0.73399406671524048</v>
      </c>
      <c r="O9" s="210">
        <f>[13]Composition!$D$2</f>
        <v>0.16206888854503632</v>
      </c>
      <c r="P9" s="210">
        <f>[13]Composition!$E$2</f>
        <v>0.10393707454204559</v>
      </c>
      <c r="Q9" s="222">
        <f>[14]Composition!$O$2</f>
        <v>0.46508112549781799</v>
      </c>
      <c r="R9" s="210">
        <f>[14]Composition!$P$2</f>
        <v>0.31758663058280945</v>
      </c>
      <c r="S9" s="210">
        <f>[14]Composition!$Q$2</f>
        <v>0.21733388304710388</v>
      </c>
      <c r="T9" s="219">
        <f>[14]Composition!$L$2</f>
        <v>0.59899652004241943</v>
      </c>
      <c r="U9" s="210">
        <f>[14]Composition!$M$2</f>
        <v>0.2621786892414093</v>
      </c>
      <c r="V9" s="220">
        <f>[14]Composition!$N$2</f>
        <v>0.13882485032081604</v>
      </c>
      <c r="W9" s="210">
        <f>[14]Composition!$I$2</f>
        <v>0.8693617582321167</v>
      </c>
      <c r="X9" s="210">
        <f>[14]Composition!$J$2</f>
        <v>9.9367812275886536E-2</v>
      </c>
      <c r="Y9" s="210">
        <f>[14]Composition!$K$2</f>
        <v>3.1270276755094528E-2</v>
      </c>
      <c r="Z9" s="219">
        <f>[14]Composition!$F$2</f>
        <v>0.85662251710891724</v>
      </c>
      <c r="AA9" s="210">
        <f>[14]Composition!$G$2</f>
        <v>7.2116382420063019E-2</v>
      </c>
      <c r="AB9" s="220">
        <f>[14]Composition!$H$2</f>
        <v>7.126125693321228E-2</v>
      </c>
      <c r="AC9" s="210">
        <f>[14]Composition!$C$2</f>
        <v>0.73022371530532837</v>
      </c>
      <c r="AD9" s="210">
        <f>[14]Composition!$D$2</f>
        <v>0.1796090304851532</v>
      </c>
      <c r="AE9" s="255">
        <f>[14]Composition!$E$2</f>
        <v>9.0167254209518433E-2</v>
      </c>
    </row>
    <row r="10" spans="1:31" s="1022" customFormat="1">
      <c r="A10" s="1023">
        <v>1986</v>
      </c>
      <c r="B10" s="222">
        <f>[13]Composition!$O$7</f>
        <v>0.39373323321342468</v>
      </c>
      <c r="C10" s="210">
        <f>[13]Composition!$P$7</f>
        <v>0.35314473509788513</v>
      </c>
      <c r="D10" s="210">
        <f>[13]Composition!$Q$7</f>
        <v>0.25312435626983643</v>
      </c>
      <c r="E10" s="219">
        <f>[13]Composition!$L$7</f>
        <v>0.57738065719604492</v>
      </c>
      <c r="F10" s="210">
        <f>[13]Composition!$M$7</f>
        <v>0.22263926267623901</v>
      </c>
      <c r="G10" s="220">
        <f>[13]Composition!$N$7</f>
        <v>0.19998010993003845</v>
      </c>
      <c r="H10" s="210">
        <f>[13]Composition!$I$7</f>
        <v>0.83134359121322632</v>
      </c>
      <c r="I10" s="210">
        <f>[13]Composition!$J$7</f>
        <v>0.10452141612768173</v>
      </c>
      <c r="J10" s="210">
        <f>[13]Composition!$K$7</f>
        <v>6.4135022461414337E-2</v>
      </c>
      <c r="K10" s="219">
        <f>[13]Composition!$F$7</f>
        <v>0.78459280729293823</v>
      </c>
      <c r="L10" s="210">
        <f>[13]Composition!$G$7</f>
        <v>6.5780103206634521E-2</v>
      </c>
      <c r="M10" s="220">
        <f>[13]Composition!$H$7</f>
        <v>0.14962723851203918</v>
      </c>
      <c r="N10" s="210">
        <f>[13]Composition!$C$7</f>
        <v>0.7141844630241394</v>
      </c>
      <c r="O10" s="210">
        <f>[13]Composition!$D$7</f>
        <v>0.15376301109790802</v>
      </c>
      <c r="P10" s="210">
        <f>[13]Composition!$E$7</f>
        <v>0.13205260038375854</v>
      </c>
      <c r="Q10" s="222">
        <f>[14]Composition!$O$7</f>
        <v>0.42945986986160278</v>
      </c>
      <c r="R10" s="210">
        <f>[14]Composition!$P$7</f>
        <v>0.36110958456993103</v>
      </c>
      <c r="S10" s="210">
        <f>[14]Composition!$Q$7</f>
        <v>0.20943328738212585</v>
      </c>
      <c r="T10" s="219">
        <f>[14]Composition!$L$7</f>
        <v>0.59699219465255737</v>
      </c>
      <c r="U10" s="210">
        <f>[14]Composition!$M$7</f>
        <v>0.23354409635066986</v>
      </c>
      <c r="V10" s="220">
        <f>[14]Composition!$N$7</f>
        <v>0.16946364939212799</v>
      </c>
      <c r="W10" s="210">
        <f>[14]Composition!$I$7</f>
        <v>0.8474774956703186</v>
      </c>
      <c r="X10" s="210">
        <f>[14]Composition!$J$7</f>
        <v>0.10252621024847031</v>
      </c>
      <c r="Y10" s="210">
        <f>[14]Composition!$K$7</f>
        <v>4.9996167421340942E-2</v>
      </c>
      <c r="Z10" s="219">
        <f>[14]Composition!$F$7</f>
        <v>0.87425786256790161</v>
      </c>
      <c r="AA10" s="210">
        <f>[14]Composition!$G$7</f>
        <v>7.8892156481742859E-2</v>
      </c>
      <c r="AB10" s="220">
        <f>[14]Composition!$H$7</f>
        <v>4.6850800514221191E-2</v>
      </c>
      <c r="AC10" s="210">
        <f>[14]Composition!$C$7</f>
        <v>0.72124332189559937</v>
      </c>
      <c r="AD10" s="210">
        <f>[14]Composition!$D$7</f>
        <v>0.16795378923416138</v>
      </c>
      <c r="AE10" s="255">
        <f>[14]Composition!$E$7</f>
        <v>0.11080287396907806</v>
      </c>
    </row>
    <row r="11" spans="1:31" s="1032" customFormat="1">
      <c r="A11" s="1023">
        <v>1991</v>
      </c>
      <c r="B11" s="223">
        <f>[13]Composition!$O$12</f>
        <v>0.43031597137451172</v>
      </c>
      <c r="C11" s="197">
        <f>[13]Composition!$P$12</f>
        <v>0.26020655035972595</v>
      </c>
      <c r="D11" s="197">
        <f>[13]Composition!$Q$12</f>
        <v>0.30947747826576233</v>
      </c>
      <c r="E11" s="198">
        <f>[13]Composition!$L$12</f>
        <v>0.57300692796707153</v>
      </c>
      <c r="F11" s="197">
        <f>[13]Composition!$M$12</f>
        <v>0.19832621514797211</v>
      </c>
      <c r="G11" s="199">
        <f>[13]Composition!$N$12</f>
        <v>0.2286669909954071</v>
      </c>
      <c r="H11" s="197">
        <f>[13]Composition!$I$12</f>
        <v>0.80588746070861816</v>
      </c>
      <c r="I11" s="197">
        <f>[13]Composition!$J$12</f>
        <v>0.10369095951318741</v>
      </c>
      <c r="J11" s="197">
        <f>[13]Composition!$K$12</f>
        <v>9.0421460568904877E-2</v>
      </c>
      <c r="K11" s="198">
        <f>[13]Composition!$F$12</f>
        <v>0.77158594131469727</v>
      </c>
      <c r="L11" s="197">
        <f>[13]Composition!$G$12</f>
        <v>6.0298219323158264E-2</v>
      </c>
      <c r="M11" s="199">
        <f>[13]Composition!$H$12</f>
        <v>0.16811631619930267</v>
      </c>
      <c r="N11" s="197">
        <f>[13]Composition!$C$12</f>
        <v>0.69735109806060791</v>
      </c>
      <c r="O11" s="197">
        <f>[13]Composition!$D$12</f>
        <v>0.14200840890407562</v>
      </c>
      <c r="P11" s="197">
        <f>[13]Composition!$E$12</f>
        <v>0.16064052283763885</v>
      </c>
      <c r="Q11" s="223">
        <f>[14]Composition!$O$12</f>
        <v>0.40709757804870605</v>
      </c>
      <c r="R11" s="197">
        <f>[14]Composition!$P$12</f>
        <v>0.26509368419647217</v>
      </c>
      <c r="S11" s="199">
        <f>[14]Composition!$Q$12</f>
        <v>0.32780960202217102</v>
      </c>
      <c r="T11" s="198">
        <f>[14]Composition!$L$12</f>
        <v>0.56066703796386719</v>
      </c>
      <c r="U11" s="197">
        <f>[14]Composition!$M$12</f>
        <v>0.20459423959255219</v>
      </c>
      <c r="V11" s="199">
        <f>[14]Composition!$N$12</f>
        <v>0.23473888635635376</v>
      </c>
      <c r="W11" s="197">
        <f>[14]Composition!$I$12</f>
        <v>0.8130529522895813</v>
      </c>
      <c r="X11" s="197">
        <f>[14]Composition!$J$12</f>
        <v>0.10389471054077148</v>
      </c>
      <c r="Y11" s="197">
        <f>[14]Composition!$K$12</f>
        <v>8.3052247762680054E-2</v>
      </c>
      <c r="Z11" s="198">
        <f>[14]Composition!$F$12</f>
        <v>0.871756911277771</v>
      </c>
      <c r="AA11" s="197">
        <f>[14]Composition!$G$12</f>
        <v>5.6145988404750824E-2</v>
      </c>
      <c r="AB11" s="199">
        <f>[14]Composition!$H$12</f>
        <v>7.2096794843673706E-2</v>
      </c>
      <c r="AC11" s="197">
        <f>[14]Composition!$C$12</f>
        <v>0.68928259611129761</v>
      </c>
      <c r="AD11" s="197">
        <f>[14]Composition!$D$12</f>
        <v>0.15188013017177582</v>
      </c>
      <c r="AE11" s="294">
        <f>[14]Composition!$E$12</f>
        <v>0.15883730351924896</v>
      </c>
    </row>
    <row r="12" spans="1:31">
      <c r="A12" s="1023">
        <v>1996</v>
      </c>
      <c r="B12" s="223">
        <f>[13]Composition!$O$17</f>
        <v>0.60083228349685669</v>
      </c>
      <c r="C12" s="197">
        <f>[13]Composition!$P$17</f>
        <v>0.26888817548751831</v>
      </c>
      <c r="D12" s="197">
        <f>[13]Composition!$Q$17</f>
        <v>0.13027958571910858</v>
      </c>
      <c r="E12" s="198">
        <f>[13]Composition!$L$17</f>
        <v>0.6935696005821228</v>
      </c>
      <c r="F12" s="197">
        <f>[13]Composition!$M$17</f>
        <v>0.18129825592041016</v>
      </c>
      <c r="G12" s="199">
        <f>[13]Composition!$N$17</f>
        <v>0.12513229250907898</v>
      </c>
      <c r="H12" s="197">
        <f>[13]Composition!$I$17</f>
        <v>0.77881425619125366</v>
      </c>
      <c r="I12" s="197">
        <f>[13]Composition!$J$17</f>
        <v>9.5742881298065186E-2</v>
      </c>
      <c r="J12" s="197">
        <f>[13]Composition!$K$17</f>
        <v>0.12544283270835876</v>
      </c>
      <c r="K12" s="198">
        <f>[13]Composition!$F$17</f>
        <v>0.73187363147735596</v>
      </c>
      <c r="L12" s="197">
        <f>[13]Composition!$G$17</f>
        <v>5.7635582983493805E-2</v>
      </c>
      <c r="M12" s="199">
        <f>[13]Composition!$H$17</f>
        <v>0.21049042046070099</v>
      </c>
      <c r="N12" s="197">
        <f>[13]Composition!$C$17</f>
        <v>0.73682612180709839</v>
      </c>
      <c r="O12" s="197">
        <f>[13]Composition!$D$17</f>
        <v>0.12951454520225525</v>
      </c>
      <c r="P12" s="197">
        <f>[13]Composition!$E$17</f>
        <v>0.13365933299064636</v>
      </c>
      <c r="Q12" s="223">
        <f>[14]Composition!$O$17</f>
        <v>0.54700499773025513</v>
      </c>
      <c r="R12" s="197">
        <f>[14]Composition!$P$17</f>
        <v>0.26976561546325684</v>
      </c>
      <c r="S12" s="199">
        <f>[14]Composition!$Q$17</f>
        <v>0.18323172628879547</v>
      </c>
      <c r="T12" s="198">
        <f>[14]Composition!$L$17</f>
        <v>0.68776512145996094</v>
      </c>
      <c r="U12" s="197">
        <f>[14]Composition!$M$17</f>
        <v>0.18764188885688782</v>
      </c>
      <c r="V12" s="199">
        <f>[14]Composition!$N$17</f>
        <v>0.12459295243024826</v>
      </c>
      <c r="W12" s="197">
        <f>[14]Composition!$I$17</f>
        <v>0.82876938581466675</v>
      </c>
      <c r="X12" s="197">
        <f>[14]Composition!$J$17</f>
        <v>9.5842473208904266E-2</v>
      </c>
      <c r="Y12" s="197">
        <f>[14]Composition!$K$17</f>
        <v>7.5388260185718536E-2</v>
      </c>
      <c r="Z12" s="198">
        <f>[14]Composition!$F$17</f>
        <v>0.87013214826583862</v>
      </c>
      <c r="AA12" s="197">
        <f>[14]Composition!$G$17</f>
        <v>6.0376118868589401E-2</v>
      </c>
      <c r="AB12" s="199">
        <f>[14]Composition!$H$17</f>
        <v>6.9491297006607056E-2</v>
      </c>
      <c r="AC12" s="197">
        <f>[14]Composition!$C$17</f>
        <v>0.76754361391067505</v>
      </c>
      <c r="AD12" s="197">
        <f>[14]Composition!$D$17</f>
        <v>0.13495326042175293</v>
      </c>
      <c r="AE12" s="294">
        <f>[14]Composition!$E$17</f>
        <v>9.7503133118152618E-2</v>
      </c>
    </row>
    <row r="13" spans="1:31">
      <c r="A13" s="1023">
        <v>2001</v>
      </c>
      <c r="B13" s="223">
        <f>[13]Composition!$O$22</f>
        <v>0.63622450828552246</v>
      </c>
      <c r="C13" s="197">
        <f>[13]Composition!$P$22</f>
        <v>0.22165998816490173</v>
      </c>
      <c r="D13" s="197">
        <f>[13]Composition!$Q$22</f>
        <v>0.14211553335189819</v>
      </c>
      <c r="E13" s="198">
        <f>[13]Composition!$L$22</f>
        <v>0.76221686601638794</v>
      </c>
      <c r="F13" s="197">
        <f>[13]Composition!$M$22</f>
        <v>0.15310722589492798</v>
      </c>
      <c r="G13" s="199">
        <f>[13]Composition!$N$22</f>
        <v>8.4675952792167664E-2</v>
      </c>
      <c r="H13" s="197">
        <f>[13]Composition!$I$22</f>
        <v>0.81164789199829102</v>
      </c>
      <c r="I13" s="197">
        <f>[13]Composition!$J$22</f>
        <v>0.10025017708539963</v>
      </c>
      <c r="J13" s="197">
        <f>[13]Composition!$K$22</f>
        <v>8.8101804256439209E-2</v>
      </c>
      <c r="K13" s="198">
        <f>[13]Composition!$F$22</f>
        <v>0.57639217376708984</v>
      </c>
      <c r="L13" s="197">
        <f>[13]Composition!$G$22</f>
        <v>4.4242162257432938E-2</v>
      </c>
      <c r="M13" s="199">
        <f>[13]Composition!$H$22</f>
        <v>0.37936615943908691</v>
      </c>
      <c r="N13" s="197">
        <f>[13]Composition!$C$22</f>
        <v>0.76901894807815552</v>
      </c>
      <c r="O13" s="197">
        <f>[13]Composition!$D$22</f>
        <v>0.11896878480911255</v>
      </c>
      <c r="P13" s="197">
        <f>[13]Composition!$E$22</f>
        <v>0.11201224476099014</v>
      </c>
      <c r="Q13" s="223">
        <f>[14]Composition!$O$22</f>
        <v>0.56263303756713867</v>
      </c>
      <c r="R13" s="197">
        <f>[14]Composition!$P$22</f>
        <v>0.23013366758823395</v>
      </c>
      <c r="S13" s="199">
        <f>[14]Composition!$Q$22</f>
        <v>0.20723336935043335</v>
      </c>
      <c r="T13" s="198">
        <f>[14]Composition!$L$22</f>
        <v>0.73669320344924927</v>
      </c>
      <c r="U13" s="197">
        <f>[14]Composition!$M$22</f>
        <v>0.1641511470079422</v>
      </c>
      <c r="V13" s="199">
        <f>[14]Composition!$N$22</f>
        <v>9.9155642092227936E-2</v>
      </c>
      <c r="W13" s="197">
        <f>[14]Composition!$I$22</f>
        <v>0.83980280160903931</v>
      </c>
      <c r="X13" s="197">
        <f>[14]Composition!$J$22</f>
        <v>0.10050866007804871</v>
      </c>
      <c r="Y13" s="197">
        <f>[14]Composition!$K$22</f>
        <v>5.9688620269298553E-2</v>
      </c>
      <c r="Z13" s="198">
        <f>[14]Composition!$F$22</f>
        <v>0.82236713171005249</v>
      </c>
      <c r="AA13" s="197">
        <f>[14]Composition!$G$22</f>
        <v>4.660366103053093E-2</v>
      </c>
      <c r="AB13" s="199">
        <f>[14]Composition!$H$22</f>
        <v>0.13102860748767853</v>
      </c>
      <c r="AC13" s="197">
        <f>[14]Composition!$C$22</f>
        <v>0.78855645656585693</v>
      </c>
      <c r="AD13" s="197">
        <f>[14]Composition!$D$22</f>
        <v>0.12699908018112183</v>
      </c>
      <c r="AE13" s="294">
        <f>[14]Composition!$E$22</f>
        <v>8.4444448351860046E-2</v>
      </c>
    </row>
    <row r="14" spans="1:31">
      <c r="A14" s="1023">
        <v>2006</v>
      </c>
      <c r="B14" s="223">
        <f>[13]Composition!$O$27</f>
        <v>0.50255513191223145</v>
      </c>
      <c r="C14" s="197">
        <f>[13]Composition!$P$27</f>
        <v>0.21717707812786102</v>
      </c>
      <c r="D14" s="197">
        <f>[13]Composition!$Q$27</f>
        <v>0.2802681028842926</v>
      </c>
      <c r="E14" s="198">
        <f>[13]Composition!$L$27</f>
        <v>0.67646026611328125</v>
      </c>
      <c r="F14" s="197">
        <f>[13]Composition!$M$27</f>
        <v>0.15802846848964691</v>
      </c>
      <c r="G14" s="199">
        <f>[13]Composition!$N$27</f>
        <v>0.16551128029823303</v>
      </c>
      <c r="H14" s="197">
        <f>[13]Composition!$I$27</f>
        <v>0.79357510805130005</v>
      </c>
      <c r="I14" s="197">
        <f>[13]Composition!$J$27</f>
        <v>9.5687329769134521E-2</v>
      </c>
      <c r="J14" s="197">
        <f>[13]Composition!$K$27</f>
        <v>0.1107376366853714</v>
      </c>
      <c r="K14" s="198">
        <f>[13]Composition!$F$27</f>
        <v>0.5599210262298584</v>
      </c>
      <c r="L14" s="197">
        <f>[13]Composition!$G$27</f>
        <v>4.4773388653993607E-2</v>
      </c>
      <c r="M14" s="199">
        <f>[13]Composition!$H$27</f>
        <v>0.39530485868453979</v>
      </c>
      <c r="N14" s="197">
        <f>[13]Composition!$C$27</f>
        <v>0.71987563371658325</v>
      </c>
      <c r="O14" s="197">
        <f>[13]Composition!$D$27</f>
        <v>0.11992669105529785</v>
      </c>
      <c r="P14" s="197">
        <f>[13]Composition!$E$27</f>
        <v>0.16019763052463531</v>
      </c>
      <c r="Q14" s="223">
        <f>[14]Composition!$O$27</f>
        <v>0.44326108694076538</v>
      </c>
      <c r="R14" s="197">
        <f>[14]Composition!$P$27</f>
        <v>0.22777347266674042</v>
      </c>
      <c r="S14" s="199">
        <f>[14]Composition!$Q$27</f>
        <v>0.32896587252616882</v>
      </c>
      <c r="T14" s="198">
        <f>[14]Composition!$L$27</f>
        <v>0.63417720794677734</v>
      </c>
      <c r="U14" s="197">
        <f>[14]Composition!$M$27</f>
        <v>0.17361500859260559</v>
      </c>
      <c r="V14" s="199">
        <f>[14]Composition!$N$27</f>
        <v>0.19220784306526184</v>
      </c>
      <c r="W14" s="197">
        <f>[14]Composition!$I$27</f>
        <v>0.83307516574859619</v>
      </c>
      <c r="X14" s="197">
        <f>[14]Composition!$J$27</f>
        <v>9.5868512988090515E-2</v>
      </c>
      <c r="Y14" s="197">
        <f>[14]Composition!$K$27</f>
        <v>7.1056447923183441E-2</v>
      </c>
      <c r="Z14" s="198">
        <f>[14]Composition!$F$27</f>
        <v>0.81071335077285767</v>
      </c>
      <c r="AA14" s="197">
        <f>[14]Composition!$G$27</f>
        <v>4.7366641461849213E-2</v>
      </c>
      <c r="AB14" s="199">
        <f>[14]Composition!$H$27</f>
        <v>0.14191962778568268</v>
      </c>
      <c r="AC14" s="197">
        <f>[14]Composition!$C$27</f>
        <v>0.72734618186950684</v>
      </c>
      <c r="AD14" s="197">
        <f>[14]Composition!$D$27</f>
        <v>0.13287810981273651</v>
      </c>
      <c r="AE14" s="294">
        <f>[14]Composition!$E$27</f>
        <v>0.13977575302124023</v>
      </c>
    </row>
    <row r="15" spans="1:31">
      <c r="A15" s="1023">
        <v>2011</v>
      </c>
      <c r="B15" s="223">
        <f>[13]Composition!$O$32</f>
        <v>0.55768555402755737</v>
      </c>
      <c r="C15" s="197">
        <f>[13]Composition!$P$32</f>
        <v>0.17894153296947479</v>
      </c>
      <c r="D15" s="197">
        <f>[13]Composition!$Q$32</f>
        <v>0.26337283849716187</v>
      </c>
      <c r="E15" s="198">
        <f>[13]Composition!$L$32</f>
        <v>0.69155579805374146</v>
      </c>
      <c r="F15" s="197">
        <f>[13]Composition!$M$32</f>
        <v>0.12720638513565063</v>
      </c>
      <c r="G15" s="199">
        <f>[13]Composition!$N$32</f>
        <v>0.18123789131641388</v>
      </c>
      <c r="H15" s="197">
        <f>[13]Composition!$I$32</f>
        <v>0.79136252403259277</v>
      </c>
      <c r="I15" s="197">
        <f>[13]Composition!$J$32</f>
        <v>0.10090729594230652</v>
      </c>
      <c r="J15" s="197">
        <f>[13]Composition!$K$32</f>
        <v>0.10773010551929474</v>
      </c>
      <c r="K15" s="198">
        <f>[13]Composition!$F$32</f>
        <v>0.51223099231719971</v>
      </c>
      <c r="L15" s="197">
        <f>[13]Composition!$G$32</f>
        <v>5.3497765213251114E-2</v>
      </c>
      <c r="M15" s="199">
        <f>[13]Composition!$H$32</f>
        <v>0.43427109718322754</v>
      </c>
      <c r="N15" s="197">
        <f>[13]Composition!$C$32</f>
        <v>0.72250473499298096</v>
      </c>
      <c r="O15" s="197">
        <f>[13]Composition!$D$32</f>
        <v>0.10935141146183014</v>
      </c>
      <c r="P15" s="197">
        <f>[13]Composition!$E$32</f>
        <v>0.1681438535451889</v>
      </c>
      <c r="Q15" s="223">
        <f>[14]Composition!$O$32</f>
        <v>0.47475743293762207</v>
      </c>
      <c r="R15" s="197">
        <f>[14]Composition!$P$32</f>
        <v>0.20556381344795227</v>
      </c>
      <c r="S15" s="199">
        <f>[14]Composition!$Q$32</f>
        <v>0.31967869400978088</v>
      </c>
      <c r="T15" s="198">
        <f>[14]Composition!$L$32</f>
        <v>0.66067278385162354</v>
      </c>
      <c r="U15" s="197">
        <f>[14]Composition!$M$32</f>
        <v>0.14847519993782043</v>
      </c>
      <c r="V15" s="199">
        <f>[14]Composition!$N$32</f>
        <v>0.19085207581520081</v>
      </c>
      <c r="W15" s="197">
        <f>[14]Composition!$I$32</f>
        <v>0.84432417154312134</v>
      </c>
      <c r="X15" s="197">
        <f>[14]Composition!$J$32</f>
        <v>0.10132391750812531</v>
      </c>
      <c r="Y15" s="197">
        <f>[14]Composition!$K$32</f>
        <v>5.4351907223463058E-2</v>
      </c>
      <c r="Z15" s="198">
        <f>[14]Composition!$F$32</f>
        <v>0.80456948280334473</v>
      </c>
      <c r="AA15" s="197">
        <f>[14]Composition!$G$32</f>
        <v>5.6081134825944901E-2</v>
      </c>
      <c r="AB15" s="199">
        <f>[14]Composition!$H$32</f>
        <v>0.13934925198554993</v>
      </c>
      <c r="AC15" s="197">
        <f>[14]Composition!$C$32</f>
        <v>0.74298954010009766</v>
      </c>
      <c r="AD15" s="197">
        <f>[14]Composition!$D$32</f>
        <v>0.12370091676712036</v>
      </c>
      <c r="AE15" s="294">
        <f>[14]Composition!$E$32</f>
        <v>0.13330958783626556</v>
      </c>
    </row>
    <row r="16" spans="1:31" ht="15.75" thickBot="1">
      <c r="A16" s="1056">
        <v>2016</v>
      </c>
      <c r="B16" s="224">
        <f>[13]Composition!$O$37</f>
        <v>0.58672362565994263</v>
      </c>
      <c r="C16" s="201">
        <f>[13]Composition!$P$37</f>
        <v>0.16747617721557617</v>
      </c>
      <c r="D16" s="201">
        <f>[13]Composition!$Q$37</f>
        <v>0.24580104649066925</v>
      </c>
      <c r="E16" s="202">
        <f>[13]Composition!$L$37</f>
        <v>0.73645758628845215</v>
      </c>
      <c r="F16" s="201">
        <f>[13]Composition!$M$37</f>
        <v>0.1416734904050827</v>
      </c>
      <c r="G16" s="203">
        <f>[13]Composition!$N$37</f>
        <v>0.12186902761459351</v>
      </c>
      <c r="H16" s="201">
        <f>[13]Composition!$I$37</f>
        <v>0.80500602722167969</v>
      </c>
      <c r="I16" s="201">
        <f>[13]Composition!$J$37</f>
        <v>0.10125906765460968</v>
      </c>
      <c r="J16" s="201">
        <f>[13]Composition!$K$37</f>
        <v>9.3734726309776306E-2</v>
      </c>
      <c r="K16" s="202">
        <f>[13]Composition!$F$37</f>
        <v>0.42622789740562439</v>
      </c>
      <c r="L16" s="201">
        <f>[13]Composition!$G$37</f>
        <v>4.5098047703504562E-2</v>
      </c>
      <c r="M16" s="203">
        <f>[13]Composition!$H$37</f>
        <v>0.52867424488067627</v>
      </c>
      <c r="N16" s="201">
        <f>[13]Composition!$C$37</f>
        <v>0.74129021167755127</v>
      </c>
      <c r="O16" s="201">
        <f>[13]Composition!$D$37</f>
        <v>0.11464264988899231</v>
      </c>
      <c r="P16" s="201">
        <f>[13]Composition!$E$37</f>
        <v>0.14406710863113403</v>
      </c>
      <c r="Q16" s="224">
        <f>[14]Composition!$O$37</f>
        <v>0.5576021671295166</v>
      </c>
      <c r="R16" s="201">
        <f>[14]Composition!$P$37</f>
        <v>0.16978949308395386</v>
      </c>
      <c r="S16" s="203">
        <f>[14]Composition!$Q$37</f>
        <v>0.27260881662368774</v>
      </c>
      <c r="T16" s="202">
        <f>[14]Composition!$L$37</f>
        <v>0.71399104595184326</v>
      </c>
      <c r="U16" s="201">
        <f>[14]Composition!$M$37</f>
        <v>0.14786997437477112</v>
      </c>
      <c r="V16" s="203">
        <f>[14]Composition!$N$37</f>
        <v>0.13813886046409607</v>
      </c>
      <c r="W16" s="201">
        <f>[14]Composition!$I$37</f>
        <v>0.85436326265335083</v>
      </c>
      <c r="X16" s="201">
        <f>[14]Composition!$J$37</f>
        <v>0.10176115483045578</v>
      </c>
      <c r="Y16" s="201">
        <f>[14]Composition!$K$37</f>
        <v>4.3875757604837418E-2</v>
      </c>
      <c r="Z16" s="202">
        <f>[14]Composition!$F$37</f>
        <v>0.81425744295120239</v>
      </c>
      <c r="AA16" s="201">
        <f>[14]Composition!$G$37</f>
        <v>4.6911329030990601E-2</v>
      </c>
      <c r="AB16" s="203">
        <f>[14]Composition!$H$37</f>
        <v>0.13883046805858612</v>
      </c>
      <c r="AC16" s="201">
        <f>[14]Composition!$C$37</f>
        <v>0.77806961536407471</v>
      </c>
      <c r="AD16" s="201">
        <f>[14]Composition!$D$37</f>
        <v>0.12205217033624649</v>
      </c>
      <c r="AE16" s="295">
        <f>[14]Composition!$E$37</f>
        <v>9.9878154695034027E-2</v>
      </c>
    </row>
    <row r="17" spans="1:31" ht="16.5" thickTop="1" thickBot="1"/>
    <row r="18" spans="1:31" s="1057" customFormat="1" ht="15.75" thickTop="1">
      <c r="A18" s="1140" t="s">
        <v>1271</v>
      </c>
      <c r="B18" s="1141"/>
      <c r="C18" s="1141"/>
      <c r="D18" s="1141"/>
      <c r="E18" s="1141"/>
      <c r="F18" s="1141"/>
      <c r="G18" s="1141"/>
      <c r="H18" s="1141"/>
      <c r="I18" s="1141"/>
      <c r="J18" s="1142"/>
      <c r="Q18" s="1033"/>
      <c r="R18" s="1033"/>
      <c r="S18" s="1033"/>
      <c r="T18" s="1033"/>
      <c r="U18" s="1033"/>
      <c r="V18" s="1033"/>
      <c r="W18" s="983"/>
      <c r="X18" s="983"/>
      <c r="Y18" s="983"/>
      <c r="Z18" s="983"/>
      <c r="AA18" s="983"/>
      <c r="AB18" s="983"/>
      <c r="AC18" s="983"/>
      <c r="AD18" s="983"/>
      <c r="AE18" s="983"/>
    </row>
    <row r="19" spans="1:31" s="1057" customFormat="1">
      <c r="A19" s="1143"/>
      <c r="B19" s="1144"/>
      <c r="C19" s="1144"/>
      <c r="D19" s="1144"/>
      <c r="E19" s="1144"/>
      <c r="F19" s="1144"/>
      <c r="G19" s="1144"/>
      <c r="H19" s="1144"/>
      <c r="I19" s="1144"/>
      <c r="J19" s="1145"/>
      <c r="Q19" s="1033"/>
      <c r="R19" s="1033"/>
      <c r="S19" s="1033"/>
      <c r="T19" s="1033"/>
      <c r="U19" s="1033"/>
      <c r="V19" s="1033"/>
      <c r="W19" s="983"/>
      <c r="X19" s="983"/>
      <c r="Y19" s="983"/>
      <c r="Z19" s="983"/>
      <c r="AA19" s="983"/>
      <c r="AB19" s="983"/>
      <c r="AC19" s="983"/>
      <c r="AD19" s="983"/>
      <c r="AE19" s="983"/>
    </row>
    <row r="20" spans="1:31" s="1057" customFormat="1" ht="15.75" thickBot="1">
      <c r="A20" s="1146"/>
      <c r="B20" s="1147"/>
      <c r="C20" s="1147"/>
      <c r="D20" s="1147"/>
      <c r="E20" s="1147"/>
      <c r="F20" s="1147"/>
      <c r="G20" s="1147"/>
      <c r="H20" s="1147"/>
      <c r="I20" s="1147"/>
      <c r="J20" s="1148"/>
      <c r="Q20" s="1033"/>
      <c r="R20" s="1033"/>
      <c r="S20" s="1033"/>
      <c r="T20" s="1033"/>
      <c r="U20" s="1033"/>
      <c r="V20" s="1033"/>
      <c r="W20" s="983"/>
      <c r="X20" s="983"/>
      <c r="Y20" s="983"/>
      <c r="Z20" s="983"/>
      <c r="AA20" s="983"/>
      <c r="AB20" s="983"/>
      <c r="AC20" s="983"/>
      <c r="AD20" s="983"/>
      <c r="AE20" s="983"/>
    </row>
    <row r="21" spans="1:31" s="1057" customFormat="1" ht="15.75" thickTop="1">
      <c r="Q21" s="1033"/>
      <c r="R21" s="1033"/>
      <c r="S21" s="1033"/>
      <c r="T21" s="1033"/>
      <c r="U21" s="1033"/>
      <c r="V21" s="1033"/>
      <c r="W21" s="983"/>
      <c r="X21" s="983"/>
      <c r="Y21" s="983"/>
      <c r="Z21" s="983"/>
      <c r="AA21" s="983"/>
      <c r="AB21" s="983"/>
      <c r="AC21" s="983"/>
      <c r="AD21" s="983"/>
      <c r="AE21" s="983"/>
    </row>
  </sheetData>
  <mergeCells count="13">
    <mergeCell ref="A18:J20"/>
    <mergeCell ref="W5:Y5"/>
    <mergeCell ref="Z5:AB5"/>
    <mergeCell ref="AC5:AE5"/>
    <mergeCell ref="B4:P4"/>
    <mergeCell ref="Q4:AE4"/>
    <mergeCell ref="B5:D5"/>
    <mergeCell ref="E5:G5"/>
    <mergeCell ref="H5:J5"/>
    <mergeCell ref="K5:M5"/>
    <mergeCell ref="N5:P5"/>
    <mergeCell ref="Q5:S5"/>
    <mergeCell ref="T5:V5"/>
  </mergeCells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0596-E10F-4A90-AA16-EE3089FE4234}">
  <sheetPr>
    <tabColor theme="5" tint="-0.249977111117893"/>
  </sheetPr>
  <dimension ref="A1:AB58"/>
  <sheetViews>
    <sheetView workbookViewId="0">
      <pane xSplit="1" ySplit="7" topLeftCell="B43" activePane="bottomRight" state="frozen"/>
      <selection activeCell="A2" sqref="A2:S2"/>
      <selection pane="topRight" activeCell="A2" sqref="A2:S2"/>
      <selection pane="bottomLeft" activeCell="A2" sqref="A2:S2"/>
      <selection pane="bottomRight" activeCell="K58" sqref="K58"/>
    </sheetView>
  </sheetViews>
  <sheetFormatPr defaultColWidth="9" defaultRowHeight="15"/>
  <cols>
    <col min="1" max="3" width="8.625" style="183" customWidth="1"/>
    <col min="4" max="22" width="8.625" style="184" customWidth="1"/>
    <col min="23" max="23" width="9" style="164"/>
    <col min="24" max="24" width="13.125" style="164" customWidth="1"/>
    <col min="25" max="26" width="9" style="164"/>
    <col min="27" max="27" width="16.375" style="164" bestFit="1" customWidth="1"/>
    <col min="28" max="16384" width="9" style="164"/>
  </cols>
  <sheetData>
    <row r="1" spans="1:26" ht="15.75" thickBot="1">
      <c r="A1" s="162"/>
      <c r="B1" s="162"/>
      <c r="C1" s="162"/>
      <c r="D1" s="163"/>
      <c r="E1" s="163"/>
      <c r="F1" s="163"/>
      <c r="G1" s="163" t="s">
        <v>1437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6" s="165" customFormat="1" ht="45" customHeight="1" thickTop="1" thickBot="1">
      <c r="A2" s="1164" t="s">
        <v>1472</v>
      </c>
      <c r="B2" s="1165"/>
      <c r="C2" s="1165"/>
      <c r="D2" s="1165"/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165"/>
      <c r="R2" s="1165"/>
      <c r="S2" s="1165"/>
      <c r="T2" s="1165"/>
      <c r="U2" s="1165"/>
      <c r="V2" s="1166"/>
    </row>
    <row r="3" spans="1:26" s="171" customFormat="1" ht="12.75">
      <c r="A3" s="166"/>
      <c r="B3" s="483" t="s">
        <v>1157</v>
      </c>
      <c r="C3" s="733" t="s">
        <v>1158</v>
      </c>
      <c r="D3" s="483" t="s">
        <v>1456</v>
      </c>
      <c r="E3" s="483" t="s">
        <v>1457</v>
      </c>
      <c r="F3" s="483" t="s">
        <v>1161</v>
      </c>
      <c r="G3" s="738" t="s">
        <v>1162</v>
      </c>
      <c r="H3" s="167" t="s">
        <v>1163</v>
      </c>
      <c r="I3" s="167" t="s">
        <v>1164</v>
      </c>
      <c r="J3" s="167" t="s">
        <v>1165</v>
      </c>
      <c r="K3" s="167" t="s">
        <v>1166</v>
      </c>
      <c r="L3" s="739" t="s">
        <v>1167</v>
      </c>
      <c r="M3" s="483" t="s">
        <v>1168</v>
      </c>
      <c r="N3" s="483" t="s">
        <v>1169</v>
      </c>
      <c r="O3" s="483" t="s">
        <v>1170</v>
      </c>
      <c r="P3" s="483" t="s">
        <v>1171</v>
      </c>
      <c r="Q3" s="483" t="s">
        <v>1172</v>
      </c>
      <c r="R3" s="483" t="s">
        <v>1173</v>
      </c>
      <c r="S3" s="483" t="s">
        <v>1174</v>
      </c>
      <c r="T3" s="483" t="s">
        <v>1175</v>
      </c>
      <c r="U3" s="483" t="s">
        <v>1176</v>
      </c>
      <c r="V3" s="170" t="s">
        <v>1177</v>
      </c>
    </row>
    <row r="4" spans="1:26" s="171" customFormat="1" ht="51">
      <c r="A4" s="166"/>
      <c r="B4" s="1092" t="s">
        <v>1219</v>
      </c>
      <c r="C4" s="1167" t="s">
        <v>1219</v>
      </c>
      <c r="D4" s="1085" t="s">
        <v>1056</v>
      </c>
      <c r="E4" s="1085"/>
      <c r="F4" s="1085"/>
      <c r="G4" s="1168" t="s">
        <v>1209</v>
      </c>
      <c r="H4" s="1084"/>
      <c r="I4" s="1084"/>
      <c r="J4" s="1084"/>
      <c r="K4" s="1084"/>
      <c r="L4" s="1169"/>
      <c r="M4" s="1084" t="s">
        <v>1442</v>
      </c>
      <c r="N4" s="1085"/>
      <c r="O4" s="1085"/>
      <c r="P4" s="1085"/>
      <c r="Q4" s="1085"/>
      <c r="R4" s="1088" t="s">
        <v>1486</v>
      </c>
      <c r="S4" s="1088"/>
      <c r="T4" s="1084" t="s">
        <v>1481</v>
      </c>
      <c r="U4" s="1084"/>
      <c r="V4" s="724" t="s">
        <v>1487</v>
      </c>
      <c r="W4" s="693"/>
    </row>
    <row r="5" spans="1:26" s="175" customFormat="1" ht="63.75">
      <c r="A5" s="179" t="s">
        <v>1191</v>
      </c>
      <c r="B5" s="1092"/>
      <c r="C5" s="1167"/>
      <c r="D5" s="720" t="s">
        <v>1249</v>
      </c>
      <c r="E5" s="720" t="s">
        <v>1249</v>
      </c>
      <c r="F5" s="659" t="s">
        <v>1225</v>
      </c>
      <c r="G5" s="723" t="s">
        <v>1440</v>
      </c>
      <c r="H5" s="720" t="s">
        <v>1439</v>
      </c>
      <c r="I5" s="661" t="s">
        <v>1438</v>
      </c>
      <c r="J5" s="720" t="s">
        <v>1441</v>
      </c>
      <c r="K5" s="720" t="s">
        <v>1441</v>
      </c>
      <c r="L5" s="659" t="s">
        <v>1438</v>
      </c>
      <c r="M5" s="720" t="s">
        <v>1485</v>
      </c>
      <c r="N5" s="720" t="s">
        <v>1485</v>
      </c>
      <c r="O5" s="720" t="s">
        <v>1473</v>
      </c>
      <c r="P5" s="720" t="s">
        <v>1473</v>
      </c>
      <c r="Q5" s="720" t="s">
        <v>1471</v>
      </c>
      <c r="R5" s="721" t="s">
        <v>1479</v>
      </c>
      <c r="S5" s="721" t="s">
        <v>1480</v>
      </c>
      <c r="T5" s="721"/>
      <c r="U5" s="721"/>
      <c r="V5" s="734"/>
    </row>
    <row r="6" spans="1:26" s="175" customFormat="1" ht="49.9" customHeight="1">
      <c r="A6" s="176" t="s">
        <v>1224</v>
      </c>
      <c r="B6" s="206" t="s">
        <v>1227</v>
      </c>
      <c r="C6" s="691" t="s">
        <v>1450</v>
      </c>
      <c r="D6" s="717" t="s">
        <v>1227</v>
      </c>
      <c r="E6" s="717" t="s">
        <v>1449</v>
      </c>
      <c r="F6" s="660" t="s">
        <v>1199</v>
      </c>
      <c r="G6" s="206" t="s">
        <v>1152</v>
      </c>
      <c r="H6" s="205" t="s">
        <v>1449</v>
      </c>
      <c r="I6" s="664" t="s">
        <v>1199</v>
      </c>
      <c r="J6" s="205" t="s">
        <v>1152</v>
      </c>
      <c r="K6" s="205" t="s">
        <v>1450</v>
      </c>
      <c r="L6" s="669" t="s">
        <v>1199</v>
      </c>
      <c r="M6" s="206" t="s">
        <v>1152</v>
      </c>
      <c r="N6" s="205" t="s">
        <v>1450</v>
      </c>
      <c r="O6" s="205" t="s">
        <v>1152</v>
      </c>
      <c r="P6" s="205" t="s">
        <v>1450</v>
      </c>
      <c r="Q6" s="717" t="s">
        <v>1199</v>
      </c>
      <c r="R6" s="205" t="s">
        <v>1152</v>
      </c>
      <c r="S6" s="205" t="s">
        <v>1152</v>
      </c>
      <c r="T6" s="205" t="s">
        <v>1152</v>
      </c>
      <c r="U6" s="205" t="s">
        <v>1450</v>
      </c>
      <c r="V6" s="718" t="s">
        <v>1482</v>
      </c>
    </row>
    <row r="7" spans="1:26" s="182" customFormat="1" ht="18.75" customHeight="1">
      <c r="A7" s="179" t="s">
        <v>1200</v>
      </c>
      <c r="B7" s="722"/>
      <c r="C7" s="254"/>
      <c r="D7" s="719" t="s">
        <v>1226</v>
      </c>
      <c r="E7" s="720"/>
      <c r="F7" s="661"/>
      <c r="G7" s="723"/>
      <c r="H7" s="720"/>
      <c r="I7" s="661"/>
      <c r="J7" s="720"/>
      <c r="K7" s="720"/>
      <c r="L7" s="659"/>
      <c r="M7" s="720"/>
      <c r="N7" s="720"/>
      <c r="O7" s="720"/>
      <c r="P7" s="720"/>
      <c r="Q7" s="720"/>
      <c r="R7" s="720"/>
      <c r="S7" s="720"/>
      <c r="T7" s="720"/>
      <c r="U7" s="720"/>
      <c r="V7" s="724"/>
    </row>
    <row r="8" spans="1:26" s="182" customFormat="1" ht="12.75">
      <c r="A8" s="207">
        <v>1980</v>
      </c>
      <c r="B8" s="208">
        <f>'AX1'!N29</f>
        <v>117.95515034006232</v>
      </c>
      <c r="C8" s="689">
        <f>B8/'AX1'!FU29</f>
        <v>561.63966079350769</v>
      </c>
      <c r="D8" s="209">
        <f>'AX1'!P29</f>
        <v>49.843426340062329</v>
      </c>
      <c r="E8" s="692">
        <f>D8/'AX1'!FU29</f>
        <v>237.32787404121419</v>
      </c>
      <c r="F8" s="662">
        <f t="shared" ref="F8:F47" si="0">D8/B8</f>
        <v>0.42256252648879455</v>
      </c>
      <c r="G8" s="723"/>
      <c r="H8" s="720"/>
      <c r="I8" s="661"/>
      <c r="J8" s="720"/>
      <c r="K8" s="720"/>
      <c r="L8" s="659"/>
      <c r="M8" s="720"/>
      <c r="N8" s="720"/>
      <c r="O8" s="720"/>
      <c r="P8" s="720"/>
      <c r="Q8" s="720"/>
      <c r="R8" s="720"/>
      <c r="S8" s="720"/>
      <c r="T8" s="720"/>
      <c r="U8" s="720"/>
      <c r="V8" s="827">
        <f t="shared" ref="V8:V19" si="1">V9</f>
        <v>0.17968990224605186</v>
      </c>
    </row>
    <row r="9" spans="1:26" s="182" customFormat="1" ht="12.75">
      <c r="A9" s="207">
        <v>1981</v>
      </c>
      <c r="B9" s="208">
        <f>'AX1'!N30</f>
        <v>145.1914096462969</v>
      </c>
      <c r="C9" s="689">
        <f>B9/'AX1'!FU30</f>
        <v>610.15661219779827</v>
      </c>
      <c r="D9" s="209">
        <f>'AX1'!P30</f>
        <v>61.695582646296884</v>
      </c>
      <c r="E9" s="692">
        <f>D9/'AX1'!FU30</f>
        <v>259.2713149265432</v>
      </c>
      <c r="F9" s="662">
        <f t="shared" si="0"/>
        <v>0.42492584648495713</v>
      </c>
      <c r="G9" s="723">
        <f>'[4]1981'!$D$7*'AX3'!E5/1000/1000/1000</f>
        <v>10.020838279833985</v>
      </c>
      <c r="H9" s="720">
        <f>G9/'AX1'!FU30</f>
        <v>42.111862892581684</v>
      </c>
      <c r="I9" s="662">
        <f>G9/B9</f>
        <v>6.9018121004857713E-2</v>
      </c>
      <c r="J9" s="720">
        <f>'[4]1981'!$D$13*'AX3'!E5/1000/1000/1000</f>
        <v>14.263456191503908</v>
      </c>
      <c r="K9" s="720">
        <f>J9/'AX1'!FU30</f>
        <v>59.941164076036664</v>
      </c>
      <c r="L9" s="670">
        <f>J9/B9</f>
        <v>9.8238981398771033E-2</v>
      </c>
      <c r="M9" s="210"/>
      <c r="N9" s="210"/>
      <c r="O9" s="210"/>
      <c r="P9" s="210"/>
      <c r="Q9" s="210"/>
      <c r="R9" s="210"/>
      <c r="S9" s="210"/>
      <c r="T9" s="210"/>
      <c r="U9" s="210"/>
      <c r="V9" s="827">
        <f t="shared" si="1"/>
        <v>0.17968990224605186</v>
      </c>
      <c r="W9" s="625"/>
      <c r="X9" s="625"/>
      <c r="Y9" s="770"/>
      <c r="Z9" s="625"/>
    </row>
    <row r="10" spans="1:26" s="182" customFormat="1" ht="12.75">
      <c r="A10" s="207">
        <v>1982</v>
      </c>
      <c r="B10" s="208">
        <f>'AX1'!N31</f>
        <v>160.46207993583536</v>
      </c>
      <c r="C10" s="689">
        <f>B10/'AX1'!FU31</f>
        <v>610.10856766812128</v>
      </c>
      <c r="D10" s="209">
        <f>'AX1'!P31</f>
        <v>63.587128935835381</v>
      </c>
      <c r="E10" s="692">
        <f>D10/'AX1'!FU31</f>
        <v>241.77084188790155</v>
      </c>
      <c r="F10" s="662">
        <f t="shared" si="0"/>
        <v>0.39627511348015826</v>
      </c>
      <c r="G10" s="723"/>
      <c r="H10" s="720"/>
      <c r="I10" s="661"/>
      <c r="J10" s="720"/>
      <c r="K10" s="720"/>
      <c r="L10" s="659"/>
      <c r="M10" s="720"/>
      <c r="N10" s="720"/>
      <c r="O10" s="720"/>
      <c r="P10" s="720"/>
      <c r="Q10" s="720"/>
      <c r="R10" s="720"/>
      <c r="S10" s="720"/>
      <c r="T10" s="720"/>
      <c r="U10" s="720"/>
      <c r="V10" s="827">
        <f t="shared" si="1"/>
        <v>0.17968990224605186</v>
      </c>
      <c r="W10" s="625"/>
      <c r="X10" s="625"/>
      <c r="Y10" s="770"/>
    </row>
    <row r="11" spans="1:26" s="182" customFormat="1" ht="12.75">
      <c r="A11" s="207">
        <v>1983</v>
      </c>
      <c r="B11" s="208">
        <f>'AX1'!N32</f>
        <v>176.34697627204031</v>
      </c>
      <c r="C11" s="689">
        <f>B11/'AX1'!FU32</f>
        <v>606.1197396370128</v>
      </c>
      <c r="D11" s="209">
        <f>'AX1'!P32</f>
        <v>66.77521327204029</v>
      </c>
      <c r="E11" s="692">
        <f>D11/'AX1'!FU32</f>
        <v>229.51215687542327</v>
      </c>
      <c r="F11" s="662">
        <f t="shared" si="0"/>
        <v>0.37865811302049218</v>
      </c>
      <c r="G11" s="723"/>
      <c r="H11" s="720"/>
      <c r="I11" s="661"/>
      <c r="J11" s="720"/>
      <c r="K11" s="720"/>
      <c r="L11" s="659"/>
      <c r="M11" s="720"/>
      <c r="N11" s="720"/>
      <c r="O11" s="720"/>
      <c r="P11" s="720"/>
      <c r="Q11" s="720"/>
      <c r="R11" s="720"/>
      <c r="S11" s="720"/>
      <c r="T11" s="720"/>
      <c r="U11" s="720"/>
      <c r="V11" s="827">
        <f t="shared" si="1"/>
        <v>0.17968990224605186</v>
      </c>
      <c r="W11" s="625"/>
      <c r="X11" s="625"/>
      <c r="Y11" s="770"/>
    </row>
    <row r="12" spans="1:26" s="182" customFormat="1" ht="12.75">
      <c r="A12" s="207">
        <v>1984</v>
      </c>
      <c r="B12" s="208">
        <f>'AX1'!N33</f>
        <v>209.93848647066483</v>
      </c>
      <c r="C12" s="689">
        <f>B12/'AX1'!FU33</f>
        <v>685.27090866839649</v>
      </c>
      <c r="D12" s="209">
        <f>'AX1'!P33</f>
        <v>80.874366470664825</v>
      </c>
      <c r="E12" s="692">
        <f>D12/'AX1'!FU33</f>
        <v>263.98613961179274</v>
      </c>
      <c r="F12" s="662">
        <f t="shared" si="0"/>
        <v>0.38522887265820877</v>
      </c>
      <c r="G12" s="273"/>
      <c r="H12" s="256"/>
      <c r="I12" s="665"/>
      <c r="J12" s="256"/>
      <c r="K12" s="256"/>
      <c r="L12" s="671"/>
      <c r="M12" s="256"/>
      <c r="N12" s="256"/>
      <c r="O12" s="256"/>
      <c r="P12" s="256"/>
      <c r="Q12" s="256"/>
      <c r="R12" s="256"/>
      <c r="S12" s="256"/>
      <c r="T12" s="256"/>
      <c r="U12" s="256"/>
      <c r="V12" s="827">
        <f t="shared" si="1"/>
        <v>0.17968990224605186</v>
      </c>
      <c r="W12" s="625"/>
      <c r="X12" s="625"/>
      <c r="Y12" s="770"/>
    </row>
    <row r="13" spans="1:26" s="182" customFormat="1" ht="12.75">
      <c r="A13" s="207">
        <v>1985</v>
      </c>
      <c r="B13" s="208">
        <f>'AX1'!N34</f>
        <v>220.21891335739065</v>
      </c>
      <c r="C13" s="689">
        <f>B13/'AX1'!FU34</f>
        <v>696.91229288101067</v>
      </c>
      <c r="D13" s="209">
        <f>'AX1'!P34</f>
        <v>77.693026357390664</v>
      </c>
      <c r="E13" s="692">
        <f>D13/'AX1'!FU34</f>
        <v>245.87000414320582</v>
      </c>
      <c r="F13" s="662">
        <f t="shared" si="0"/>
        <v>0.35279906331797933</v>
      </c>
      <c r="G13" s="273"/>
      <c r="H13" s="256"/>
      <c r="I13" s="665"/>
      <c r="J13" s="256"/>
      <c r="K13" s="256"/>
      <c r="L13" s="671"/>
      <c r="M13" s="256"/>
      <c r="N13" s="256"/>
      <c r="O13" s="256"/>
      <c r="P13" s="256"/>
      <c r="Q13" s="256"/>
      <c r="R13" s="256"/>
      <c r="S13" s="256"/>
      <c r="T13" s="256"/>
      <c r="U13" s="256"/>
      <c r="V13" s="827">
        <f t="shared" si="1"/>
        <v>0.17968990224605186</v>
      </c>
      <c r="W13" s="625"/>
      <c r="X13" s="625"/>
      <c r="Y13" s="770"/>
    </row>
    <row r="14" spans="1:26" s="182" customFormat="1" ht="12.75">
      <c r="A14" s="207">
        <v>1986</v>
      </c>
      <c r="B14" s="208">
        <f>'AX1'!N35</f>
        <v>258.85560837117146</v>
      </c>
      <c r="C14" s="689">
        <f>B14/'AX1'!FU35</f>
        <v>785.64947803881853</v>
      </c>
      <c r="D14" s="209">
        <f>'AX1'!P35</f>
        <v>97.106342371171394</v>
      </c>
      <c r="E14" s="692">
        <f>D14/'AX1'!FU35</f>
        <v>294.72626719671314</v>
      </c>
      <c r="F14" s="662">
        <f t="shared" si="0"/>
        <v>0.37513710049477161</v>
      </c>
      <c r="G14" s="723">
        <f>'[4]1986'!$D$7*'AX3'!E10/1000/1000/1000</f>
        <v>21.116954271972656</v>
      </c>
      <c r="H14" s="720">
        <f>G14/'AX1'!FU35</f>
        <v>64.091808579846827</v>
      </c>
      <c r="I14" s="662">
        <f>G14/B14</f>
        <v>8.1578121505071599E-2</v>
      </c>
      <c r="J14" s="720">
        <f>'[4]1986'!$D$13*'AX3'!E10/1000/1000/1000</f>
        <v>28.151599703466797</v>
      </c>
      <c r="K14" s="720">
        <f>J14/'AX1'!FU35</f>
        <v>85.442574538592197</v>
      </c>
      <c r="L14" s="670">
        <f>J14/B14</f>
        <v>0.1087540651740502</v>
      </c>
      <c r="M14" s="210"/>
      <c r="N14" s="210"/>
      <c r="O14" s="210"/>
      <c r="P14" s="210"/>
      <c r="Q14" s="210"/>
      <c r="R14" s="210"/>
      <c r="S14" s="210"/>
      <c r="T14" s="210"/>
      <c r="U14" s="210"/>
      <c r="V14" s="827">
        <f t="shared" si="1"/>
        <v>0.17968990224605186</v>
      </c>
      <c r="W14" s="625"/>
      <c r="X14" s="625"/>
      <c r="Y14" s="770"/>
      <c r="Z14" s="625"/>
    </row>
    <row r="15" spans="1:26" s="182" customFormat="1" ht="12.75">
      <c r="A15" s="207">
        <v>1987</v>
      </c>
      <c r="B15" s="208">
        <f>'AX1'!N36</f>
        <v>323.94258731765353</v>
      </c>
      <c r="C15" s="689">
        <f>B15/'AX1'!FU36</f>
        <v>913.72936314055528</v>
      </c>
      <c r="D15" s="209">
        <f>'AX1'!P36</f>
        <v>132.23865331765359</v>
      </c>
      <c r="E15" s="692">
        <f>D15/'AX1'!FU36</f>
        <v>372.99924495577289</v>
      </c>
      <c r="F15" s="662">
        <f t="shared" si="0"/>
        <v>0.40821632750615228</v>
      </c>
      <c r="G15" s="273"/>
      <c r="H15" s="256"/>
      <c r="I15" s="666"/>
      <c r="J15" s="304"/>
      <c r="K15" s="304"/>
      <c r="L15" s="672"/>
      <c r="M15" s="256"/>
      <c r="N15" s="256"/>
      <c r="O15" s="256"/>
      <c r="P15" s="256"/>
      <c r="Q15" s="256"/>
      <c r="R15" s="256"/>
      <c r="S15" s="256"/>
      <c r="T15" s="256"/>
      <c r="U15" s="256"/>
      <c r="V15" s="827">
        <f t="shared" si="1"/>
        <v>0.17968990224605186</v>
      </c>
      <c r="W15" s="625"/>
      <c r="X15" s="625"/>
      <c r="Y15" s="770"/>
    </row>
    <row r="16" spans="1:26" s="182" customFormat="1" ht="12.75">
      <c r="A16" s="207">
        <v>1988</v>
      </c>
      <c r="B16" s="208">
        <f>'AX1'!N37</f>
        <v>387.57464117583015</v>
      </c>
      <c r="C16" s="689">
        <f>B16/'AX1'!FU37</f>
        <v>1010.8102450766626</v>
      </c>
      <c r="D16" s="209">
        <f>'AX1'!P37</f>
        <v>162.27880517583014</v>
      </c>
      <c r="E16" s="692">
        <f>D16/'AX1'!FU37</f>
        <v>423.22964766962735</v>
      </c>
      <c r="F16" s="662">
        <f t="shared" si="0"/>
        <v>0.418703361715065</v>
      </c>
      <c r="G16" s="273"/>
      <c r="H16" s="256"/>
      <c r="I16" s="665"/>
      <c r="J16" s="304"/>
      <c r="K16" s="304"/>
      <c r="L16" s="671"/>
      <c r="M16" s="256"/>
      <c r="N16" s="256"/>
      <c r="O16" s="256"/>
      <c r="P16" s="256"/>
      <c r="Q16" s="256"/>
      <c r="R16" s="256"/>
      <c r="S16" s="256"/>
      <c r="T16" s="256"/>
      <c r="U16" s="256"/>
      <c r="V16" s="827">
        <f t="shared" si="1"/>
        <v>0.17968990224605186</v>
      </c>
      <c r="W16" s="625"/>
      <c r="X16" s="625"/>
      <c r="Y16" s="770"/>
    </row>
    <row r="17" spans="1:28" s="182" customFormat="1" ht="12.75">
      <c r="A17" s="207">
        <v>1989</v>
      </c>
      <c r="B17" s="208">
        <f>'AX1'!N38</f>
        <v>437.62934397620313</v>
      </c>
      <c r="C17" s="689">
        <f>B17/'AX1'!FU38</f>
        <v>1037.1215959983992</v>
      </c>
      <c r="D17" s="209">
        <f>'AX1'!P38</f>
        <v>175.76820297620318</v>
      </c>
      <c r="E17" s="692">
        <f>D17/'AX1'!FU38</f>
        <v>416.54656321757739</v>
      </c>
      <c r="F17" s="662">
        <f t="shared" si="0"/>
        <v>0.40163715115447307</v>
      </c>
      <c r="G17" s="273"/>
      <c r="H17" s="256"/>
      <c r="I17" s="665"/>
      <c r="J17" s="304"/>
      <c r="K17" s="304"/>
      <c r="L17" s="671"/>
      <c r="M17" s="256">
        <f>'AX7'!C7/'AX6'!B14/1000</f>
        <v>128.67272727272726</v>
      </c>
      <c r="N17" s="256">
        <f>M17/'AX1'!FU38</f>
        <v>304.93673723536733</v>
      </c>
      <c r="O17" s="256">
        <f>M17*(1-'AX6'!B14)</f>
        <v>107.44172727272725</v>
      </c>
      <c r="P17" s="256">
        <f>N17*(1-'AX6'!B14)</f>
        <v>254.62217559153171</v>
      </c>
      <c r="Q17" s="211"/>
      <c r="R17" s="296"/>
      <c r="S17" s="296"/>
      <c r="T17" s="211"/>
      <c r="U17" s="211"/>
      <c r="V17" s="827">
        <f t="shared" si="1"/>
        <v>0.17968990224605186</v>
      </c>
      <c r="W17" s="625"/>
      <c r="X17" s="625"/>
      <c r="Y17" s="770"/>
    </row>
    <row r="18" spans="1:28" s="182" customFormat="1" ht="12.75">
      <c r="A18" s="207">
        <v>1990</v>
      </c>
      <c r="B18" s="208">
        <f>'AX1'!N39</f>
        <v>490.38274487717979</v>
      </c>
      <c r="C18" s="689">
        <f>B18/'AX1'!FU39</f>
        <v>1043.0682155379357</v>
      </c>
      <c r="D18" s="209">
        <f>'AX1'!P39</f>
        <v>189.17795787717975</v>
      </c>
      <c r="E18" s="692">
        <f>D18/'AX1'!FU39</f>
        <v>402.39082023875528</v>
      </c>
      <c r="F18" s="662">
        <f t="shared" si="0"/>
        <v>0.38577613069269162</v>
      </c>
      <c r="G18" s="273"/>
      <c r="H18" s="256"/>
      <c r="I18" s="665"/>
      <c r="J18" s="304"/>
      <c r="K18" s="304"/>
      <c r="L18" s="671"/>
      <c r="M18" s="256">
        <f>'AX7'!C8/'AX6'!B15/1000</f>
        <v>128.73333333333332</v>
      </c>
      <c r="N18" s="256">
        <f>M18/'AX1'!FU39</f>
        <v>273.82213114754097</v>
      </c>
      <c r="O18" s="256">
        <f>M18*(1-'AX6'!B15)</f>
        <v>107.49233333333332</v>
      </c>
      <c r="P18" s="256">
        <f>N18*(1-'AX6'!B15)</f>
        <v>228.64147950819671</v>
      </c>
      <c r="Q18" s="211"/>
      <c r="R18" s="296"/>
      <c r="S18" s="296"/>
      <c r="T18" s="211"/>
      <c r="U18" s="211"/>
      <c r="V18" s="827">
        <f t="shared" si="1"/>
        <v>0.17968990224605186</v>
      </c>
      <c r="W18" s="625"/>
      <c r="X18" s="625"/>
      <c r="Y18" s="770"/>
    </row>
    <row r="19" spans="1:28" s="182" customFormat="1" ht="12.75">
      <c r="A19" s="207">
        <v>1991</v>
      </c>
      <c r="B19" s="208">
        <f>'AX1'!N40</f>
        <v>553.55790498162696</v>
      </c>
      <c r="C19" s="689">
        <f>B19/'AX1'!FU40</f>
        <v>1072.0020622591953</v>
      </c>
      <c r="D19" s="209">
        <f>'AX1'!P40</f>
        <v>215.1571289816269</v>
      </c>
      <c r="E19" s="692">
        <f>D19/'AX1'!FU40</f>
        <v>416.66623112486701</v>
      </c>
      <c r="F19" s="662">
        <f t="shared" si="0"/>
        <v>0.38868043802710783</v>
      </c>
      <c r="G19" s="723">
        <f>'[4]1991'!$D$7*'AX3'!E15/1000/1000/1000</f>
        <v>48.565676748144526</v>
      </c>
      <c r="H19" s="720">
        <f>G19/'AX1'!FU40</f>
        <v>94.050694896593313</v>
      </c>
      <c r="I19" s="662">
        <f>G19/B19</f>
        <v>8.7733688402040724E-2</v>
      </c>
      <c r="J19" s="720">
        <f>'[4]1991'!$D$13*'AX3'!E15/1000/1000/1000</f>
        <v>53.333747583574223</v>
      </c>
      <c r="K19" s="720">
        <f>J19/'AX1'!FU40</f>
        <v>103.28438431296649</v>
      </c>
      <c r="L19" s="670">
        <f>J19/B19</f>
        <v>9.634718807844396E-2</v>
      </c>
      <c r="M19" s="256">
        <f>'AX7'!C9/'AX6'!B16/1000</f>
        <v>152.74545454545452</v>
      </c>
      <c r="N19" s="256">
        <f>M19/'AX1'!FU40</f>
        <v>295.80183175033915</v>
      </c>
      <c r="O19" s="256">
        <f>M19*(1-'AX6'!B16)</f>
        <v>127.54245454545452</v>
      </c>
      <c r="P19" s="256">
        <f>N19*(1-'AX6'!B16)</f>
        <v>246.99452951153319</v>
      </c>
      <c r="Q19" s="211"/>
      <c r="R19" s="296"/>
      <c r="S19" s="296"/>
      <c r="T19" s="211"/>
      <c r="U19" s="211"/>
      <c r="V19" s="827">
        <f t="shared" si="1"/>
        <v>0.17968990224605186</v>
      </c>
      <c r="W19" s="625"/>
      <c r="X19" s="625"/>
      <c r="Y19" s="770"/>
      <c r="Z19" s="625"/>
      <c r="AA19" s="643"/>
    </row>
    <row r="20" spans="1:28" s="182" customFormat="1" ht="12.75">
      <c r="A20" s="207">
        <v>1992</v>
      </c>
      <c r="B20" s="208">
        <f>'AX1'!N41</f>
        <v>641.49642676908377</v>
      </c>
      <c r="C20" s="689">
        <f>B20/'AX1'!FU41</f>
        <v>1132.4375697046071</v>
      </c>
      <c r="D20" s="209">
        <f>'AX1'!P41</f>
        <v>258.17881176908389</v>
      </c>
      <c r="E20" s="692">
        <f>D20/'AX1'!FU41</f>
        <v>455.7646371025665</v>
      </c>
      <c r="F20" s="662">
        <f t="shared" si="0"/>
        <v>0.40246336689575857</v>
      </c>
      <c r="G20" s="273"/>
      <c r="H20" s="256"/>
      <c r="I20" s="666"/>
      <c r="J20" s="256"/>
      <c r="K20" s="256"/>
      <c r="L20" s="672"/>
      <c r="M20" s="256">
        <f>'AX7'!C10/'AX6'!B17/1000</f>
        <v>195.44242424242424</v>
      </c>
      <c r="N20" s="256">
        <f>M20/'AX1'!FU41</f>
        <v>345.01570810142243</v>
      </c>
      <c r="O20" s="256">
        <f>M20*(1-'AX6'!B17)</f>
        <v>163.19442424242422</v>
      </c>
      <c r="P20" s="256">
        <f>N20*(1-'AX6'!B17)</f>
        <v>288.0881162646877</v>
      </c>
      <c r="Q20" s="211"/>
      <c r="R20" s="296"/>
      <c r="S20" s="296"/>
      <c r="T20" s="211"/>
      <c r="U20" s="211"/>
      <c r="V20" s="827">
        <f>V21</f>
        <v>0.17968990224605186</v>
      </c>
      <c r="W20" s="625"/>
      <c r="X20" s="625"/>
      <c r="Y20" s="770"/>
    </row>
    <row r="21" spans="1:28" s="182" customFormat="1" ht="12.75">
      <c r="A21" s="207">
        <v>1993</v>
      </c>
      <c r="B21" s="208">
        <f>'AX1'!N42</f>
        <v>731.22231809902291</v>
      </c>
      <c r="C21" s="689">
        <f>B21/'AX1'!FU42</f>
        <v>1184.1010392929577</v>
      </c>
      <c r="D21" s="209">
        <f>'AX1'!P42</f>
        <v>291.51754509902287</v>
      </c>
      <c r="E21" s="692">
        <f>D21/'AX1'!FU42</f>
        <v>472.06741312447076</v>
      </c>
      <c r="F21" s="662">
        <f t="shared" si="0"/>
        <v>0.39867156387798497</v>
      </c>
      <c r="G21" s="273"/>
      <c r="H21" s="256"/>
      <c r="I21" s="665"/>
      <c r="J21" s="256"/>
      <c r="K21" s="256"/>
      <c r="L21" s="671"/>
      <c r="M21" s="256">
        <f>'AX7'!C11/'AX6'!B18/1000</f>
        <v>227.76</v>
      </c>
      <c r="N21" s="256">
        <f>M21/'AX1'!FU42</f>
        <v>368.82196567862718</v>
      </c>
      <c r="O21" s="256">
        <f>M21*(1-'AX6'!B18)</f>
        <v>187.90199999999999</v>
      </c>
      <c r="P21" s="256">
        <f>N21*(1-'AX6'!B18)</f>
        <v>304.27812168486741</v>
      </c>
      <c r="Q21" s="211">
        <f>M21/B21</f>
        <v>0.31147845786779788</v>
      </c>
      <c r="R21" s="256">
        <f>'AX1'!FB42+'AX1'!FC42</f>
        <v>164.38800000000001</v>
      </c>
      <c r="S21" s="256">
        <f>'AX1'!FG42+'AX1'!FH42</f>
        <v>149.399</v>
      </c>
      <c r="T21" s="730">
        <f>(M21-R21+S21)</f>
        <v>212.77099999999999</v>
      </c>
      <c r="U21" s="730">
        <f>(O21-R21+S21)/'AX1'!FU42</f>
        <v>280.00576287051479</v>
      </c>
      <c r="V21" s="535">
        <f>T21/C21</f>
        <v>0.17968990224605186</v>
      </c>
      <c r="W21" s="625"/>
      <c r="X21" s="625"/>
      <c r="Y21" s="770"/>
    </row>
    <row r="22" spans="1:28" s="182" customFormat="1" ht="12.75">
      <c r="A22" s="207">
        <v>1994</v>
      </c>
      <c r="B22" s="208">
        <f>'AX1'!N43</f>
        <v>838.7160429206042</v>
      </c>
      <c r="C22" s="689">
        <f>B22/'AX1'!FU43</f>
        <v>1240.1527814125172</v>
      </c>
      <c r="D22" s="209">
        <f>'AX1'!P43</f>
        <v>353.21430192060416</v>
      </c>
      <c r="E22" s="692">
        <f>D22/'AX1'!FU43</f>
        <v>522.27413873730359</v>
      </c>
      <c r="F22" s="662">
        <f t="shared" si="0"/>
        <v>0.42113693293695664</v>
      </c>
      <c r="G22" s="273"/>
      <c r="H22" s="256"/>
      <c r="I22" s="665"/>
      <c r="J22" s="256"/>
      <c r="K22" s="256"/>
      <c r="L22" s="671"/>
      <c r="M22" s="256">
        <f>'AX7'!C12/'AX6'!B19/1000</f>
        <v>271.02857142857141</v>
      </c>
      <c r="N22" s="256">
        <f>M22/'AX1'!FU43</f>
        <v>400.75164835164827</v>
      </c>
      <c r="O22" s="256">
        <f>M22*(1-'AX6'!B19)</f>
        <v>223.5985714285714</v>
      </c>
      <c r="P22" s="256">
        <f>N22*(1-'AX6'!B19)</f>
        <v>330.6201098901098</v>
      </c>
      <c r="Q22" s="211">
        <f t="shared" ref="Q22:Q46" si="2">M22/B22</f>
        <v>0.3231469979813274</v>
      </c>
      <c r="R22" s="256">
        <f>'AX1'!FB43+'AX1'!FC43</f>
        <v>189.28300000000002</v>
      </c>
      <c r="S22" s="256">
        <f>'AX1'!FG43+'AX1'!FH43</f>
        <v>178.04399999999998</v>
      </c>
      <c r="T22" s="730">
        <f t="shared" ref="T22:T46" si="3">(M22-R22+S22)</f>
        <v>259.78957142857138</v>
      </c>
      <c r="U22" s="730">
        <f>(O22-R22+S22)/'AX1'!FU43</f>
        <v>314.00175946275937</v>
      </c>
      <c r="V22" s="535">
        <f t="shared" ref="V22:V46" si="4">T22/C22</f>
        <v>0.20948190845701653</v>
      </c>
      <c r="W22" s="625"/>
      <c r="X22" s="625"/>
      <c r="Y22" s="770"/>
    </row>
    <row r="23" spans="1:28" s="182" customFormat="1" ht="12.75">
      <c r="A23" s="207">
        <v>1995</v>
      </c>
      <c r="B23" s="208">
        <f>'AX1'!N44</f>
        <v>906.80609641387628</v>
      </c>
      <c r="C23" s="689">
        <f>B23/'AX1'!FU44</f>
        <v>1253.3485060953444</v>
      </c>
      <c r="D23" s="209">
        <f>'AX1'!P44</f>
        <v>352.45071641387614</v>
      </c>
      <c r="E23" s="692">
        <f>D23/'AX1'!FU44</f>
        <v>487.14226849214845</v>
      </c>
      <c r="F23" s="662">
        <f t="shared" si="0"/>
        <v>0.3886726366394142</v>
      </c>
      <c r="G23" s="273"/>
      <c r="H23" s="256"/>
      <c r="I23" s="665"/>
      <c r="J23" s="256"/>
      <c r="K23" s="256"/>
      <c r="L23" s="671"/>
      <c r="M23" s="256">
        <f>'AX7'!C13/'AX6'!B20/1000</f>
        <v>283.06666666666661</v>
      </c>
      <c r="N23" s="256">
        <f>M23/'AX1'!FU44</f>
        <v>391.24260985352856</v>
      </c>
      <c r="O23" s="256">
        <f>M23*(1-'AX6'!B20)</f>
        <v>236.36066666666662</v>
      </c>
      <c r="P23" s="256">
        <f>N23*(1-'AX6'!B20)</f>
        <v>326.68757922769635</v>
      </c>
      <c r="Q23" s="211">
        <f t="shared" si="2"/>
        <v>0.31215787783750393</v>
      </c>
      <c r="R23" s="256">
        <f>'AX1'!FB44+'AX1'!FC44</f>
        <v>202.03100000000001</v>
      </c>
      <c r="S23" s="256">
        <f>'AX1'!FG44+'AX1'!FH44</f>
        <v>185.38499999999999</v>
      </c>
      <c r="T23" s="730">
        <f t="shared" si="3"/>
        <v>266.42066666666659</v>
      </c>
      <c r="U23" s="730">
        <f>(O23-R23+S23)/'AX1'!FU44</f>
        <v>303.68019174434085</v>
      </c>
      <c r="V23" s="535">
        <f t="shared" si="4"/>
        <v>0.2125671075291484</v>
      </c>
      <c r="W23" s="625"/>
      <c r="X23" s="625"/>
      <c r="Y23" s="770"/>
    </row>
    <row r="24" spans="1:28" s="182" customFormat="1" ht="12.75">
      <c r="A24" s="207">
        <v>1996</v>
      </c>
      <c r="B24" s="208">
        <f>'AX1'!N45</f>
        <v>987.60993764559771</v>
      </c>
      <c r="C24" s="689">
        <f>B24/'AX1'!FU45</f>
        <v>1279.8241139527222</v>
      </c>
      <c r="D24" s="209">
        <f>'AX1'!P45</f>
        <v>398.18632564559766</v>
      </c>
      <c r="E24" s="692">
        <f>D24/'AX1'!FU45</f>
        <v>516.00175533099923</v>
      </c>
      <c r="F24" s="662">
        <f t="shared" si="0"/>
        <v>0.40318177295263935</v>
      </c>
      <c r="G24" s="723">
        <f>'[4]1996'!$D$7*'AX3'!E20/1000/1000/1000</f>
        <v>94.938927107500007</v>
      </c>
      <c r="H24" s="720">
        <f>G24/'AX1'!FU45</f>
        <v>123.02947108312736</v>
      </c>
      <c r="I24" s="662">
        <f>G24/B24</f>
        <v>9.6129983598412003E-2</v>
      </c>
      <c r="J24" s="720">
        <f>'[4]1996'!$D$13*'AX3'!E20/1000/1000/1000</f>
        <v>94.181996989257811</v>
      </c>
      <c r="K24" s="720">
        <f>J24/'AX1'!FU45</f>
        <v>122.0485803681019</v>
      </c>
      <c r="L24" s="670">
        <f>J24/B24</f>
        <v>9.5363557411929242E-2</v>
      </c>
      <c r="M24" s="256">
        <f>'AX7'!C14/'AX6'!B21/1000</f>
        <v>303.41212121212124</v>
      </c>
      <c r="N24" s="256">
        <f>M24/'AX1'!FU45</f>
        <v>393.18574509136312</v>
      </c>
      <c r="O24" s="256">
        <f>M24*(1-'AX6'!B21)</f>
        <v>253.34912121212122</v>
      </c>
      <c r="P24" s="256">
        <f>N24*(1-'AX6'!B21)</f>
        <v>328.31009715128818</v>
      </c>
      <c r="Q24" s="211">
        <f t="shared" si="2"/>
        <v>0.30721857855687174</v>
      </c>
      <c r="R24" s="256">
        <f>'AX1'!FB45+'AX1'!FC45</f>
        <v>229.6</v>
      </c>
      <c r="S24" s="256">
        <f>'AX1'!FG45+'AX1'!FH45</f>
        <v>201.74</v>
      </c>
      <c r="T24" s="730">
        <f t="shared" si="3"/>
        <v>275.55212121212128</v>
      </c>
      <c r="U24" s="730">
        <f>(O24-R24+S24)/'AX1'!FU45</f>
        <v>292.20687617750542</v>
      </c>
      <c r="V24" s="535">
        <f t="shared" si="4"/>
        <v>0.21530467992283853</v>
      </c>
      <c r="W24" s="625"/>
      <c r="X24" s="625"/>
      <c r="Y24" s="770"/>
      <c r="Z24" s="625"/>
      <c r="AA24" s="643"/>
      <c r="AB24" s="625"/>
    </row>
    <row r="25" spans="1:28" s="182" customFormat="1" ht="12.75">
      <c r="A25" s="207">
        <v>1997</v>
      </c>
      <c r="B25" s="208">
        <f>'AX1'!N46</f>
        <v>1092.4045877937599</v>
      </c>
      <c r="C25" s="689">
        <f>B25/'AX1'!FU46</f>
        <v>1345.0960404862667</v>
      </c>
      <c r="D25" s="209">
        <f>'AX1'!P46</f>
        <v>427.06800779375999</v>
      </c>
      <c r="E25" s="692">
        <f>D25/'AX1'!FU46</f>
        <v>525.85598112683613</v>
      </c>
      <c r="F25" s="662">
        <f t="shared" si="0"/>
        <v>0.39094307417389584</v>
      </c>
      <c r="G25" s="273"/>
      <c r="H25" s="256"/>
      <c r="I25" s="666"/>
      <c r="J25" s="256"/>
      <c r="K25" s="256"/>
      <c r="L25" s="672"/>
      <c r="M25" s="256">
        <f>'AX7'!C15/'AX6'!B22/1000</f>
        <v>335.43636363636364</v>
      </c>
      <c r="N25" s="256">
        <f>M25/'AX1'!FU46</f>
        <v>413.02840504691039</v>
      </c>
      <c r="O25" s="256">
        <f>M25*(1-'AX6'!B22)</f>
        <v>280.0893636363636</v>
      </c>
      <c r="P25" s="256">
        <f>N25*(1-'AX6'!B22)</f>
        <v>344.87871821417019</v>
      </c>
      <c r="Q25" s="211">
        <f t="shared" si="2"/>
        <v>0.30706239005624919</v>
      </c>
      <c r="R25" s="256">
        <f>'AX1'!FB46+'AX1'!FC46</f>
        <v>195.32299999999998</v>
      </c>
      <c r="S25" s="256">
        <f>'AX1'!FG46+'AX1'!FH46</f>
        <v>200.5915</v>
      </c>
      <c r="T25" s="730">
        <f t="shared" si="3"/>
        <v>340.70486363636365</v>
      </c>
      <c r="U25" s="730">
        <f>(O25-R25+S25)/'AX1'!FU46</f>
        <v>351.36591038498869</v>
      </c>
      <c r="V25" s="535">
        <f t="shared" si="4"/>
        <v>0.25329407966526701</v>
      </c>
      <c r="W25" s="625"/>
      <c r="X25" s="625"/>
      <c r="Y25" s="770"/>
    </row>
    <row r="26" spans="1:28" s="182" customFormat="1" ht="12.75">
      <c r="A26" s="207">
        <v>1998</v>
      </c>
      <c r="B26" s="208">
        <f>'AX1'!N47</f>
        <v>1042.8733119881663</v>
      </c>
      <c r="C26" s="689">
        <f>B26/'AX1'!FU47</f>
        <v>1305.7931216450138</v>
      </c>
      <c r="D26" s="209">
        <f>'AX1'!P47</f>
        <v>347.92842198816612</v>
      </c>
      <c r="E26" s="692">
        <f>D26/'AX1'!FU47</f>
        <v>435.64499640979062</v>
      </c>
      <c r="F26" s="662">
        <f t="shared" si="0"/>
        <v>0.33362482095247459</v>
      </c>
      <c r="G26" s="273"/>
      <c r="H26" s="256"/>
      <c r="I26" s="665"/>
      <c r="J26" s="256"/>
      <c r="K26" s="256"/>
      <c r="L26" s="671"/>
      <c r="M26" s="256">
        <f>'AX7'!C16/'AX6'!B23/1000</f>
        <v>274.25454545454545</v>
      </c>
      <c r="N26" s="256">
        <f>M26/'AX1'!FU47</f>
        <v>343.39712687794713</v>
      </c>
      <c r="O26" s="256">
        <f>M26*(1-'AX6'!B23)</f>
        <v>229.00254545454544</v>
      </c>
      <c r="P26" s="256">
        <f>N26*(1-'AX6'!B23)</f>
        <v>286.73660094308582</v>
      </c>
      <c r="Q26" s="211">
        <f t="shared" si="2"/>
        <v>0.26297973330211893</v>
      </c>
      <c r="R26" s="256">
        <f>'AX1'!FB47+'AX1'!FC47</f>
        <v>161.04599999999999</v>
      </c>
      <c r="S26" s="256">
        <f>'AX1'!FG47+'AX1'!FH47</f>
        <v>199.44299999999998</v>
      </c>
      <c r="T26" s="730">
        <f t="shared" si="3"/>
        <v>312.65154545454544</v>
      </c>
      <c r="U26" s="730">
        <f>(O26-R26+S26)/'AX1'!FU47</f>
        <v>334.81390613005806</v>
      </c>
      <c r="V26" s="535">
        <f t="shared" si="4"/>
        <v>0.23943421072755602</v>
      </c>
      <c r="W26" s="625"/>
      <c r="X26" s="625"/>
      <c r="Y26" s="770"/>
    </row>
    <row r="27" spans="1:28" s="182" customFormat="1" ht="12.75">
      <c r="A27" s="207">
        <v>1999</v>
      </c>
      <c r="B27" s="208">
        <f>'AX1'!N48</f>
        <v>1023.7881800304237</v>
      </c>
      <c r="C27" s="689">
        <f>B27/'AX1'!FU48</f>
        <v>1336.7196614736854</v>
      </c>
      <c r="D27" s="209">
        <f>'AX1'!P48</f>
        <v>334.77369303042394</v>
      </c>
      <c r="E27" s="692">
        <f>D27/'AX1'!FU48</f>
        <v>437.10074637179883</v>
      </c>
      <c r="F27" s="662">
        <f t="shared" si="0"/>
        <v>0.3269950753098903</v>
      </c>
      <c r="G27" s="273"/>
      <c r="H27" s="256"/>
      <c r="I27" s="665"/>
      <c r="J27" s="256"/>
      <c r="K27" s="256"/>
      <c r="L27" s="671"/>
      <c r="M27" s="256">
        <f>'AX7'!C17/'AX6'!B24/1000</f>
        <v>235.61875000000001</v>
      </c>
      <c r="N27" s="256">
        <f>M27/'AX1'!FU48</f>
        <v>307.63806603773588</v>
      </c>
      <c r="O27" s="256">
        <f>M27*(1-'AX6'!B24)</f>
        <v>197.91974999999999</v>
      </c>
      <c r="P27" s="256">
        <f>N27*(1-'AX6'!B24)</f>
        <v>258.41597547169812</v>
      </c>
      <c r="Q27" s="211">
        <f t="shared" si="2"/>
        <v>0.23014404209374459</v>
      </c>
      <c r="R27" s="256">
        <f>'AX1'!FB48+'AX1'!FC48</f>
        <v>222.50399999999999</v>
      </c>
      <c r="S27" s="256">
        <f>'AX1'!FG48+'AX1'!FH48</f>
        <v>222.745</v>
      </c>
      <c r="T27" s="730">
        <f t="shared" si="3"/>
        <v>235.85975000000002</v>
      </c>
      <c r="U27" s="730">
        <f>(O27-R27+S27)/'AX1'!FU48</f>
        <v>258.73063962264155</v>
      </c>
      <c r="V27" s="535">
        <f t="shared" si="4"/>
        <v>0.17644668272476305</v>
      </c>
      <c r="W27" s="625"/>
      <c r="X27" s="625"/>
      <c r="Y27" s="770"/>
    </row>
    <row r="28" spans="1:28">
      <c r="A28" s="207">
        <v>2000</v>
      </c>
      <c r="B28" s="208">
        <f>'AX1'!N49</f>
        <v>1099.6851044328537</v>
      </c>
      <c r="C28" s="689">
        <f>B28/'AX1'!FU49</f>
        <v>1465.3056975626471</v>
      </c>
      <c r="D28" s="209">
        <f>'AX1'!P49</f>
        <v>402.06288843285381</v>
      </c>
      <c r="E28" s="692">
        <f>D28/'AX1'!FU49</f>
        <v>535.73976661527888</v>
      </c>
      <c r="F28" s="662">
        <f t="shared" si="0"/>
        <v>0.36561638128235974</v>
      </c>
      <c r="G28" s="273"/>
      <c r="H28" s="256"/>
      <c r="I28" s="665"/>
      <c r="J28" s="256"/>
      <c r="K28" s="256"/>
      <c r="L28" s="671"/>
      <c r="M28" s="256">
        <f>'AX7'!C18/'AX6'!B25/1000</f>
        <v>268.55624999999998</v>
      </c>
      <c r="N28" s="256">
        <f>M28/'AX1'!FU49</f>
        <v>357.84517008985875</v>
      </c>
      <c r="O28" s="256">
        <f>M28*(1-'AX6'!B25)</f>
        <v>225.58724999999998</v>
      </c>
      <c r="P28" s="256">
        <f>N28*(1-'AX6'!B25)</f>
        <v>300.58994287548137</v>
      </c>
      <c r="Q28" s="211">
        <f t="shared" si="2"/>
        <v>0.24421195569299259</v>
      </c>
      <c r="R28" s="256">
        <f>'AX1'!FB49+'AX1'!FC49</f>
        <v>293.22399999999999</v>
      </c>
      <c r="S28" s="256">
        <f>'AX1'!FG49+'AX1'!FH49</f>
        <v>248.93400000000003</v>
      </c>
      <c r="T28" s="730">
        <f t="shared" si="3"/>
        <v>224.26625000000001</v>
      </c>
      <c r="U28" s="730">
        <f>(O28-R28+S28)/'AX1'!FU49</f>
        <v>241.57451283697048</v>
      </c>
      <c r="V28" s="535">
        <f t="shared" si="4"/>
        <v>0.15305082780544627</v>
      </c>
      <c r="W28" s="625"/>
      <c r="X28" s="625"/>
      <c r="Y28" s="770"/>
    </row>
    <row r="29" spans="1:28">
      <c r="A29" s="207">
        <v>2001</v>
      </c>
      <c r="B29" s="208">
        <f>'AX1'!N50</f>
        <v>1103.67814956187</v>
      </c>
      <c r="C29" s="689">
        <f>B29/'AX1'!FU50</f>
        <v>1525.4566168378444</v>
      </c>
      <c r="D29" s="209">
        <f>'AX1'!P50</f>
        <v>381.56589956186986</v>
      </c>
      <c r="E29" s="692">
        <f>D29/'AX1'!FU50</f>
        <v>527.38402629190534</v>
      </c>
      <c r="F29" s="662">
        <f t="shared" si="0"/>
        <v>0.34572207460421417</v>
      </c>
      <c r="G29" s="723">
        <f>'[4]2001'!$D$7*'AX3'!E25/1000/1000/1000</f>
        <v>103.72692189453124</v>
      </c>
      <c r="H29" s="720">
        <f>G29/'AX1'!FU50</f>
        <v>143.36690402999128</v>
      </c>
      <c r="I29" s="662">
        <f>G29/B29</f>
        <v>9.3982944154242784E-2</v>
      </c>
      <c r="J29" s="720">
        <f>'[4]2001'!$D$13*'AX3'!E25/1000/1000/1000</f>
        <v>111.02516960937501</v>
      </c>
      <c r="K29" s="720">
        <f>J29/'AX1'!FU50</f>
        <v>153.45422910057428</v>
      </c>
      <c r="L29" s="670">
        <f>J29/B29</f>
        <v>0.10059560357650368</v>
      </c>
      <c r="M29" s="256">
        <f>'AX7'!C19/'AX6'!B26/1000</f>
        <v>277.35000000000002</v>
      </c>
      <c r="N29" s="256">
        <f>M29/'AX1'!FU50</f>
        <v>383.34127829560595</v>
      </c>
      <c r="O29" s="256">
        <f>M29*(1-'AX6'!B26)</f>
        <v>232.97400000000002</v>
      </c>
      <c r="P29" s="256">
        <f>N29*(1-'AX6'!B26)</f>
        <v>322.00667376830899</v>
      </c>
      <c r="Q29" s="211">
        <f t="shared" si="2"/>
        <v>0.25129608673515952</v>
      </c>
      <c r="R29" s="256">
        <f>'AX1'!FB50+'AX1'!FC50</f>
        <v>271.673</v>
      </c>
      <c r="S29" s="256">
        <f>'AX1'!FG50+'AX1'!FH50</f>
        <v>264.83500000000004</v>
      </c>
      <c r="T29" s="730">
        <f t="shared" si="3"/>
        <v>270.51200000000006</v>
      </c>
      <c r="U29" s="730">
        <f>(O29-R29+S29)/'AX1'!FU50</f>
        <v>312.55548335552606</v>
      </c>
      <c r="V29" s="535">
        <f t="shared" si="4"/>
        <v>0.17733182118331944</v>
      </c>
      <c r="W29" s="625"/>
      <c r="X29" s="625"/>
      <c r="Y29" s="770"/>
      <c r="Z29" s="625"/>
      <c r="AA29" s="643"/>
    </row>
    <row r="30" spans="1:28">
      <c r="A30" s="207">
        <v>2002</v>
      </c>
      <c r="B30" s="208">
        <f>'AX1'!N51</f>
        <v>1060.4049098698831</v>
      </c>
      <c r="C30" s="689">
        <f>B30/'AX1'!FU51</f>
        <v>1487.4328330337007</v>
      </c>
      <c r="D30" s="209">
        <f>'AX1'!P51</f>
        <v>380.34390986988319</v>
      </c>
      <c r="E30" s="692">
        <f>D30/'AX1'!FU51</f>
        <v>533.50943033099827</v>
      </c>
      <c r="F30" s="662">
        <f t="shared" si="0"/>
        <v>0.35867799774385545</v>
      </c>
      <c r="G30" s="273"/>
      <c r="H30" s="256"/>
      <c r="I30" s="666"/>
      <c r="J30" s="256"/>
      <c r="K30" s="256"/>
      <c r="L30" s="672"/>
      <c r="M30" s="256">
        <f>'AX7'!C20/'AX6'!B27/1000</f>
        <v>242.49375000000001</v>
      </c>
      <c r="N30" s="256">
        <f>M30/'AX1'!FU51</f>
        <v>340.14663851351349</v>
      </c>
      <c r="O30" s="256">
        <f>M30*(1-'AX6'!B27)</f>
        <v>203.69475</v>
      </c>
      <c r="P30" s="256">
        <f>N30*(1-'AX6'!B27)</f>
        <v>285.7231763513513</v>
      </c>
      <c r="Q30" s="211">
        <f t="shared" si="2"/>
        <v>0.22868033497671675</v>
      </c>
      <c r="R30" s="256">
        <f>'AX1'!FB51+'AX1'!FC51</f>
        <v>281.71100000000001</v>
      </c>
      <c r="S30" s="256">
        <f>'AX1'!FG51+'AX1'!FH51</f>
        <v>271.21600000000001</v>
      </c>
      <c r="T30" s="730">
        <f t="shared" si="3"/>
        <v>231.99875</v>
      </c>
      <c r="U30" s="730">
        <f>(O30-R30+S30)/'AX1'!FU51</f>
        <v>271.00181148648647</v>
      </c>
      <c r="V30" s="535">
        <f t="shared" si="4"/>
        <v>0.15597258904580305</v>
      </c>
      <c r="W30" s="625"/>
      <c r="X30" s="625"/>
      <c r="Y30" s="770"/>
    </row>
    <row r="31" spans="1:28">
      <c r="A31" s="207">
        <v>2003</v>
      </c>
      <c r="B31" s="208">
        <f>'AX1'!N52</f>
        <v>1063.5510880896588</v>
      </c>
      <c r="C31" s="689">
        <f>B31/'AX1'!FU52</f>
        <v>1520.6143656157933</v>
      </c>
      <c r="D31" s="209">
        <f>'AX1'!P52</f>
        <v>374.91908808965877</v>
      </c>
      <c r="E31" s="692">
        <f>D31/'AX1'!FU52</f>
        <v>536.04134082240478</v>
      </c>
      <c r="F31" s="662">
        <f t="shared" si="0"/>
        <v>0.35251629403443624</v>
      </c>
      <c r="G31" s="273"/>
      <c r="H31" s="256"/>
      <c r="I31" s="665"/>
      <c r="J31" s="256"/>
      <c r="K31" s="256"/>
      <c r="L31" s="671"/>
      <c r="M31" s="256">
        <f>'AX7'!C21/'AX6'!B28/1000</f>
        <v>304.8125</v>
      </c>
      <c r="N31" s="256">
        <f>M31/'AX1'!FU52</f>
        <v>435.80630165289261</v>
      </c>
      <c r="O31" s="256">
        <f>M31*(1-'AX6'!B28)</f>
        <v>256.04250000000002</v>
      </c>
      <c r="P31" s="256">
        <f>N31*(1-'AX6'!B28)</f>
        <v>366.07729338842978</v>
      </c>
      <c r="Q31" s="211">
        <f t="shared" si="2"/>
        <v>0.28659883235839806</v>
      </c>
      <c r="R31" s="256">
        <f>'AX1'!FB52+'AX1'!FC52</f>
        <v>282.61</v>
      </c>
      <c r="S31" s="256">
        <f>'AX1'!FG52+'AX1'!FH52</f>
        <v>301.572</v>
      </c>
      <c r="T31" s="730">
        <f t="shared" si="3"/>
        <v>323.77449999999999</v>
      </c>
      <c r="U31" s="730">
        <f>(O31-R31+S31)/'AX1'!FU52</f>
        <v>393.18825206611575</v>
      </c>
      <c r="V31" s="535">
        <f t="shared" si="4"/>
        <v>0.2129234783790058</v>
      </c>
      <c r="W31" s="625"/>
      <c r="X31" s="625"/>
      <c r="Y31" s="770"/>
    </row>
    <row r="32" spans="1:28">
      <c r="A32" s="207">
        <v>2004</v>
      </c>
      <c r="B32" s="208">
        <f>'AX1'!N53</f>
        <v>1112.4898021105821</v>
      </c>
      <c r="C32" s="689">
        <f>B32/'AX1'!FU53</f>
        <v>1584.0389774907876</v>
      </c>
      <c r="D32" s="209">
        <f>'AX1'!P53</f>
        <v>417.45580211058223</v>
      </c>
      <c r="E32" s="692">
        <f>D32/'AX1'!FU53</f>
        <v>594.40208860189887</v>
      </c>
      <c r="F32" s="662">
        <f t="shared" si="0"/>
        <v>0.3752446101695473</v>
      </c>
      <c r="G32" s="273"/>
      <c r="H32" s="256"/>
      <c r="I32" s="665"/>
      <c r="J32" s="256"/>
      <c r="K32" s="256"/>
      <c r="L32" s="671"/>
      <c r="M32" s="256">
        <f>'AX7'!C22/'AX6'!B29/1000</f>
        <v>335.08571428571435</v>
      </c>
      <c r="N32" s="256">
        <f>M32/'AX1'!FU53</f>
        <v>477.11793062904178</v>
      </c>
      <c r="O32" s="256">
        <f>M32*(1-'AX6'!B29)</f>
        <v>276.4457142857143</v>
      </c>
      <c r="P32" s="256">
        <f>N32*(1-'AX6'!B29)</f>
        <v>393.62229276895943</v>
      </c>
      <c r="Q32" s="211">
        <f t="shared" si="2"/>
        <v>0.30120340307839211</v>
      </c>
      <c r="R32" s="256">
        <f>'AX1'!FB53+'AX1'!FC53</f>
        <v>345.00200000000001</v>
      </c>
      <c r="S32" s="256">
        <f>'AX1'!FG53+'AX1'!FH53</f>
        <v>355</v>
      </c>
      <c r="T32" s="730">
        <f t="shared" si="3"/>
        <v>345.08371428571434</v>
      </c>
      <c r="U32" s="730">
        <f>(O32-R32+S32)/'AX1'!FU53</f>
        <v>407.8581281599059</v>
      </c>
      <c r="V32" s="535">
        <f t="shared" si="4"/>
        <v>0.2178505195827615</v>
      </c>
      <c r="W32" s="625"/>
      <c r="X32" s="625"/>
      <c r="Y32" s="770"/>
    </row>
    <row r="33" spans="1:27">
      <c r="A33" s="207">
        <v>2005</v>
      </c>
      <c r="B33" s="208">
        <f>'AX1'!N54</f>
        <v>1171.0560014306684</v>
      </c>
      <c r="C33" s="689">
        <f>B33/'AX1'!FU54</f>
        <v>1647.0950264024848</v>
      </c>
      <c r="D33" s="209">
        <f>'AX1'!P54</f>
        <v>463.98900143066817</v>
      </c>
      <c r="E33" s="692">
        <f>D33/'AX1'!FU54</f>
        <v>652.60241664638693</v>
      </c>
      <c r="F33" s="662">
        <f t="shared" si="0"/>
        <v>0.3962141869080702</v>
      </c>
      <c r="G33" s="273"/>
      <c r="H33" s="256"/>
      <c r="I33" s="665"/>
      <c r="J33" s="256"/>
      <c r="K33" s="256"/>
      <c r="L33" s="671"/>
      <c r="M33" s="256">
        <f>'AX7'!C23/'AX6'!B30/1000</f>
        <v>398.84</v>
      </c>
      <c r="N33" s="256">
        <f>M33/'AX1'!FU54</f>
        <v>560.97008130081292</v>
      </c>
      <c r="O33" s="256">
        <f>M33*(1-'AX6'!B30)</f>
        <v>329.04299999999995</v>
      </c>
      <c r="P33" s="256">
        <f>N33*(1-'AX6'!B30)</f>
        <v>462.80031707317062</v>
      </c>
      <c r="Q33" s="211">
        <f t="shared" si="2"/>
        <v>0.34058149184389203</v>
      </c>
      <c r="R33" s="256">
        <f>'AX1'!FB54+'AX1'!FC54</f>
        <v>433.29900000000004</v>
      </c>
      <c r="S33" s="256">
        <f>'AX1'!FG54+'AX1'!FH54</f>
        <v>413.12</v>
      </c>
      <c r="T33" s="730">
        <f t="shared" si="3"/>
        <v>378.66099999999994</v>
      </c>
      <c r="U33" s="730">
        <f>(O33-R33+S33)/'AX1'!FU54</f>
        <v>434.41847154471532</v>
      </c>
      <c r="V33" s="535">
        <f t="shared" si="4"/>
        <v>0.22989626823599563</v>
      </c>
      <c r="W33" s="625"/>
      <c r="X33" s="625"/>
      <c r="Y33" s="770"/>
    </row>
    <row r="34" spans="1:27">
      <c r="A34" s="207">
        <v>2006</v>
      </c>
      <c r="B34" s="208">
        <f>'AX1'!N55</f>
        <v>1281.2896448168947</v>
      </c>
      <c r="C34" s="689">
        <f>B34/'AX1'!FU55</f>
        <v>1761.5611275760748</v>
      </c>
      <c r="D34" s="209">
        <f>'AX1'!P55</f>
        <v>504.99264481689482</v>
      </c>
      <c r="E34" s="692">
        <f>D34/'AX1'!FU55</f>
        <v>694.28127856945264</v>
      </c>
      <c r="F34" s="662">
        <f t="shared" si="0"/>
        <v>0.39412840559486595</v>
      </c>
      <c r="G34" s="723">
        <f>'[4]2006'!$D$7*'AX3'!E30/1000/1000/1000</f>
        <v>108.41428809187501</v>
      </c>
      <c r="H34" s="720">
        <f>G34/'AX1'!FU55</f>
        <v>149.05169674088245</v>
      </c>
      <c r="I34" s="662">
        <f>G34/B34</f>
        <v>8.4613411597007152E-2</v>
      </c>
      <c r="J34" s="720">
        <f>'[4]2006'!$D$13*'AX3'!E30/1000/1000/1000</f>
        <v>144.62657934937502</v>
      </c>
      <c r="K34" s="720">
        <f>J34/'AX1'!FU55</f>
        <v>198.8376018074851</v>
      </c>
      <c r="L34" s="670">
        <f>J34/B34</f>
        <v>0.1128757888073334</v>
      </c>
      <c r="M34" s="256">
        <f>'AX7'!C24/'AX6'!B31/1000</f>
        <v>410.96571428571434</v>
      </c>
      <c r="N34" s="256">
        <f>M34/'AX1'!FU55</f>
        <v>565.00981646168407</v>
      </c>
      <c r="O34" s="256">
        <f>M34*(1-'AX6'!B31)</f>
        <v>339.0467142857143</v>
      </c>
      <c r="P34" s="256">
        <f>N34*(1-'AX6'!B31)</f>
        <v>466.13309858088934</v>
      </c>
      <c r="Q34" s="211">
        <f t="shared" si="2"/>
        <v>0.3207438036732469</v>
      </c>
      <c r="R34" s="256">
        <f>'AX1'!FB55+'AX1'!FC55</f>
        <v>522.85400000000004</v>
      </c>
      <c r="S34" s="256">
        <f>'AX1'!FG55+'AX1'!FH55</f>
        <v>517.48799999999994</v>
      </c>
      <c r="T34" s="730">
        <f t="shared" si="3"/>
        <v>405.59971428571424</v>
      </c>
      <c r="U34" s="730">
        <f>(O34-R34+S34)/'AX1'!FU55</f>
        <v>458.75573699148515</v>
      </c>
      <c r="V34" s="535">
        <f t="shared" si="4"/>
        <v>0.23025015024248599</v>
      </c>
      <c r="W34" s="625"/>
      <c r="X34" s="625"/>
      <c r="Y34" s="770"/>
      <c r="Z34" s="625"/>
      <c r="AA34" s="643"/>
    </row>
    <row r="35" spans="1:27">
      <c r="A35" s="207">
        <v>2007</v>
      </c>
      <c r="B35" s="208">
        <f>'AX1'!N56</f>
        <v>1409.3533239592343</v>
      </c>
      <c r="C35" s="689">
        <f>B35/'AX1'!FU56</f>
        <v>1865.9550386092922</v>
      </c>
      <c r="D35" s="209">
        <f>'AX1'!P56</f>
        <v>548.88432395923405</v>
      </c>
      <c r="E35" s="692">
        <f>D35/'AX1'!FU56</f>
        <v>726.71164320112871</v>
      </c>
      <c r="F35" s="662">
        <f t="shared" si="0"/>
        <v>0.38945828177229358</v>
      </c>
      <c r="G35" s="273"/>
      <c r="H35" s="256"/>
      <c r="I35" s="666"/>
      <c r="J35" s="256"/>
      <c r="K35" s="256"/>
      <c r="L35" s="672"/>
      <c r="M35" s="256">
        <f>'AX7'!C25/'AX6'!B32/1000</f>
        <v>522.41714285714295</v>
      </c>
      <c r="N35" s="256">
        <f>M35/'AX1'!FU56</f>
        <v>691.66963556851317</v>
      </c>
      <c r="O35" s="256">
        <f>M35*(1-'AX6'!B32)</f>
        <v>430.99414285714289</v>
      </c>
      <c r="P35" s="256">
        <f>N35*(1-'AX6'!B32)</f>
        <v>570.62744934402338</v>
      </c>
      <c r="Q35" s="211">
        <f t="shared" si="2"/>
        <v>0.37067861832513327</v>
      </c>
      <c r="R35" s="256">
        <f>'AX1'!FB56+'AX1'!FC56</f>
        <v>714.91899999999998</v>
      </c>
      <c r="S35" s="256">
        <f>'AX1'!FG56+'AX1'!FH56</f>
        <v>705.48900000000003</v>
      </c>
      <c r="T35" s="730">
        <f t="shared" si="3"/>
        <v>512.987142857143</v>
      </c>
      <c r="U35" s="730">
        <f>(O35-R35+S35)/'AX1'!FU56</f>
        <v>558.14232179300291</v>
      </c>
      <c r="V35" s="535">
        <f t="shared" si="4"/>
        <v>0.27491934813149382</v>
      </c>
      <c r="W35" s="625"/>
      <c r="X35" s="625"/>
      <c r="Y35" s="770"/>
    </row>
    <row r="36" spans="1:27">
      <c r="A36" s="207">
        <v>2008</v>
      </c>
      <c r="B36" s="208">
        <f>'AX1'!N57</f>
        <v>1457.3047709497655</v>
      </c>
      <c r="C36" s="689">
        <f>B36/'AX1'!FU57</f>
        <v>1890.8529403073208</v>
      </c>
      <c r="D36" s="209">
        <f>'AX1'!P57</f>
        <v>530.54377094976576</v>
      </c>
      <c r="E36" s="692">
        <f>D36/'AX1'!FU57</f>
        <v>688.38054280732104</v>
      </c>
      <c r="F36" s="662">
        <f t="shared" si="0"/>
        <v>0.36405821316566184</v>
      </c>
      <c r="G36" s="273"/>
      <c r="H36" s="256"/>
      <c r="I36" s="665"/>
      <c r="J36" s="256"/>
      <c r="K36" s="256"/>
      <c r="L36" s="671"/>
      <c r="M36" s="256">
        <f>'AX7'!C26/'AX6'!B33/1000</f>
        <v>595.14857142857147</v>
      </c>
      <c r="N36" s="256">
        <f>M36/'AX1'!FU57</f>
        <v>772.20527142857145</v>
      </c>
      <c r="O36" s="256">
        <f>M36*(1-'AX6'!B33)</f>
        <v>490.99757142857146</v>
      </c>
      <c r="P36" s="256">
        <f>N36*(1-'AX6'!B33)</f>
        <v>637.06934892857146</v>
      </c>
      <c r="Q36" s="211">
        <f t="shared" si="2"/>
        <v>0.40838991492541182</v>
      </c>
      <c r="R36" s="256">
        <f>'AX1'!FB57+'AX1'!FC57</f>
        <v>752.83799999999997</v>
      </c>
      <c r="S36" s="256">
        <f>'AX1'!FG57+'AX1'!FH57</f>
        <v>813.89799999999991</v>
      </c>
      <c r="T36" s="730">
        <f t="shared" si="3"/>
        <v>656.20857142857142</v>
      </c>
      <c r="U36" s="730">
        <f>(O36-R36+S36)/'AX1'!FU57</f>
        <v>716.29469892857151</v>
      </c>
      <c r="V36" s="535">
        <f t="shared" si="4"/>
        <v>0.34704368459342888</v>
      </c>
      <c r="W36" s="625"/>
      <c r="X36" s="625"/>
      <c r="Y36" s="770"/>
    </row>
    <row r="37" spans="1:27">
      <c r="A37" s="207">
        <v>2009</v>
      </c>
      <c r="B37" s="208">
        <f>'AX1'!N58</f>
        <v>1360.6553031359531</v>
      </c>
      <c r="C37" s="689">
        <f>B37/'AX1'!FU58</f>
        <v>1737.2204239300361</v>
      </c>
      <c r="D37" s="209">
        <f>'AX1'!P58</f>
        <v>467.59030313595292</v>
      </c>
      <c r="E37" s="692">
        <f>D37/'AX1'!FU58</f>
        <v>596.9972135979325</v>
      </c>
      <c r="F37" s="662">
        <f t="shared" si="0"/>
        <v>0.34365081447026302</v>
      </c>
      <c r="G37" s="273"/>
      <c r="H37" s="256"/>
      <c r="I37" s="665"/>
      <c r="J37" s="256"/>
      <c r="K37" s="256"/>
      <c r="L37" s="671"/>
      <c r="M37" s="256">
        <f>'AX7'!C27/'AX6'!B34/1000</f>
        <v>437.74285714285713</v>
      </c>
      <c r="N37" s="256">
        <f>M37/'AX1'!FU58</f>
        <v>558.88940432261461</v>
      </c>
      <c r="O37" s="256">
        <f>M37*(1-'AX6'!B34)</f>
        <v>361.13785714285711</v>
      </c>
      <c r="P37" s="256">
        <f>N37*(1-'AX6'!B34)</f>
        <v>461.08375856615703</v>
      </c>
      <c r="Q37" s="211">
        <f t="shared" si="2"/>
        <v>0.32171473269826301</v>
      </c>
      <c r="R37" s="256">
        <f>'AX1'!FB58+'AX1'!FC58</f>
        <v>692.13</v>
      </c>
      <c r="S37" s="256">
        <f>'AX1'!FG58+'AX1'!FH58</f>
        <v>702.73900000000003</v>
      </c>
      <c r="T37" s="730">
        <f t="shared" si="3"/>
        <v>448.35185714285717</v>
      </c>
      <c r="U37" s="730">
        <f>(O37-R37+S37)/'AX1'!FU58</f>
        <v>474.62882867685818</v>
      </c>
      <c r="V37" s="535">
        <f t="shared" si="4"/>
        <v>0.25808576215594498</v>
      </c>
      <c r="W37" s="625"/>
      <c r="X37" s="625"/>
      <c r="Y37" s="770"/>
    </row>
    <row r="38" spans="1:27">
      <c r="A38" s="207">
        <v>2010</v>
      </c>
      <c r="B38" s="208">
        <f>'AX1'!N59</f>
        <v>1494.9300732556878</v>
      </c>
      <c r="C38" s="689">
        <f>B38/'AX1'!FU59</f>
        <v>1856.1452344968948</v>
      </c>
      <c r="D38" s="209">
        <f>'AX1'!P59</f>
        <v>550.3680732556877</v>
      </c>
      <c r="E38" s="692">
        <f>D38/'AX1'!FU59</f>
        <v>683.35174645861707</v>
      </c>
      <c r="F38" s="662">
        <f t="shared" si="0"/>
        <v>0.36815639948769335</v>
      </c>
      <c r="G38" s="273"/>
      <c r="H38" s="256"/>
      <c r="I38" s="665"/>
      <c r="J38" s="256"/>
      <c r="K38" s="256"/>
      <c r="L38" s="671"/>
      <c r="M38" s="256">
        <f>'AX7'!C28/'AX6'!B35/1000</f>
        <v>532.47428571428577</v>
      </c>
      <c r="N38" s="256">
        <f>M38/'AX1'!FU59</f>
        <v>661.13434039644574</v>
      </c>
      <c r="O38" s="256">
        <f>M38*(1-'AX6'!B35)</f>
        <v>439.29128571428572</v>
      </c>
      <c r="P38" s="256">
        <f>N38*(1-'AX6'!B35)</f>
        <v>545.43583082706766</v>
      </c>
      <c r="Q38" s="211">
        <f t="shared" si="2"/>
        <v>0.35618675096598523</v>
      </c>
      <c r="R38" s="256">
        <f>'AX1'!FB59+'AX1'!FC59</f>
        <v>865.16800000000001</v>
      </c>
      <c r="S38" s="256">
        <f>'AX1'!FG59+'AX1'!FH59</f>
        <v>868.21900000000005</v>
      </c>
      <c r="T38" s="730">
        <f t="shared" si="3"/>
        <v>535.52528571428581</v>
      </c>
      <c r="U38" s="730">
        <f>(O38-R38+S38)/'AX1'!FU59</f>
        <v>549.22403417635007</v>
      </c>
      <c r="V38" s="535">
        <f t="shared" si="4"/>
        <v>0.28851475399738269</v>
      </c>
      <c r="W38" s="625"/>
      <c r="X38" s="625"/>
      <c r="Y38" s="770"/>
    </row>
    <row r="39" spans="1:27">
      <c r="A39" s="207">
        <v>2011</v>
      </c>
      <c r="B39" s="208">
        <f>'AX1'!N60</f>
        <v>1654.4293304693929</v>
      </c>
      <c r="C39" s="689">
        <f>B39/'AX1'!FU60</f>
        <v>1942.6443948271829</v>
      </c>
      <c r="D39" s="209">
        <f>'AX1'!P60</f>
        <v>612.900330469393</v>
      </c>
      <c r="E39" s="692">
        <f>D39/'AX1'!FU60</f>
        <v>719.67255998555413</v>
      </c>
      <c r="F39" s="662">
        <f t="shared" si="0"/>
        <v>0.37046026637807589</v>
      </c>
      <c r="G39" s="723">
        <f>'[4]2011'!$D$7*'AX3'!E35/1000/1000/1000</f>
        <v>126.37517487867187</v>
      </c>
      <c r="H39" s="720">
        <f>G39/'AX1'!FU60</f>
        <v>148.39075964260337</v>
      </c>
      <c r="I39" s="662">
        <f>G39/B39</f>
        <v>7.6385961341012276E-2</v>
      </c>
      <c r="J39" s="720">
        <f>'[4]2011'!$D$13*'AX3'!E35/1000/1000/1000</f>
        <v>162.04309308367186</v>
      </c>
      <c r="K39" s="720">
        <f>J39/'AX1'!FU60</f>
        <v>190.27231970684545</v>
      </c>
      <c r="L39" s="670">
        <f>J39/B39</f>
        <v>9.7945007441144177E-2</v>
      </c>
      <c r="M39" s="256">
        <f>'AX7'!C29/'AX6'!B36/1000</f>
        <v>718.78787878787875</v>
      </c>
      <c r="N39" s="256">
        <f>M39/'AX1'!FU60</f>
        <v>844.0065816536403</v>
      </c>
      <c r="O39" s="256">
        <f>M39*(1-'AX6'!B36)</f>
        <v>600.18787878787873</v>
      </c>
      <c r="P39" s="256">
        <f>N39*(1-'AX6'!B36)</f>
        <v>704.74549568078965</v>
      </c>
      <c r="Q39" s="211">
        <f t="shared" si="2"/>
        <v>0.43446272714709733</v>
      </c>
      <c r="R39" s="256">
        <f>'AX1'!FB60+'AX1'!FC60</f>
        <v>964.72399999999993</v>
      </c>
      <c r="S39" s="256">
        <f>'AX1'!FG60+'AX1'!FH60</f>
        <v>983.55200000000002</v>
      </c>
      <c r="T39" s="730">
        <f t="shared" si="3"/>
        <v>737.61587878787884</v>
      </c>
      <c r="U39" s="730">
        <f>(O39-R39+S39)/'AX1'!FU60</f>
        <v>726.85348663101604</v>
      </c>
      <c r="V39" s="535">
        <f t="shared" si="4"/>
        <v>0.37969680954063495</v>
      </c>
      <c r="W39" s="625"/>
      <c r="X39" s="625"/>
      <c r="Y39" s="770"/>
      <c r="Z39" s="625"/>
      <c r="AA39" s="643"/>
    </row>
    <row r="40" spans="1:27">
      <c r="A40" s="207">
        <v>2012</v>
      </c>
      <c r="B40" s="208">
        <f>'AX1'!N61</f>
        <v>1723.9041063939198</v>
      </c>
      <c r="C40" s="689">
        <f>B40/'AX1'!FU61</f>
        <v>1951.3767311198351</v>
      </c>
      <c r="D40" s="209">
        <f>'AX1'!P61</f>
        <v>638.04910639392006</v>
      </c>
      <c r="E40" s="692">
        <f>D40/'AX1'!FU61</f>
        <v>722.24097321361944</v>
      </c>
      <c r="F40" s="662">
        <f t="shared" si="0"/>
        <v>0.37011867657105224</v>
      </c>
      <c r="G40" s="273"/>
      <c r="H40" s="256"/>
      <c r="I40" s="666"/>
      <c r="J40" s="256"/>
      <c r="K40" s="256"/>
      <c r="L40" s="672"/>
      <c r="M40" s="256">
        <f>'AX7'!C30/'AX6'!B37/1000</f>
        <v>761.44242424242418</v>
      </c>
      <c r="N40" s="256">
        <f>M40/'AX1'!FU61</f>
        <v>861.91628829186072</v>
      </c>
      <c r="O40" s="256">
        <f>M40*(1-'AX6'!B37)</f>
        <v>635.80442424242415</v>
      </c>
      <c r="P40" s="256">
        <f>N40*(1-'AX6'!B37)</f>
        <v>719.70010072370371</v>
      </c>
      <c r="Q40" s="211">
        <f t="shared" si="2"/>
        <v>0.44169650818641948</v>
      </c>
      <c r="R40" s="256">
        <f>'AX1'!FB61+'AX1'!FC61</f>
        <v>1019.3900000000001</v>
      </c>
      <c r="S40" s="256">
        <f>'AX1'!FG61+'AX1'!FH61</f>
        <v>1013.1469999999999</v>
      </c>
      <c r="T40" s="730">
        <f t="shared" si="3"/>
        <v>755.19942424242402</v>
      </c>
      <c r="U40" s="730">
        <f>(O40-R40+S40)/'AX1'!FU61</f>
        <v>712.63332427877435</v>
      </c>
      <c r="V40" s="535">
        <f t="shared" si="4"/>
        <v>0.38700852182911821</v>
      </c>
      <c r="W40" s="625"/>
      <c r="X40" s="625"/>
      <c r="Y40" s="770"/>
    </row>
    <row r="41" spans="1:27">
      <c r="A41" s="207">
        <v>2013</v>
      </c>
      <c r="B41" s="208">
        <f>'AX1'!N62</f>
        <v>1805.5084959699775</v>
      </c>
      <c r="C41" s="689">
        <f>B41/'AX1'!FU62</f>
        <v>1960.3742874653103</v>
      </c>
      <c r="D41" s="209">
        <f>'AX1'!P62</f>
        <v>664.04149596997718</v>
      </c>
      <c r="E41" s="692">
        <f>D41/'AX1'!FU62</f>
        <v>720.99903014313429</v>
      </c>
      <c r="F41" s="662">
        <f t="shared" si="0"/>
        <v>0.36778641443790749</v>
      </c>
      <c r="G41" s="273"/>
      <c r="H41" s="256"/>
      <c r="I41" s="665"/>
      <c r="J41" s="256"/>
      <c r="K41" s="256"/>
      <c r="L41" s="671"/>
      <c r="M41" s="256">
        <f>'AX7'!C31/'AX6'!B38/1000</f>
        <v>732.61818181818171</v>
      </c>
      <c r="N41" s="256">
        <f>M41/'AX1'!FU62</f>
        <v>795.45781666032701</v>
      </c>
      <c r="O41" s="256">
        <f>M41*(1-'AX6'!B38)</f>
        <v>611.73618181818165</v>
      </c>
      <c r="P41" s="256">
        <f>N41*(1-'AX6'!B38)</f>
        <v>664.20727691137301</v>
      </c>
      <c r="Q41" s="211">
        <f t="shared" si="2"/>
        <v>0.40576833809059176</v>
      </c>
      <c r="R41" s="256">
        <f>'AX1'!FB62+'AX1'!FC62</f>
        <v>1100.9089999999999</v>
      </c>
      <c r="S41" s="256">
        <f>'AX1'!FG62+'AX1'!FH62</f>
        <v>1105.2860000000001</v>
      </c>
      <c r="T41" s="730">
        <f t="shared" si="3"/>
        <v>736.99518181818189</v>
      </c>
      <c r="U41" s="730">
        <f>(O41-R41+S41)/'AX1'!FU62</f>
        <v>668.95970996576648</v>
      </c>
      <c r="V41" s="535">
        <f t="shared" si="4"/>
        <v>0.37594615810386328</v>
      </c>
      <c r="W41" s="625"/>
      <c r="X41" s="625"/>
      <c r="Y41" s="770"/>
    </row>
    <row r="42" spans="1:27">
      <c r="A42" s="207">
        <v>2014</v>
      </c>
      <c r="B42" s="208">
        <f>'AX1'!N63</f>
        <v>1901.0202889826248</v>
      </c>
      <c r="C42" s="689">
        <f>B42/'AX1'!FU63</f>
        <v>1967.3569889969735</v>
      </c>
      <c r="D42" s="209">
        <f>'AX1'!P63</f>
        <v>681.96028898262512</v>
      </c>
      <c r="E42" s="692">
        <f>D42/'AX1'!FU63</f>
        <v>705.75750744163997</v>
      </c>
      <c r="F42" s="662">
        <f t="shared" si="0"/>
        <v>0.35873382989909697</v>
      </c>
      <c r="G42" s="273"/>
      <c r="H42" s="256"/>
      <c r="I42" s="665"/>
      <c r="J42" s="256"/>
      <c r="K42" s="256"/>
      <c r="L42" s="671"/>
      <c r="M42" s="256">
        <f>'AX7'!C32/'AX6'!B39/1000</f>
        <v>835.43636363636369</v>
      </c>
      <c r="N42" s="256">
        <f>M42/'AX1'!FU63</f>
        <v>864.58917792078319</v>
      </c>
      <c r="O42" s="256">
        <f>M42*(1-'AX6'!B39)</f>
        <v>697.5893636363636</v>
      </c>
      <c r="P42" s="256">
        <f>N42*(1-'AX6'!B39)</f>
        <v>721.93196356385397</v>
      </c>
      <c r="Q42" s="211">
        <f t="shared" si="2"/>
        <v>0.4394673578594297</v>
      </c>
      <c r="R42" s="256">
        <f>'AX1'!FB63+'AX1'!FC63</f>
        <v>1153.5279999999998</v>
      </c>
      <c r="S42" s="256">
        <f>'AX1'!FG63+'AX1'!FH63</f>
        <v>1158.682</v>
      </c>
      <c r="T42" s="730">
        <f t="shared" si="3"/>
        <v>840.59036363636392</v>
      </c>
      <c r="U42" s="730">
        <f>(O42-R42+S42)/'AX1'!FU63</f>
        <v>727.26581401250814</v>
      </c>
      <c r="V42" s="535">
        <f t="shared" si="4"/>
        <v>0.42726885274894916</v>
      </c>
      <c r="W42" s="625"/>
      <c r="X42" s="625"/>
      <c r="Y42" s="770"/>
    </row>
    <row r="43" spans="1:27">
      <c r="A43" s="207">
        <v>2015</v>
      </c>
      <c r="B43" s="208">
        <f>'AX1'!N64</f>
        <v>1996.4197654036523</v>
      </c>
      <c r="C43" s="689">
        <f>B43/'AX1'!FU64</f>
        <v>2019.7697041803031</v>
      </c>
      <c r="D43" s="209">
        <f>'AX1'!P64</f>
        <v>722.19676540365231</v>
      </c>
      <c r="E43" s="692">
        <f>D43/'AX1'!FU64</f>
        <v>730.64351119784703</v>
      </c>
      <c r="F43" s="662">
        <f t="shared" si="0"/>
        <v>0.36174595038515495</v>
      </c>
      <c r="G43" s="273"/>
      <c r="H43" s="256"/>
      <c r="I43" s="665"/>
      <c r="J43" s="256"/>
      <c r="K43" s="256"/>
      <c r="L43" s="671"/>
      <c r="M43" s="256">
        <f>'AX7'!C33/'AX6'!B40/1000</f>
        <v>849.86060606060607</v>
      </c>
      <c r="N43" s="256">
        <f>M43/'AX1'!FU64</f>
        <v>859.80049618996986</v>
      </c>
      <c r="O43" s="256">
        <f>M43*(1-'AX6'!B40)</f>
        <v>709.63360606060598</v>
      </c>
      <c r="P43" s="256">
        <f>N43*(1-'AX6'!B40)</f>
        <v>717.93341431862484</v>
      </c>
      <c r="Q43" s="211">
        <f t="shared" si="2"/>
        <v>0.42569234225587543</v>
      </c>
      <c r="R43" s="256">
        <f>'AX1'!FB64+'AX1'!FC64</f>
        <v>1174.3969999999999</v>
      </c>
      <c r="S43" s="256">
        <f>'AX1'!FG64+'AX1'!FH64</f>
        <v>1184.9929999999999</v>
      </c>
      <c r="T43" s="730">
        <f t="shared" si="3"/>
        <v>860.45660606060608</v>
      </c>
      <c r="U43" s="730">
        <f>(O43-R43+S43)/'AX1'!FU64</f>
        <v>728.65334414318613</v>
      </c>
      <c r="V43" s="535">
        <f t="shared" si="4"/>
        <v>0.4260171861572758</v>
      </c>
      <c r="W43" s="625"/>
      <c r="X43" s="625"/>
      <c r="Y43" s="770"/>
    </row>
    <row r="44" spans="1:27">
      <c r="A44" s="207">
        <v>2016</v>
      </c>
      <c r="B44" s="208">
        <f>'AX1'!N65</f>
        <v>2091.0787016960003</v>
      </c>
      <c r="C44" s="689">
        <f>B44/'AX1'!FU65</f>
        <v>2091.0787016960003</v>
      </c>
      <c r="D44" s="209">
        <f>'AX1'!P65</f>
        <v>733.78870169599986</v>
      </c>
      <c r="E44" s="692">
        <f>D44/'AX1'!FU65</f>
        <v>733.78870169599986</v>
      </c>
      <c r="F44" s="662">
        <f t="shared" si="0"/>
        <v>0.35091395704085632</v>
      </c>
      <c r="G44" s="723">
        <f>'[4]2016'!$D$7*'AX3'!E40/1000/1000/1000</f>
        <v>143.42619283125003</v>
      </c>
      <c r="H44" s="720">
        <f>G44/'AX1'!FU65</f>
        <v>143.42619283125003</v>
      </c>
      <c r="I44" s="662">
        <f>G44/B44</f>
        <v>6.8589571839128824E-2</v>
      </c>
      <c r="J44" s="720">
        <f>'[4]2016'!$D$13*'AX3'!E40/1000/1000/1000</f>
        <v>169.78370689546873</v>
      </c>
      <c r="K44" s="720">
        <f>J44/'AX1'!FU65</f>
        <v>169.78370689546873</v>
      </c>
      <c r="L44" s="670">
        <f>J44/B44</f>
        <v>8.1194316960793073E-2</v>
      </c>
      <c r="M44" s="256">
        <f>'AX7'!C34/'AX6'!B41/1000</f>
        <v>843.86666666666667</v>
      </c>
      <c r="N44" s="256">
        <f>M44/'AX1'!FU65</f>
        <v>843.86666666666667</v>
      </c>
      <c r="O44" s="256">
        <f>M44*(1-'AX6'!B41)</f>
        <v>704.62866666666662</v>
      </c>
      <c r="P44" s="256">
        <f>N44*(1-'AX6'!B41)</f>
        <v>704.62866666666662</v>
      </c>
      <c r="Q44" s="211">
        <f t="shared" si="2"/>
        <v>0.40355567008656162</v>
      </c>
      <c r="R44" s="256">
        <f>'AX1'!FB65+'AX1'!FC65</f>
        <v>1147.8</v>
      </c>
      <c r="S44" s="256">
        <f>'AX1'!FG65+'AX1'!FH65</f>
        <v>1179.6759999999999</v>
      </c>
      <c r="T44" s="730">
        <f t="shared" si="3"/>
        <v>875.74266666666665</v>
      </c>
      <c r="U44" s="730">
        <f>(O44-R44+S44)/'AX1'!FU65</f>
        <v>736.50466666666659</v>
      </c>
      <c r="V44" s="535">
        <f t="shared" si="4"/>
        <v>0.41879947701460618</v>
      </c>
      <c r="W44" s="625"/>
      <c r="X44" s="625"/>
      <c r="Y44" s="770"/>
      <c r="Z44" s="625"/>
      <c r="AA44" s="643"/>
    </row>
    <row r="45" spans="1:27">
      <c r="A45" s="207">
        <v>2017</v>
      </c>
      <c r="B45" s="208">
        <f>'AX1'!N66</f>
        <v>2386.8032275071619</v>
      </c>
      <c r="C45" s="689">
        <f>B45/'AX1'!FU66</f>
        <v>2346.1190815837444</v>
      </c>
      <c r="D45" s="209">
        <f>'AX1'!P66</f>
        <v>798.83922750716192</v>
      </c>
      <c r="E45" s="692">
        <f>D45/'AX1'!FU66</f>
        <v>785.22264976556266</v>
      </c>
      <c r="F45" s="662">
        <f t="shared" si="0"/>
        <v>0.33469002316604457</v>
      </c>
      <c r="G45" s="633"/>
      <c r="H45" s="634"/>
      <c r="I45" s="667"/>
      <c r="J45" s="634"/>
      <c r="K45" s="634"/>
      <c r="L45" s="673"/>
      <c r="M45" s="256">
        <f>'AX7'!C35/'AX6'!B42/1000</f>
        <v>843.030303030303</v>
      </c>
      <c r="N45" s="256">
        <f>M45/'AX1'!FU66</f>
        <v>828.6604683195593</v>
      </c>
      <c r="O45" s="256">
        <f>M45*(1-'AX6'!B42)</f>
        <v>703.93030303030298</v>
      </c>
      <c r="P45" s="256">
        <f>N45*(1-'AX6'!B42)</f>
        <v>691.93149104683198</v>
      </c>
      <c r="Q45" s="211">
        <f t="shared" si="2"/>
        <v>0.35320477755126273</v>
      </c>
      <c r="R45" s="256">
        <f>'AX1'!FB66+'AX1'!FC66</f>
        <v>1207.847</v>
      </c>
      <c r="S45" s="256">
        <f>'AX1'!FG66+'AX1'!FH66</f>
        <v>1279.1189999999999</v>
      </c>
      <c r="T45" s="730">
        <f t="shared" si="3"/>
        <v>914.30230303030294</v>
      </c>
      <c r="U45" s="730">
        <f>(O45-R45+S45)/'AX1'!FU66</f>
        <v>761.98862741046821</v>
      </c>
      <c r="V45" s="535">
        <f t="shared" si="4"/>
        <v>0.38970839554022313</v>
      </c>
      <c r="W45" s="625"/>
      <c r="X45" s="625"/>
      <c r="Y45" s="770"/>
    </row>
    <row r="46" spans="1:27">
      <c r="A46" s="207">
        <v>2018</v>
      </c>
      <c r="B46" s="208">
        <f>'AX1'!N67</f>
        <v>2535.4695389876515</v>
      </c>
      <c r="C46" s="689">
        <f>B46/'AX1'!FU67</f>
        <v>2430.1176190851174</v>
      </c>
      <c r="D46" s="209">
        <f>'AX1'!P67</f>
        <v>839.80553898765129</v>
      </c>
      <c r="E46" s="692">
        <f>D46/'AX1'!FU67</f>
        <v>804.91057199370448</v>
      </c>
      <c r="F46" s="662">
        <f t="shared" si="0"/>
        <v>0.33122288636248587</v>
      </c>
      <c r="G46" s="633"/>
      <c r="H46" s="634"/>
      <c r="I46" s="667"/>
      <c r="J46" s="634"/>
      <c r="K46" s="634"/>
      <c r="L46" s="673"/>
      <c r="M46" s="256">
        <f>'AX7'!C36/'AX6'!B43/1000</f>
        <v>1009.8181818181818</v>
      </c>
      <c r="N46" s="256">
        <f>M46/'AX1'!FU67</f>
        <v>967.85897758750934</v>
      </c>
      <c r="O46" s="256">
        <f>M46*(1-'AX6'!B43)</f>
        <v>843.19818181818175</v>
      </c>
      <c r="P46" s="256">
        <f>N46*(1-'AX6'!B43)</f>
        <v>808.16224628557029</v>
      </c>
      <c r="Q46" s="211">
        <f t="shared" si="2"/>
        <v>0.39827659780183217</v>
      </c>
      <c r="R46" s="256">
        <f>'AX1'!FB67+'AX1'!FC67</f>
        <v>1330.4559999999999</v>
      </c>
      <c r="S46" s="256">
        <f>'AX1'!FG67+'AX1'!FH67</f>
        <v>1402.2</v>
      </c>
      <c r="T46" s="730">
        <f t="shared" si="3"/>
        <v>1081.5621818181819</v>
      </c>
      <c r="U46" s="730">
        <f>(O46-R46+S46)/'AX1'!FU67</f>
        <v>876.92519365399141</v>
      </c>
      <c r="V46" s="535">
        <f t="shared" si="4"/>
        <v>0.44506577513946211</v>
      </c>
      <c r="X46" s="625"/>
      <c r="Y46" s="770"/>
    </row>
    <row r="47" spans="1:27" ht="15.75" thickBot="1">
      <c r="A47" s="212">
        <v>2019</v>
      </c>
      <c r="B47" s="257">
        <f>'AX1'!N68</f>
        <v>2543.8794372154507</v>
      </c>
      <c r="C47" s="690">
        <f>B47/'AX1'!FU68</f>
        <v>2370.3293140301957</v>
      </c>
      <c r="D47" s="258">
        <f>'AX1'!P68</f>
        <v>902.51769157359854</v>
      </c>
      <c r="E47" s="731">
        <f>D47/'AX1'!FU68</f>
        <v>840.94556898868518</v>
      </c>
      <c r="F47" s="663">
        <f t="shared" si="0"/>
        <v>0.35478005693599263</v>
      </c>
      <c r="G47" s="639"/>
      <c r="H47" s="640"/>
      <c r="I47" s="668"/>
      <c r="J47" s="640"/>
      <c r="K47" s="640"/>
      <c r="L47" s="674"/>
      <c r="M47" s="676"/>
      <c r="N47" s="676"/>
      <c r="O47" s="676"/>
      <c r="P47" s="676"/>
      <c r="Q47" s="729"/>
      <c r="R47" s="676"/>
      <c r="S47" s="676"/>
      <c r="T47" s="732"/>
      <c r="U47" s="732"/>
      <c r="V47" s="537"/>
      <c r="X47" s="625"/>
      <c r="Y47" s="770"/>
    </row>
    <row r="48" spans="1:27" ht="15.75" thickTop="1">
      <c r="A48" s="183" t="s">
        <v>1447</v>
      </c>
      <c r="C48" s="689"/>
      <c r="E48" s="692"/>
      <c r="N48" s="256"/>
      <c r="O48" s="256"/>
      <c r="P48" s="256"/>
      <c r="R48" s="256"/>
      <c r="S48" s="256"/>
      <c r="T48" s="730"/>
      <c r="U48" s="730"/>
      <c r="V48" s="211"/>
      <c r="X48" s="625"/>
      <c r="Y48" s="770"/>
    </row>
    <row r="49" spans="1:25">
      <c r="A49" s="183" t="s">
        <v>1451</v>
      </c>
      <c r="B49" s="678"/>
      <c r="C49" s="451">
        <f>(C14/C9)^(1/5)-1</f>
        <v>5.1858936083280405E-2</v>
      </c>
      <c r="D49" s="678"/>
      <c r="E49" s="451">
        <f>(E14/E9)^(1/5)-1</f>
        <v>2.5965777855097683E-2</v>
      </c>
      <c r="H49" s="451">
        <f>(H14/H9)^(1/5)-1</f>
        <v>8.7626084375072244E-2</v>
      </c>
      <c r="K49" s="451">
        <f>(K14/K9)^(1/5)-1</f>
        <v>7.3469799304677563E-2</v>
      </c>
      <c r="M49" s="678"/>
      <c r="N49" s="451"/>
      <c r="O49" s="256"/>
      <c r="P49" s="256"/>
      <c r="R49" s="256"/>
      <c r="S49" s="256"/>
      <c r="T49" s="730"/>
      <c r="U49" s="730"/>
      <c r="V49" s="211"/>
      <c r="X49" s="625"/>
      <c r="Y49" s="770"/>
    </row>
    <row r="50" spans="1:25">
      <c r="A50" s="183" t="s">
        <v>1452</v>
      </c>
      <c r="C50" s="575">
        <f>(C19/C14)^(1/5)-1</f>
        <v>6.4126745804991003E-2</v>
      </c>
      <c r="E50" s="575">
        <f>(E19/E14)^(1/5)-1</f>
        <v>7.1701632175518171E-2</v>
      </c>
      <c r="H50" s="575">
        <f>(H19/H14)^(1/5)-1</f>
        <v>7.9721865432802241E-2</v>
      </c>
      <c r="K50" s="575">
        <f>(K19/K14)^(1/5)-1</f>
        <v>3.8656797762909534E-2</v>
      </c>
      <c r="N50" s="575"/>
      <c r="O50" s="256"/>
      <c r="P50" s="256"/>
      <c r="R50" s="256"/>
      <c r="S50" s="256"/>
      <c r="T50" s="730"/>
      <c r="U50" s="730"/>
      <c r="V50" s="211"/>
      <c r="X50" s="625"/>
      <c r="Y50" s="770"/>
    </row>
    <row r="51" spans="1:25">
      <c r="A51" s="183" t="s">
        <v>1453</v>
      </c>
      <c r="C51" s="575">
        <f>(C24/C19)^(1/5)-1</f>
        <v>3.6074377510254108E-2</v>
      </c>
      <c r="E51" s="575">
        <f>(E24/E19)^(1/5)-1</f>
        <v>4.369252958394898E-2</v>
      </c>
      <c r="H51" s="575">
        <f>(H24/H19)^(1/5)-1</f>
        <v>5.5186994225801644E-2</v>
      </c>
      <c r="K51" s="575">
        <f>(K24/K19)^(1/5)-1</f>
        <v>3.3950180680824671E-2</v>
      </c>
      <c r="N51" s="575">
        <f>(N24/N19)^(1/5)-1</f>
        <v>5.8569510438037264E-2</v>
      </c>
      <c r="O51" s="256"/>
      <c r="P51" s="256"/>
      <c r="R51" s="256"/>
      <c r="S51" s="256"/>
      <c r="T51" s="730"/>
      <c r="U51" s="730"/>
      <c r="V51" s="211"/>
      <c r="X51" s="625"/>
      <c r="Y51" s="770"/>
    </row>
    <row r="52" spans="1:25">
      <c r="A52" s="183" t="s">
        <v>1265</v>
      </c>
      <c r="C52" s="575">
        <f>(C29/C24)^(1/5)-1</f>
        <v>3.5738009963689255E-2</v>
      </c>
      <c r="E52" s="575">
        <f>(E29/E24)^(1/5)-1</f>
        <v>4.3732987869382622E-3</v>
      </c>
      <c r="H52" s="575">
        <f>(H29/H24)^(1/5)-1</f>
        <v>3.1069523212157169E-2</v>
      </c>
      <c r="K52" s="575">
        <f>(K29/K24)^(1/5)-1</f>
        <v>4.6861494444704777E-2</v>
      </c>
      <c r="N52" s="575">
        <f>(N29/N24)^(1/5)-1</f>
        <v>-5.0584578067713881E-3</v>
      </c>
      <c r="O52" s="256"/>
      <c r="P52" s="256"/>
      <c r="R52" s="256"/>
      <c r="S52" s="256"/>
      <c r="T52" s="730"/>
      <c r="U52" s="730"/>
      <c r="V52" s="211"/>
      <c r="X52" s="625"/>
      <c r="Y52" s="770"/>
    </row>
    <row r="53" spans="1:25">
      <c r="A53" s="183" t="s">
        <v>1454</v>
      </c>
      <c r="C53" s="575">
        <f>(C34/C29)^(1/5)-1</f>
        <v>2.9199511531992739E-2</v>
      </c>
      <c r="E53" s="575">
        <f>(E34/E29)^(1/5)-1</f>
        <v>5.6529667517511539E-2</v>
      </c>
      <c r="H53" s="575">
        <f>(H34/H29)^(1/5)-1</f>
        <v>7.8075405252284735E-3</v>
      </c>
      <c r="K53" s="575">
        <f>(K34/K29)^(1/5)-1</f>
        <v>5.3183219757322986E-2</v>
      </c>
      <c r="N53" s="575">
        <f>(N34/N29)^(1/5)-1</f>
        <v>8.0672453343988426E-2</v>
      </c>
      <c r="O53" s="256"/>
      <c r="P53" s="256"/>
      <c r="R53" s="256"/>
      <c r="S53" s="256"/>
      <c r="T53" s="730"/>
      <c r="U53" s="730"/>
      <c r="V53" s="211"/>
      <c r="X53" s="625"/>
      <c r="Y53" s="770"/>
    </row>
    <row r="54" spans="1:25">
      <c r="A54" s="183" t="s">
        <v>1455</v>
      </c>
      <c r="C54" s="575">
        <f>(C39/C34)^(1/5)-1</f>
        <v>1.9762689593403993E-2</v>
      </c>
      <c r="E54" s="575">
        <f>(E39/E34)^(1/5)-1</f>
        <v>7.209695978815045E-3</v>
      </c>
      <c r="H54" s="575">
        <f>(H39/H34)^(1/5)-1</f>
        <v>-8.8843341444566626E-4</v>
      </c>
      <c r="K54" s="575">
        <f>(K39/K34)^(1/5)-1</f>
        <v>-8.7677595588528945E-3</v>
      </c>
      <c r="N54" s="575">
        <f>(N39/N34)^(1/5)-1</f>
        <v>8.3572483698208577E-2</v>
      </c>
      <c r="O54" s="256"/>
      <c r="P54" s="256"/>
      <c r="R54" s="256"/>
      <c r="S54" s="256"/>
      <c r="T54" s="730"/>
      <c r="U54" s="730"/>
      <c r="V54" s="211"/>
      <c r="X54" s="625"/>
      <c r="Y54" s="770"/>
    </row>
    <row r="55" spans="1:25">
      <c r="A55" s="183" t="s">
        <v>1434</v>
      </c>
      <c r="C55" s="575">
        <f>(C44/C39)^(1/5)-1</f>
        <v>1.4834946112424863E-2</v>
      </c>
      <c r="E55" s="575">
        <f>(E44/E39)^(1/5)-1</f>
        <v>3.8925130373603789E-3</v>
      </c>
      <c r="H55" s="575">
        <f>(H44/H39)^(1/5)-1</f>
        <v>-6.7825926829443439E-3</v>
      </c>
      <c r="K55" s="575">
        <f>(K44/K39)^(1/5)-1</f>
        <v>-2.2528553810363894E-2</v>
      </c>
      <c r="N55" s="575">
        <f>(N44/N39)^(1/5)-1</f>
        <v>-3.3157150355789256E-5</v>
      </c>
      <c r="O55" s="256"/>
      <c r="P55" s="256"/>
      <c r="R55" s="256"/>
      <c r="S55" s="256"/>
      <c r="T55" s="730"/>
      <c r="U55" s="730"/>
      <c r="V55" s="211"/>
      <c r="X55" s="625"/>
      <c r="Y55" s="770"/>
    </row>
    <row r="56" spans="1:25">
      <c r="A56" s="183" t="s">
        <v>1483</v>
      </c>
      <c r="H56" s="575">
        <f>(H44/H24)^(1/20)-1</f>
        <v>7.6993204151269978E-3</v>
      </c>
      <c r="I56" s="575"/>
      <c r="J56" s="575"/>
      <c r="K56" s="575">
        <f>(K44/K24)^(1/20)-1</f>
        <v>1.6642272569222794E-2</v>
      </c>
      <c r="L56" s="575"/>
      <c r="M56" s="575"/>
      <c r="N56" s="575">
        <f>(N44/N24)^(1/20)-1</f>
        <v>3.892405851766978E-2</v>
      </c>
      <c r="O56" s="575"/>
      <c r="P56" s="575"/>
      <c r="Q56" s="575"/>
      <c r="R56" s="575"/>
      <c r="S56" s="575"/>
      <c r="T56" s="575"/>
      <c r="U56" s="575">
        <f>(U44/U24)^(1/20)-1</f>
        <v>4.730759634285886E-2</v>
      </c>
      <c r="V56" s="575">
        <f>(V44/V24)^(1/20)-1</f>
        <v>3.3826435314288084E-2</v>
      </c>
      <c r="X56" s="625"/>
      <c r="Y56" s="770"/>
    </row>
    <row r="57" spans="1:25">
      <c r="H57" s="575"/>
      <c r="I57" s="575"/>
      <c r="J57" s="575"/>
      <c r="K57" s="575"/>
      <c r="L57" s="575"/>
      <c r="M57" s="575"/>
      <c r="N57" s="575"/>
      <c r="O57" s="575"/>
      <c r="P57" s="575"/>
      <c r="Q57" s="575"/>
      <c r="R57" s="575"/>
      <c r="S57" s="575"/>
      <c r="T57" s="575"/>
      <c r="U57" s="575"/>
      <c r="V57" s="575"/>
    </row>
    <row r="58" spans="1:25"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</row>
  </sheetData>
  <mergeCells count="8">
    <mergeCell ref="R4:S4"/>
    <mergeCell ref="A2:V2"/>
    <mergeCell ref="M4:Q4"/>
    <mergeCell ref="C4:C5"/>
    <mergeCell ref="B4:B5"/>
    <mergeCell ref="D4:F4"/>
    <mergeCell ref="G4:L4"/>
    <mergeCell ref="T4:U4"/>
  </mergeCells>
  <phoneticPr fontId="1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52F7D317-0958-4141-A50D-5EF21797D3C4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A44</xm:sqref>
            </x14:sparkline>
            <x14:sparkline>
              <xm:sqref>A46</xm:sqref>
            </x14:sparkline>
          </x14:sparklines>
        </x14:sparklineGroup>
        <x14:sparklineGroup manualMax="0" manualMin="0" displayEmptyCellsAs="gap" xr2:uid="{1F80730D-C8D4-4250-A390-B3D7CC3C89D4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A28</xm:sqref>
            </x14:sparkline>
            <x14:sparkline>
              <xm:sqref>A29</xm:sqref>
            </x14:sparkline>
            <x14:sparkline>
              <xm:sqref>A30</xm:sqref>
            </x14:sparkline>
            <x14:sparkline>
              <xm:sqref>A31</xm:sqref>
            </x14:sparkline>
            <x14:sparkline>
              <xm:sqref>A32</xm:sqref>
            </x14:sparkline>
            <x14:sparkline>
              <xm:sqref>A33</xm:sqref>
            </x14:sparkline>
            <x14:sparkline>
              <xm:sqref>A34</xm:sqref>
            </x14:sparkline>
            <x14:sparkline>
              <xm:sqref>A35</xm:sqref>
            </x14:sparkline>
            <x14:sparkline>
              <xm:sqref>A36</xm:sqref>
            </x14:sparkline>
            <x14:sparkline>
              <xm:sqref>A37</xm:sqref>
            </x14:sparkline>
            <x14:sparkline>
              <xm:sqref>A38</xm:sqref>
            </x14:sparkline>
            <x14:sparkline>
              <xm:sqref>A39</xm:sqref>
            </x14:sparkline>
            <x14:sparkline>
              <xm:sqref>A40</xm:sqref>
            </x14:sparkline>
            <x14:sparkline>
              <xm:sqref>A41</xm:sqref>
            </x14:sparkline>
            <x14:sparkline>
              <xm:sqref>A42</xm:sqref>
            </x14:sparkline>
            <x14:sparkline>
              <xm:sqref>A43</xm:sqref>
            </x14:sparkline>
            <x14:sparkline>
              <xm:sqref>A26</xm:sqref>
            </x14:sparkline>
            <x14:sparkline>
              <xm:sqref>A27</xm:sqref>
            </x14:sparkline>
            <x14:sparkline>
              <xm:sqref>A24</xm:sqref>
            </x14:sparkline>
            <x14:sparkline>
              <xm:sqref>A25</xm:sqref>
            </x14:sparkline>
            <x14:sparkline>
              <xm:sqref>A22</xm:sqref>
            </x14:sparkline>
            <x14:sparkline>
              <xm:sqref>A23</xm:sqref>
            </x14:sparkline>
            <x14:sparkline>
              <xm:sqref>A20</xm:sqref>
            </x14:sparkline>
            <x14:sparkline>
              <xm:sqref>A21</xm:sqref>
            </x14:sparkline>
            <x14:sparkline>
              <xm:sqref>A18</xm:sqref>
            </x14:sparkline>
            <x14:sparkline>
              <xm:sqref>A19</xm:sqref>
            </x14:sparkline>
            <x14:sparkline>
              <xm:sqref>A16</xm:sqref>
            </x14:sparkline>
            <x14:sparkline>
              <xm:sqref>A17</xm:sqref>
            </x14:sparkline>
            <x14:sparkline>
              <xm:sqref>A14</xm:sqref>
            </x14:sparkline>
            <x14:sparkline>
              <xm:sqref>A15</xm:sqref>
            </x14:sparkline>
            <x14:sparkline>
              <xm:sqref>A12</xm:sqref>
            </x14:sparkline>
            <x14:sparkline>
              <xm:sqref>A13</xm:sqref>
            </x14:sparkline>
            <x14:sparkline>
              <xm:sqref>A10</xm:sqref>
            </x14:sparkline>
            <x14:sparkline>
              <xm:sqref>A11</xm:sqref>
            </x14:sparkline>
            <x14:sparkline>
              <xm:sqref>A8</xm:sqref>
            </x14:sparkline>
            <x14:sparkline>
              <xm:sqref>A9</xm:sqref>
            </x14:sparkline>
            <x14:sparkline>
              <xm:sqref>A45</xm:sqref>
            </x14:sparkline>
            <x14:sparkline>
              <xm:sqref>A47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8FB4-53B3-43D0-9DB7-5EF078075874}">
  <sheetPr>
    <tabColor theme="5" tint="-0.249977111117893"/>
  </sheetPr>
  <dimension ref="A1:L54"/>
  <sheetViews>
    <sheetView workbookViewId="0">
      <pane xSplit="1" ySplit="6" topLeftCell="B19" activePane="bottomRight" state="frozen"/>
      <selection activeCell="A2" sqref="A2:S2"/>
      <selection pane="topRight" activeCell="A2" sqref="A2:S2"/>
      <selection pane="bottomLeft" activeCell="A2" sqref="A2:S2"/>
      <selection pane="bottomRight" activeCell="I25" sqref="I25"/>
    </sheetView>
  </sheetViews>
  <sheetFormatPr defaultColWidth="9" defaultRowHeight="15"/>
  <cols>
    <col min="1" max="3" width="8.625" style="183" customWidth="1"/>
    <col min="4" max="4" width="9" style="164"/>
    <col min="5" max="5" width="8.875" style="164" customWidth="1"/>
    <col min="6" max="7" width="9" style="164"/>
    <col min="8" max="8" width="13.125" style="164" customWidth="1"/>
    <col min="9" max="10" width="9" style="164"/>
    <col min="11" max="11" width="16.375" style="164" bestFit="1" customWidth="1"/>
    <col min="12" max="16384" width="9" style="164"/>
  </cols>
  <sheetData>
    <row r="1" spans="1:10" ht="15.75" thickBot="1">
      <c r="A1" s="162"/>
      <c r="B1" s="162"/>
      <c r="C1" s="162"/>
    </row>
    <row r="2" spans="1:10" s="165" customFormat="1" ht="45" customHeight="1" thickTop="1">
      <c r="A2" s="1170" t="s">
        <v>1507</v>
      </c>
      <c r="B2" s="1171"/>
      <c r="C2" s="1171"/>
      <c r="D2" s="1171"/>
      <c r="E2" s="1171"/>
      <c r="F2" s="1171"/>
      <c r="G2" s="1172"/>
    </row>
    <row r="3" spans="1:10" s="171" customFormat="1" ht="12.75">
      <c r="A3" s="166"/>
      <c r="B3" s="483" t="s">
        <v>1157</v>
      </c>
      <c r="C3" s="483" t="s">
        <v>1158</v>
      </c>
      <c r="D3" s="483" t="s">
        <v>1159</v>
      </c>
      <c r="E3" s="483" t="s">
        <v>1160</v>
      </c>
      <c r="F3" s="483" t="s">
        <v>1161</v>
      </c>
      <c r="G3" s="484" t="s">
        <v>1162</v>
      </c>
    </row>
    <row r="4" spans="1:10" s="175" customFormat="1">
      <c r="A4" s="179" t="s">
        <v>1191</v>
      </c>
      <c r="B4" s="254"/>
      <c r="C4" s="254"/>
      <c r="D4" s="771"/>
      <c r="E4" s="771"/>
      <c r="F4" s="771"/>
      <c r="G4" s="773"/>
    </row>
    <row r="5" spans="1:10" s="175" customFormat="1" ht="49.9" customHeight="1">
      <c r="A5" s="176" t="s">
        <v>1224</v>
      </c>
      <c r="B5" s="254" t="s">
        <v>1508</v>
      </c>
      <c r="C5" s="254" t="s">
        <v>1491</v>
      </c>
      <c r="D5" s="771" t="s">
        <v>1509</v>
      </c>
      <c r="E5" s="771" t="s">
        <v>1510</v>
      </c>
      <c r="F5" s="771" t="s">
        <v>1511</v>
      </c>
      <c r="G5" s="773" t="s">
        <v>1512</v>
      </c>
    </row>
    <row r="6" spans="1:10" s="182" customFormat="1" ht="18.75" customHeight="1">
      <c r="A6" s="179" t="s">
        <v>1200</v>
      </c>
      <c r="B6" s="748"/>
      <c r="C6" s="254" t="s">
        <v>1513</v>
      </c>
      <c r="D6" s="254" t="s">
        <v>1513</v>
      </c>
      <c r="E6" s="254" t="s">
        <v>1513</v>
      </c>
      <c r="F6" s="254" t="s">
        <v>1513</v>
      </c>
      <c r="G6" s="922" t="s">
        <v>1513</v>
      </c>
    </row>
    <row r="7" spans="1:10" s="182" customFormat="1" ht="12.75">
      <c r="A7" s="207">
        <v>1981</v>
      </c>
      <c r="B7" s="826">
        <f>'A3.0'!V8</f>
        <v>0.17968990224605186</v>
      </c>
      <c r="C7" s="451">
        <v>0.23151867100000001</v>
      </c>
      <c r="D7" s="475">
        <v>0.27228829300000001</v>
      </c>
      <c r="E7" s="475">
        <v>0.243431851</v>
      </c>
      <c r="F7" s="475"/>
      <c r="G7" s="476">
        <v>0.15560853499999999</v>
      </c>
      <c r="H7" s="625"/>
      <c r="I7" s="770"/>
      <c r="J7" s="625"/>
    </row>
    <row r="8" spans="1:10" s="182" customFormat="1" ht="12.75">
      <c r="A8" s="207">
        <v>1982</v>
      </c>
      <c r="B8" s="826">
        <f>'A3.0'!V9</f>
        <v>0.17968990224605186</v>
      </c>
      <c r="C8" s="451">
        <v>0.22878660300000001</v>
      </c>
      <c r="D8" s="475">
        <v>0.298063099</v>
      </c>
      <c r="E8" s="475">
        <v>0.24279825399999999</v>
      </c>
      <c r="F8" s="475"/>
      <c r="G8" s="476">
        <v>0.14764925800000001</v>
      </c>
      <c r="H8" s="625"/>
      <c r="I8" s="770"/>
    </row>
    <row r="9" spans="1:10" s="182" customFormat="1" ht="12.75">
      <c r="A9" s="207">
        <v>1983</v>
      </c>
      <c r="B9" s="826">
        <f>'A3.0'!V10</f>
        <v>0.17968990224605186</v>
      </c>
      <c r="C9" s="451">
        <v>0.23787261600000001</v>
      </c>
      <c r="D9" s="475">
        <v>0.32659167099999997</v>
      </c>
      <c r="E9" s="475">
        <v>0.23903907799999999</v>
      </c>
      <c r="F9" s="475"/>
      <c r="G9" s="476">
        <v>0.15029239699999999</v>
      </c>
      <c r="H9" s="625"/>
      <c r="I9" s="770"/>
    </row>
    <row r="10" spans="1:10" s="182" customFormat="1" ht="12.75">
      <c r="A10" s="207">
        <v>1984</v>
      </c>
      <c r="B10" s="826">
        <f>'A3.0'!V11</f>
        <v>0.17968990224605186</v>
      </c>
      <c r="C10" s="451">
        <v>0.246977955</v>
      </c>
      <c r="D10" s="475">
        <v>0.33129772499999999</v>
      </c>
      <c r="E10" s="475">
        <v>0.24626900299999999</v>
      </c>
      <c r="F10" s="475"/>
      <c r="G10" s="476">
        <v>0.16393639199999999</v>
      </c>
      <c r="H10" s="625"/>
      <c r="I10" s="770"/>
    </row>
    <row r="11" spans="1:10" s="182" customFormat="1" ht="12.75">
      <c r="A11" s="207">
        <v>1985</v>
      </c>
      <c r="B11" s="826">
        <f>'A3.0'!V12</f>
        <v>0.17968990224605186</v>
      </c>
      <c r="C11" s="451">
        <v>0.242539108</v>
      </c>
      <c r="D11" s="475">
        <v>0.34120014300000001</v>
      </c>
      <c r="E11" s="475">
        <v>0.25702190400000002</v>
      </c>
      <c r="F11" s="475"/>
      <c r="G11" s="476">
        <v>0.178214341</v>
      </c>
      <c r="H11" s="625"/>
      <c r="I11" s="770"/>
    </row>
    <row r="12" spans="1:10" s="182" customFormat="1" ht="12.75">
      <c r="A12" s="207">
        <v>1986</v>
      </c>
      <c r="B12" s="826">
        <f>'A3.0'!V13</f>
        <v>0.17968990224605186</v>
      </c>
      <c r="C12" s="451">
        <v>0.22943382000000001</v>
      </c>
      <c r="D12" s="475">
        <v>0.34206929800000002</v>
      </c>
      <c r="E12" s="475">
        <v>0.26331701899999999</v>
      </c>
      <c r="F12" s="475"/>
      <c r="G12" s="476">
        <v>0.20841907000000001</v>
      </c>
      <c r="H12" s="625"/>
      <c r="I12" s="770"/>
      <c r="J12" s="625"/>
    </row>
    <row r="13" spans="1:10" s="182" customFormat="1" ht="12.75">
      <c r="A13" s="207">
        <v>1987</v>
      </c>
      <c r="B13" s="826">
        <f>'A3.0'!V14</f>
        <v>0.17968990224605186</v>
      </c>
      <c r="C13" s="451">
        <v>0.229571</v>
      </c>
      <c r="D13" s="475">
        <v>0.350117713</v>
      </c>
      <c r="E13" s="475">
        <v>0.26657953899999998</v>
      </c>
      <c r="F13" s="475"/>
      <c r="G13" s="476">
        <v>0.21677266100000001</v>
      </c>
      <c r="H13" s="625"/>
      <c r="I13" s="770"/>
    </row>
    <row r="14" spans="1:10" s="182" customFormat="1" ht="12.75">
      <c r="A14" s="207">
        <v>1988</v>
      </c>
      <c r="B14" s="826">
        <f>'A3.0'!V15</f>
        <v>0.17968990224605186</v>
      </c>
      <c r="C14" s="451">
        <v>0.23214632299999999</v>
      </c>
      <c r="D14" s="475">
        <v>0.35502994100000002</v>
      </c>
      <c r="E14" s="475">
        <v>0.27535390900000001</v>
      </c>
      <c r="F14" s="475"/>
      <c r="G14" s="476">
        <v>0.23302985700000001</v>
      </c>
      <c r="H14" s="625"/>
      <c r="I14" s="770"/>
    </row>
    <row r="15" spans="1:10" s="182" customFormat="1" ht="12.75">
      <c r="A15" s="207">
        <v>1989</v>
      </c>
      <c r="B15" s="826">
        <f>'A3.0'!V16</f>
        <v>0.17968990224605186</v>
      </c>
      <c r="C15" s="451">
        <v>0.230563983</v>
      </c>
      <c r="D15" s="475">
        <v>0.35617122099999998</v>
      </c>
      <c r="E15" s="475">
        <v>0.27551743400000001</v>
      </c>
      <c r="F15" s="475"/>
      <c r="G15" s="476">
        <v>0.240779936</v>
      </c>
      <c r="H15" s="625"/>
      <c r="I15" s="770"/>
    </row>
    <row r="16" spans="1:10" s="182" customFormat="1" ht="12.75">
      <c r="A16" s="207">
        <v>1990</v>
      </c>
      <c r="B16" s="826">
        <f>'A3.0'!V17</f>
        <v>0.17968990224605186</v>
      </c>
      <c r="C16" s="451">
        <v>0.22590355600000001</v>
      </c>
      <c r="D16" s="475">
        <v>0.34647399200000001</v>
      </c>
      <c r="E16" s="475">
        <v>0.27816426799999999</v>
      </c>
      <c r="F16" s="475">
        <v>0.25136128099999999</v>
      </c>
      <c r="G16" s="476">
        <v>0.23221862300000001</v>
      </c>
      <c r="H16" s="625"/>
      <c r="I16" s="770"/>
    </row>
    <row r="17" spans="1:12" s="182" customFormat="1" ht="12.75">
      <c r="A17" s="207">
        <v>1991</v>
      </c>
      <c r="B17" s="826">
        <f>'A3.0'!V18</f>
        <v>0.17968990224605186</v>
      </c>
      <c r="C17" s="451">
        <v>0.223011926</v>
      </c>
      <c r="D17" s="475">
        <v>0.33587157699999998</v>
      </c>
      <c r="E17" s="475">
        <v>0.27022790899999999</v>
      </c>
      <c r="F17" s="475">
        <v>0.23055911100000001</v>
      </c>
      <c r="G17" s="476">
        <v>0.22416158</v>
      </c>
      <c r="H17" s="625"/>
      <c r="I17" s="770"/>
      <c r="J17" s="625"/>
      <c r="K17" s="643"/>
    </row>
    <row r="18" spans="1:12" s="182" customFormat="1" ht="12.75">
      <c r="A18" s="207">
        <v>1992</v>
      </c>
      <c r="B18" s="826">
        <f>'A3.0'!V19</f>
        <v>0.17968990224605186</v>
      </c>
      <c r="C18" s="451">
        <v>0.22032436699999999</v>
      </c>
      <c r="D18" s="475">
        <v>0.34029620900000002</v>
      </c>
      <c r="E18" s="475">
        <v>0.24912975700000001</v>
      </c>
      <c r="F18" s="475">
        <v>0.217445269</v>
      </c>
      <c r="G18" s="476">
        <v>0.227472439</v>
      </c>
      <c r="H18" s="625"/>
      <c r="I18" s="770"/>
    </row>
    <row r="19" spans="1:12" s="182" customFormat="1" ht="12.75">
      <c r="A19" s="207">
        <v>1993</v>
      </c>
      <c r="B19" s="826">
        <f>'A3.0'!V20</f>
        <v>0.17968990224605186</v>
      </c>
      <c r="C19" s="451">
        <v>0.226509988</v>
      </c>
      <c r="D19" s="475">
        <v>0.35993298899999998</v>
      </c>
      <c r="E19" s="475">
        <v>0.239486739</v>
      </c>
      <c r="F19" s="475">
        <v>0.21277903000000001</v>
      </c>
      <c r="G19" s="476">
        <v>0.22328592799999999</v>
      </c>
      <c r="H19" s="625"/>
      <c r="I19" s="770"/>
    </row>
    <row r="20" spans="1:12" s="182" customFormat="1" ht="12.75">
      <c r="A20" s="207">
        <v>1994</v>
      </c>
      <c r="B20" s="452">
        <f>'A3.0'!V21</f>
        <v>0.17968990224605186</v>
      </c>
      <c r="C20" s="451">
        <v>0.23789870699999999</v>
      </c>
      <c r="D20" s="475">
        <v>0.37764614800000001</v>
      </c>
      <c r="E20" s="475">
        <v>0.22470311800000001</v>
      </c>
      <c r="F20" s="475">
        <v>0.220693737</v>
      </c>
      <c r="G20" s="476">
        <v>0.22711746399999999</v>
      </c>
      <c r="H20" s="625"/>
      <c r="I20" s="770"/>
    </row>
    <row r="21" spans="1:12" s="182" customFormat="1" ht="12.75">
      <c r="A21" s="207">
        <v>1995</v>
      </c>
      <c r="B21" s="452">
        <f>'A3.0'!V22</f>
        <v>0.20948190845701653</v>
      </c>
      <c r="C21" s="451">
        <v>0.24776382699999999</v>
      </c>
      <c r="D21" s="475">
        <v>0.37739831200000001</v>
      </c>
      <c r="E21" s="475">
        <v>0.23600085100000001</v>
      </c>
      <c r="F21" s="475">
        <v>0.22207845800000001</v>
      </c>
      <c r="G21" s="476">
        <v>0.22382117800000001</v>
      </c>
      <c r="H21" s="625"/>
      <c r="I21" s="770"/>
    </row>
    <row r="22" spans="1:12" s="182" customFormat="1" ht="12.75">
      <c r="A22" s="207">
        <v>1996</v>
      </c>
      <c r="B22" s="452">
        <f>'A3.0'!V23</f>
        <v>0.2125671075291484</v>
      </c>
      <c r="C22" s="451">
        <v>0.25356605700000001</v>
      </c>
      <c r="D22" s="475">
        <v>0.38651207100000001</v>
      </c>
      <c r="E22" s="475">
        <v>0.25152796500000002</v>
      </c>
      <c r="F22" s="475">
        <v>0.22512947</v>
      </c>
      <c r="G22" s="476">
        <v>0.22183898099999999</v>
      </c>
      <c r="H22" s="625"/>
      <c r="I22" s="770"/>
      <c r="J22" s="625"/>
      <c r="K22" s="643"/>
      <c r="L22" s="625"/>
    </row>
    <row r="23" spans="1:12" s="182" customFormat="1" ht="12.75">
      <c r="A23" s="207">
        <v>1997</v>
      </c>
      <c r="B23" s="452">
        <f>'A3.0'!V24</f>
        <v>0.21530467992283853</v>
      </c>
      <c r="C23" s="451">
        <v>0.25584095699999998</v>
      </c>
      <c r="D23" s="475">
        <v>0.37609490800000001</v>
      </c>
      <c r="E23" s="475">
        <v>0.240999818</v>
      </c>
      <c r="F23" s="475">
        <v>0.23651771299999999</v>
      </c>
      <c r="G23" s="476">
        <v>0.23346793699999999</v>
      </c>
      <c r="H23" s="625"/>
      <c r="I23" s="770"/>
    </row>
    <row r="24" spans="1:12" s="182" customFormat="1" ht="12.75">
      <c r="A24" s="207">
        <v>1998</v>
      </c>
      <c r="B24" s="452">
        <f>'A3.0'!V25</f>
        <v>0.25329407966526701</v>
      </c>
      <c r="C24" s="451">
        <v>0.24748081</v>
      </c>
      <c r="D24" s="475">
        <v>0.36334559300000002</v>
      </c>
      <c r="E24" s="475">
        <v>0.23149034399999999</v>
      </c>
      <c r="F24" s="475">
        <v>0.240110517</v>
      </c>
      <c r="G24" s="476">
        <v>0.24252584599999999</v>
      </c>
      <c r="H24" s="625"/>
      <c r="I24" s="770"/>
    </row>
    <row r="25" spans="1:12" s="182" customFormat="1" ht="12.75">
      <c r="A25" s="207">
        <v>1999</v>
      </c>
      <c r="B25" s="452">
        <f>'A3.0'!V26</f>
        <v>0.23943421072755602</v>
      </c>
      <c r="C25" s="451">
        <v>0.244556099</v>
      </c>
      <c r="D25" s="475">
        <v>0.33725357099999997</v>
      </c>
      <c r="E25" s="475">
        <v>0.23252499099999999</v>
      </c>
      <c r="F25" s="475">
        <v>0.234398991</v>
      </c>
      <c r="G25" s="476">
        <v>0.240660176</v>
      </c>
      <c r="H25" s="625"/>
      <c r="I25" s="770"/>
    </row>
    <row r="26" spans="1:12">
      <c r="A26" s="207">
        <v>2000</v>
      </c>
      <c r="B26" s="452">
        <f>'A3.0'!V27</f>
        <v>0.17644668272476305</v>
      </c>
      <c r="C26" s="451">
        <v>0.235550389</v>
      </c>
      <c r="D26" s="475">
        <v>0.33402511499999998</v>
      </c>
      <c r="E26" s="475">
        <v>0.24712252600000001</v>
      </c>
      <c r="F26" s="475">
        <v>0.22561690200000001</v>
      </c>
      <c r="G26" s="476">
        <v>0.24327892100000001</v>
      </c>
      <c r="H26" s="625"/>
      <c r="I26" s="770"/>
    </row>
    <row r="27" spans="1:12">
      <c r="A27" s="207">
        <v>2001</v>
      </c>
      <c r="B27" s="452">
        <f>'A3.0'!V28</f>
        <v>0.15305082780544627</v>
      </c>
      <c r="C27" s="451">
        <v>0.23314657799999999</v>
      </c>
      <c r="D27" s="475">
        <v>0.31449222599999999</v>
      </c>
      <c r="E27" s="475">
        <v>0.247777358</v>
      </c>
      <c r="F27" s="475">
        <v>0.23777832099999999</v>
      </c>
      <c r="G27" s="476">
        <v>0.24219895899999999</v>
      </c>
      <c r="H27" s="625"/>
      <c r="I27" s="770"/>
      <c r="J27" s="625"/>
      <c r="K27" s="643"/>
    </row>
    <row r="28" spans="1:12">
      <c r="A28" s="207">
        <v>2002</v>
      </c>
      <c r="B28" s="452">
        <f>'A3.0'!V29</f>
        <v>0.17733182118331944</v>
      </c>
      <c r="C28" s="451">
        <v>0.24109291999999999</v>
      </c>
      <c r="D28" s="475">
        <v>0.325573683</v>
      </c>
      <c r="E28" s="475">
        <v>0.25981500699999999</v>
      </c>
      <c r="F28" s="475">
        <v>0.237331405</v>
      </c>
      <c r="G28" s="476">
        <v>0.22801554199999999</v>
      </c>
      <c r="H28" s="625"/>
      <c r="I28" s="770"/>
    </row>
    <row r="29" spans="1:12">
      <c r="A29" s="207">
        <v>2003</v>
      </c>
      <c r="B29" s="452">
        <f>'A3.0'!V30</f>
        <v>0.15597258904580305</v>
      </c>
      <c r="C29" s="451">
        <v>0.24942345899999999</v>
      </c>
      <c r="D29" s="475">
        <v>0.33051753</v>
      </c>
      <c r="E29" s="475">
        <v>0.27136963600000003</v>
      </c>
      <c r="F29" s="475">
        <v>0.24101793799999999</v>
      </c>
      <c r="G29" s="476">
        <v>0.22820889999999999</v>
      </c>
      <c r="H29" s="625"/>
      <c r="I29" s="770"/>
    </row>
    <row r="30" spans="1:12">
      <c r="A30" s="207">
        <v>2004</v>
      </c>
      <c r="B30" s="452">
        <f>'A3.0'!V31</f>
        <v>0.2129234783790058</v>
      </c>
      <c r="C30" s="451">
        <v>0.258788079</v>
      </c>
      <c r="D30" s="475">
        <v>0.32464927399999999</v>
      </c>
      <c r="E30" s="475">
        <v>0.28729179500000002</v>
      </c>
      <c r="F30" s="475">
        <v>0.27125376499999998</v>
      </c>
      <c r="G30" s="476">
        <v>0.23426041</v>
      </c>
      <c r="H30" s="625"/>
      <c r="I30" s="770"/>
    </row>
    <row r="31" spans="1:12">
      <c r="A31" s="207">
        <v>2005</v>
      </c>
      <c r="B31" s="452">
        <f>'A3.0'!V32</f>
        <v>0.2178505195827615</v>
      </c>
      <c r="C31" s="451">
        <v>0.27084571099999999</v>
      </c>
      <c r="D31" s="475">
        <v>0.33684533799999999</v>
      </c>
      <c r="E31" s="475">
        <v>0.28984275500000001</v>
      </c>
      <c r="F31" s="475">
        <v>0.28219953199999998</v>
      </c>
      <c r="G31" s="476">
        <v>0.23558151699999999</v>
      </c>
      <c r="H31" s="625"/>
      <c r="I31" s="770"/>
    </row>
    <row r="32" spans="1:12">
      <c r="A32" s="207">
        <v>2006</v>
      </c>
      <c r="B32" s="452">
        <f>'A3.0'!V33</f>
        <v>0.22989626823599563</v>
      </c>
      <c r="C32" s="451">
        <v>0.27690732499999998</v>
      </c>
      <c r="D32" s="475">
        <v>0.32107028399999998</v>
      </c>
      <c r="E32" s="475">
        <v>0.29346355800000001</v>
      </c>
      <c r="F32" s="475">
        <v>0.30458247700000002</v>
      </c>
      <c r="G32" s="476">
        <v>0.239594579</v>
      </c>
      <c r="H32" s="625"/>
      <c r="I32" s="770"/>
      <c r="J32" s="625"/>
      <c r="K32" s="643"/>
    </row>
    <row r="33" spans="1:11">
      <c r="A33" s="207">
        <v>2007</v>
      </c>
      <c r="B33" s="452">
        <f>'A3.0'!V34</f>
        <v>0.23025015024248599</v>
      </c>
      <c r="C33" s="451">
        <v>0.26896688299999999</v>
      </c>
      <c r="D33" s="475">
        <v>0.314667374</v>
      </c>
      <c r="E33" s="475">
        <v>0.29527130699999998</v>
      </c>
      <c r="F33" s="475">
        <v>0.31009435699999999</v>
      </c>
      <c r="G33" s="476">
        <v>0.24668216700000001</v>
      </c>
      <c r="H33" s="625"/>
      <c r="I33" s="770"/>
    </row>
    <row r="34" spans="1:11">
      <c r="A34" s="207">
        <v>2008</v>
      </c>
      <c r="B34" s="452">
        <f>'A3.0'!V35</f>
        <v>0.27491934813149382</v>
      </c>
      <c r="C34" s="451">
        <v>0.25607806399999999</v>
      </c>
      <c r="D34" s="475">
        <v>0.312930614</v>
      </c>
      <c r="E34" s="475">
        <v>0.26924595200000001</v>
      </c>
      <c r="F34" s="475">
        <v>0.29002860200000002</v>
      </c>
      <c r="G34" s="476">
        <v>0.23871094000000001</v>
      </c>
      <c r="H34" s="625"/>
      <c r="I34" s="770"/>
    </row>
    <row r="35" spans="1:11">
      <c r="A35" s="207">
        <v>2009</v>
      </c>
      <c r="B35" s="452">
        <f>'A3.0'!V36</f>
        <v>0.34704368459342888</v>
      </c>
      <c r="C35" s="451">
        <v>0.26561668500000002</v>
      </c>
      <c r="D35" s="475">
        <v>0.29805478499999999</v>
      </c>
      <c r="E35" s="475">
        <v>0.24737158400000001</v>
      </c>
      <c r="F35" s="475">
        <v>0.26917442699999999</v>
      </c>
      <c r="G35" s="476">
        <v>0.21045428499999999</v>
      </c>
      <c r="H35" s="625"/>
      <c r="I35" s="770"/>
    </row>
    <row r="36" spans="1:11">
      <c r="A36" s="207">
        <v>2010</v>
      </c>
      <c r="B36" s="452">
        <f>'A3.0'!V37</f>
        <v>0.25808576215594498</v>
      </c>
      <c r="C36" s="451">
        <v>0.28656655599999997</v>
      </c>
      <c r="D36" s="475">
        <v>0.30542343900000002</v>
      </c>
      <c r="E36" s="475">
        <v>0.27355733500000001</v>
      </c>
      <c r="F36" s="475">
        <v>0.28070005799999997</v>
      </c>
      <c r="G36" s="476">
        <v>0.22311335800000001</v>
      </c>
      <c r="H36" s="625"/>
      <c r="I36" s="770"/>
    </row>
    <row r="37" spans="1:11">
      <c r="A37" s="207">
        <v>2011</v>
      </c>
      <c r="B37" s="452">
        <f>'A3.0'!V38</f>
        <v>0.28851475399738269</v>
      </c>
      <c r="C37" s="451">
        <v>0.28940063700000002</v>
      </c>
      <c r="D37" s="475">
        <v>0.30893126100000001</v>
      </c>
      <c r="E37" s="475">
        <v>0.26370763800000002</v>
      </c>
      <c r="F37" s="475">
        <v>0.28473112</v>
      </c>
      <c r="G37" s="476">
        <v>0.21897362200000001</v>
      </c>
      <c r="H37" s="625"/>
      <c r="I37" s="770"/>
      <c r="J37" s="625"/>
      <c r="K37" s="643"/>
    </row>
    <row r="38" spans="1:11">
      <c r="A38" s="207">
        <v>2012</v>
      </c>
      <c r="B38" s="452">
        <f>'A3.0'!V39</f>
        <v>0.37969680954063495</v>
      </c>
      <c r="C38" s="451">
        <v>0.29567435399999997</v>
      </c>
      <c r="D38" s="475">
        <v>0.299286783</v>
      </c>
      <c r="E38" s="475">
        <v>0.26978033800000001</v>
      </c>
      <c r="F38" s="475">
        <v>0.26966178400000002</v>
      </c>
      <c r="G38" s="476">
        <v>0.200891823</v>
      </c>
      <c r="H38" s="625"/>
      <c r="I38" s="770"/>
    </row>
    <row r="39" spans="1:11">
      <c r="A39" s="207">
        <v>2013</v>
      </c>
      <c r="B39" s="452">
        <f>'A3.0'!V40</f>
        <v>0.38700852182911821</v>
      </c>
      <c r="C39" s="451">
        <v>0.29549494399999998</v>
      </c>
      <c r="D39" s="475">
        <v>0.29638281500000002</v>
      </c>
      <c r="E39" s="475">
        <v>0.28337124000000002</v>
      </c>
      <c r="F39" s="475">
        <v>0.26818054899999999</v>
      </c>
      <c r="G39" s="476">
        <v>0.20062543499999999</v>
      </c>
      <c r="H39" s="625"/>
      <c r="I39" s="770"/>
    </row>
    <row r="40" spans="1:11">
      <c r="A40" s="207">
        <v>2014</v>
      </c>
      <c r="B40" s="452">
        <f>'A3.0'!V41</f>
        <v>0.37594615810386328</v>
      </c>
      <c r="C40" s="451">
        <v>0.29887980200000003</v>
      </c>
      <c r="D40" s="475">
        <v>0.30893525500000002</v>
      </c>
      <c r="E40" s="475">
        <v>0.28483807999999999</v>
      </c>
      <c r="F40" s="475">
        <v>0.26937925800000001</v>
      </c>
      <c r="G40" s="476">
        <v>0.21115958700000001</v>
      </c>
      <c r="H40" s="625"/>
      <c r="I40" s="770"/>
    </row>
    <row r="41" spans="1:11">
      <c r="A41" s="207">
        <v>2015</v>
      </c>
      <c r="B41" s="452">
        <f>'A3.0'!V42</f>
        <v>0.42726885274894916</v>
      </c>
      <c r="C41" s="451">
        <v>0.28931170699999997</v>
      </c>
      <c r="D41" s="475">
        <v>0.31095328900000002</v>
      </c>
      <c r="E41" s="475">
        <v>0.29602664699999998</v>
      </c>
      <c r="F41" s="475">
        <v>0.27430167799999999</v>
      </c>
      <c r="G41" s="476">
        <v>0.22503267199999999</v>
      </c>
      <c r="H41" s="625"/>
      <c r="I41" s="770"/>
    </row>
    <row r="42" spans="1:11">
      <c r="A42" s="207">
        <v>2016</v>
      </c>
      <c r="B42" s="452">
        <f>'A3.0'!V43</f>
        <v>0.4260171861572758</v>
      </c>
      <c r="C42" s="451">
        <v>0.28035515599999999</v>
      </c>
      <c r="D42" s="475">
        <v>0.30048337600000002</v>
      </c>
      <c r="E42" s="475">
        <v>0.28446453799999999</v>
      </c>
      <c r="F42" s="475">
        <v>0.274856508</v>
      </c>
      <c r="G42" s="476">
        <v>0.22131331300000001</v>
      </c>
      <c r="H42" s="625"/>
      <c r="I42" s="770"/>
      <c r="J42" s="625"/>
      <c r="K42" s="643"/>
    </row>
    <row r="43" spans="1:11">
      <c r="A43" s="207">
        <v>2017</v>
      </c>
      <c r="B43" s="452">
        <f>'A3.0'!V44</f>
        <v>0.41879947701460618</v>
      </c>
      <c r="C43" s="451">
        <v>0.27788934100000001</v>
      </c>
      <c r="D43" s="475">
        <v>0.32399898799999999</v>
      </c>
      <c r="E43" s="475">
        <v>0.28128197799999999</v>
      </c>
      <c r="F43" s="475">
        <v>0.27272653600000002</v>
      </c>
      <c r="G43" s="476">
        <v>0.21883633699999999</v>
      </c>
      <c r="H43" s="625"/>
      <c r="I43" s="770"/>
    </row>
    <row r="44" spans="1:11">
      <c r="A44" s="207">
        <v>2018</v>
      </c>
      <c r="B44" s="452">
        <f>'A3.0'!V45</f>
        <v>0.38970839554022313</v>
      </c>
      <c r="C44" s="451"/>
      <c r="D44" s="475">
        <v>0.31560027600000001</v>
      </c>
      <c r="E44" s="772"/>
      <c r="F44" s="475">
        <v>0.25736674700000001</v>
      </c>
      <c r="G44" s="476">
        <v>0.211913675</v>
      </c>
      <c r="H44" s="625"/>
      <c r="I44" s="770"/>
    </row>
    <row r="45" spans="1:11" ht="15.75" thickBot="1">
      <c r="A45" s="212">
        <v>2019</v>
      </c>
      <c r="B45" s="466">
        <f>'A3.0'!V46</f>
        <v>0.44506577513946211</v>
      </c>
      <c r="C45" s="690"/>
      <c r="D45" s="641"/>
      <c r="E45" s="641"/>
      <c r="F45" s="641"/>
      <c r="G45" s="642"/>
      <c r="H45" s="625"/>
      <c r="I45" s="770"/>
    </row>
    <row r="46" spans="1:11" ht="15.75" thickTop="1">
      <c r="C46" s="689"/>
      <c r="H46" s="625"/>
      <c r="I46" s="770"/>
    </row>
    <row r="47" spans="1:11">
      <c r="B47" s="678"/>
      <c r="C47" s="451"/>
      <c r="D47" s="451"/>
      <c r="H47" s="625"/>
      <c r="I47" s="770"/>
    </row>
    <row r="48" spans="1:11">
      <c r="C48" s="575"/>
      <c r="D48" s="575"/>
      <c r="H48" s="625"/>
      <c r="I48" s="770"/>
    </row>
    <row r="49" spans="3:9">
      <c r="C49" s="575"/>
      <c r="D49" s="575"/>
      <c r="H49" s="625"/>
      <c r="I49" s="770"/>
    </row>
    <row r="50" spans="3:9">
      <c r="C50" s="575"/>
      <c r="D50" s="575"/>
      <c r="H50" s="625"/>
      <c r="I50" s="770"/>
    </row>
    <row r="51" spans="3:9">
      <c r="C51" s="575"/>
      <c r="D51" s="575"/>
      <c r="H51" s="625"/>
      <c r="I51" s="770"/>
    </row>
    <row r="52" spans="3:9">
      <c r="C52" s="575"/>
      <c r="D52" s="575"/>
      <c r="H52" s="625"/>
      <c r="I52" s="770"/>
    </row>
    <row r="53" spans="3:9">
      <c r="C53" s="575"/>
      <c r="D53" s="575"/>
      <c r="H53" s="625"/>
      <c r="I53" s="770"/>
    </row>
    <row r="54" spans="3:9">
      <c r="H54" s="625"/>
      <c r="I54" s="770"/>
    </row>
  </sheetData>
  <mergeCells count="1">
    <mergeCell ref="A2:G2"/>
  </mergeCells>
  <phoneticPr fontId="1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39BBDD0F-C391-4ABD-9934-858F42EF03D7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A26</xm:sqref>
            </x14:sparkline>
            <x14:sparkline>
              <xm:sqref>A27</xm:sqref>
            </x14:sparkline>
            <x14:sparkline>
              <xm:sqref>A28</xm:sqref>
            </x14:sparkline>
            <x14:sparkline>
              <xm:sqref>A29</xm:sqref>
            </x14:sparkline>
            <x14:sparkline>
              <xm:sqref>A30</xm:sqref>
            </x14:sparkline>
            <x14:sparkline>
              <xm:sqref>A31</xm:sqref>
            </x14:sparkline>
            <x14:sparkline>
              <xm:sqref>A32</xm:sqref>
            </x14:sparkline>
            <x14:sparkline>
              <xm:sqref>A33</xm:sqref>
            </x14:sparkline>
            <x14:sparkline>
              <xm:sqref>A34</xm:sqref>
            </x14:sparkline>
            <x14:sparkline>
              <xm:sqref>A35</xm:sqref>
            </x14:sparkline>
            <x14:sparkline>
              <xm:sqref>A36</xm:sqref>
            </x14:sparkline>
            <x14:sparkline>
              <xm:sqref>A37</xm:sqref>
            </x14:sparkline>
            <x14:sparkline>
              <xm:sqref>A38</xm:sqref>
            </x14:sparkline>
            <x14:sparkline>
              <xm:sqref>A39</xm:sqref>
            </x14:sparkline>
            <x14:sparkline>
              <xm:sqref>A40</xm:sqref>
            </x14:sparkline>
            <x14:sparkline>
              <xm:sqref>A41</xm:sqref>
            </x14:sparkline>
            <x14:sparkline>
              <xm:sqref>A24</xm:sqref>
            </x14:sparkline>
            <x14:sparkline>
              <xm:sqref>A25</xm:sqref>
            </x14:sparkline>
            <x14:sparkline>
              <xm:sqref>A22</xm:sqref>
            </x14:sparkline>
            <x14:sparkline>
              <xm:sqref>A23</xm:sqref>
            </x14:sparkline>
            <x14:sparkline>
              <xm:sqref>A20</xm:sqref>
            </x14:sparkline>
            <x14:sparkline>
              <xm:sqref>A21</xm:sqref>
            </x14:sparkline>
            <x14:sparkline>
              <xm:sqref>A18</xm:sqref>
            </x14:sparkline>
            <x14:sparkline>
              <xm:sqref>A19</xm:sqref>
            </x14:sparkline>
            <x14:sparkline>
              <xm:sqref>A16</xm:sqref>
            </x14:sparkline>
            <x14:sparkline>
              <xm:sqref>A17</xm:sqref>
            </x14:sparkline>
            <x14:sparkline>
              <xm:sqref>A14</xm:sqref>
            </x14:sparkline>
            <x14:sparkline>
              <xm:sqref>A15</xm:sqref>
            </x14:sparkline>
            <x14:sparkline>
              <xm:sqref>A12</xm:sqref>
            </x14:sparkline>
            <x14:sparkline>
              <xm:sqref>A13</xm:sqref>
            </x14:sparkline>
            <x14:sparkline>
              <xm:sqref>A10</xm:sqref>
            </x14:sparkline>
            <x14:sparkline>
              <xm:sqref>A11</xm:sqref>
            </x14:sparkline>
            <x14:sparkline>
              <xm:sqref>A8</xm:sqref>
            </x14:sparkline>
            <x14:sparkline>
              <xm:sqref>A9</xm:sqref>
            </x14:sparkline>
            <x14:sparkline>
              <xm:sqref>A7</xm:sqref>
            </x14:sparkline>
            <x14:sparkline>
              <xm:sqref>A43</xm:sqref>
            </x14:sparkline>
            <x14:sparkline>
              <xm:sqref>A45</xm:sqref>
            </x14:sparkline>
          </x14:sparklines>
        </x14:sparklineGroup>
        <x14:sparklineGroup manualMax="0" manualMin="0" displayEmptyCellsAs="gap" xr2:uid="{DF5F95D7-3FF5-409E-92D3-4B68D638144D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A42</xm:sqref>
            </x14:sparkline>
            <x14:sparkline>
              <xm:sqref>A44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7D86-F2D6-4C89-8127-F04BDD6C0CBF}">
  <sheetPr>
    <tabColor theme="4"/>
  </sheetPr>
  <dimension ref="A1:G3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4.25"/>
  <cols>
    <col min="1" max="1" width="11.125" customWidth="1"/>
    <col min="2" max="2" width="8.875" customWidth="1"/>
    <col min="7" max="7" width="20.25" bestFit="1" customWidth="1"/>
  </cols>
  <sheetData>
    <row r="1" spans="1:7" ht="15" thickBot="1"/>
    <row r="2" spans="1:7" ht="34.5" customHeight="1" thickTop="1" thickBot="1">
      <c r="A2" s="1173" t="s">
        <v>1619</v>
      </c>
      <c r="B2" s="1174"/>
      <c r="C2" s="1174"/>
      <c r="D2" s="1174"/>
      <c r="E2" s="1174"/>
      <c r="F2" s="1175"/>
    </row>
    <row r="3" spans="1:7">
      <c r="A3" s="194"/>
      <c r="B3" s="167" t="s">
        <v>1157</v>
      </c>
      <c r="C3" s="168" t="s">
        <v>1201</v>
      </c>
      <c r="D3" s="167" t="s">
        <v>1159</v>
      </c>
      <c r="E3" s="167" t="s">
        <v>1160</v>
      </c>
      <c r="F3" s="170" t="s">
        <v>1161</v>
      </c>
    </row>
    <row r="4" spans="1:7" ht="15">
      <c r="A4" s="194"/>
      <c r="B4" s="1176" t="s">
        <v>1429</v>
      </c>
      <c r="C4" s="1176"/>
      <c r="D4" s="1176"/>
      <c r="E4" s="1176"/>
      <c r="F4" s="1177"/>
    </row>
    <row r="5" spans="1:7" ht="51">
      <c r="A5" s="195"/>
      <c r="B5" s="479" t="s">
        <v>1234</v>
      </c>
      <c r="C5" s="480" t="s">
        <v>1255</v>
      </c>
      <c r="D5" s="479" t="s">
        <v>1250</v>
      </c>
      <c r="E5" s="479" t="s">
        <v>1258</v>
      </c>
      <c r="F5" s="482" t="s">
        <v>1273</v>
      </c>
    </row>
    <row r="6" spans="1:7" ht="25.5">
      <c r="A6" s="196"/>
      <c r="B6" s="266" t="s">
        <v>1620</v>
      </c>
      <c r="C6" s="321" t="s">
        <v>1257</v>
      </c>
      <c r="D6" s="266" t="s">
        <v>1199</v>
      </c>
      <c r="E6" s="266" t="s">
        <v>1199</v>
      </c>
      <c r="F6" s="269" t="s">
        <v>1272</v>
      </c>
    </row>
    <row r="7" spans="1:7" ht="37.5" customHeight="1">
      <c r="A7" s="195" t="s">
        <v>1200</v>
      </c>
      <c r="B7" s="267" t="s">
        <v>1621</v>
      </c>
      <c r="C7" s="322"/>
      <c r="D7" s="268"/>
      <c r="E7" s="268"/>
      <c r="F7" s="270"/>
    </row>
    <row r="8" spans="1:7" ht="15">
      <c r="A8" s="191">
        <v>1988</v>
      </c>
      <c r="B8" s="601">
        <f>0.000002*'AX3'!E12</f>
        <v>7.4152722944120697</v>
      </c>
      <c r="C8" s="323">
        <f>(SUM('[16]1988_world'!$C$2:$C$8)+(B8-7)*'[16]1988_world'!$C$9)*'AX1'!FR45/'AX1'!FU37</f>
        <v>157.67936290305403</v>
      </c>
      <c r="D8" s="197">
        <f>C8/'A2.0'!B22*'AX1'!FU37</f>
        <v>7.2085119844661219E-2</v>
      </c>
      <c r="E8" s="197"/>
      <c r="F8" s="582"/>
    </row>
    <row r="9" spans="1:7" ht="15">
      <c r="A9" s="191">
        <v>1991</v>
      </c>
      <c r="B9" s="601">
        <f>0.000002*'AX3'!E15</f>
        <v>7.7664399999999993</v>
      </c>
      <c r="C9" s="616">
        <f>(SUM('[16]1991_world'!$C$2:$C$8)+(B9-7)*'[16]1991_world'!$C$9)*'AX1'!FR45/'AX1'!FU40</f>
        <v>182.26888782447759</v>
      </c>
      <c r="D9" s="197">
        <f>C9/'A2.0'!B23*'AX1'!FU40</f>
        <v>0.10379239863098889</v>
      </c>
      <c r="E9" s="197">
        <f>D9/'A2.0'!L19</f>
        <v>0.25590556843010215</v>
      </c>
      <c r="F9" s="582">
        <f>C9/'A2.0'!I19*'AX3'!E15/1000/1000</f>
        <v>1.6278826934767507</v>
      </c>
    </row>
    <row r="10" spans="1:7" ht="15">
      <c r="A10" s="191">
        <v>1996</v>
      </c>
      <c r="B10" s="601">
        <f>0.000002*'AX3'!E20</f>
        <v>9.2740399999999994</v>
      </c>
      <c r="C10" s="616">
        <f>(SUM('[16]1996_world'!$C$98:$C$106)+(B10-9)*'[16]1996_world'!$C$107)*'AX1'!FR45/'AX1'!FU45</f>
        <v>601.34635889737842</v>
      </c>
      <c r="D10" s="197">
        <f>C10/'A2.0'!B24*'AX1'!FU45</f>
        <v>0.46986640768951216</v>
      </c>
      <c r="E10" s="197">
        <f>D10/'A2.0'!L24</f>
        <v>0.92578764617109255</v>
      </c>
      <c r="F10" s="582">
        <f>C10/'A2.0'!I24*'AX3'!E20/1000/1000</f>
        <v>4.2928958310482797</v>
      </c>
    </row>
    <row r="11" spans="1:7" ht="15">
      <c r="A11" s="191">
        <v>2001</v>
      </c>
      <c r="B11" s="601">
        <f>0.000002*'AX3'!E25</f>
        <v>10.219999999999999</v>
      </c>
      <c r="C11" s="616">
        <f>('[16]2001_world'!$C$540-'[16]2001_world'!$C$522-'[16]2001_world'!$C$490-'[16]2001_world'!$C$466-'[16]2001_world'!$C$464+(B11-10)*'[16]2001_world'!$C$464)*'AX1'!FR50/'AX1'!FU50</f>
        <v>455.22847831158464</v>
      </c>
      <c r="D11" s="197">
        <f>C11/'A2.0'!B29*'AX1'!FU50</f>
        <v>0.29842112406660154</v>
      </c>
      <c r="E11" s="197">
        <f>D11/'A2.0'!L29</f>
        <v>0.54519690045745006</v>
      </c>
      <c r="F11" s="582">
        <f>C11/'A2.0'!I29*'AX3'!E25/1000/1000</f>
        <v>2.7859561613375701</v>
      </c>
    </row>
    <row r="12" spans="1:7" ht="15">
      <c r="A12" s="191">
        <v>2006</v>
      </c>
      <c r="B12" s="601">
        <f>0.000002*'AX3'!E30</f>
        <v>10.922879999999999</v>
      </c>
      <c r="C12" s="616">
        <f>(SUM('[16]2006_world'!$E$140:$E$150)+(B12-11)*'[16]2006_world'!$E$150)*'AX1'!FR55/'AX1'!FU55</f>
        <v>770.89350889926345</v>
      </c>
      <c r="D12" s="197">
        <f>C12/'A2.0'!B34*'AX1'!FU55</f>
        <v>0.43761950512612657</v>
      </c>
      <c r="E12" s="197">
        <f>D12/'A2.0'!L34</f>
        <v>0.78787176021513261</v>
      </c>
      <c r="F12" s="582">
        <f>C12/'A2.0'!I34*'AX3'!E30/1000/1000</f>
        <v>4.3029143461093335</v>
      </c>
    </row>
    <row r="13" spans="1:7" ht="15">
      <c r="A13" s="191">
        <v>2011</v>
      </c>
      <c r="B13" s="601">
        <f>0.000002*'AX3'!E35</f>
        <v>11.994759999999999</v>
      </c>
      <c r="C13" s="616">
        <f>(SUM('[16]2011'!$C$2:$C$13)+(B13-12)*'[16]2011'!$C$13)*'AX1'!FR60/'AX1'!FU60</f>
        <v>1038.4086605178052</v>
      </c>
      <c r="D13" s="197">
        <f>C13/'A2.0'!B39*'AX1'!FU60</f>
        <v>0.53453357870480545</v>
      </c>
      <c r="E13" s="197">
        <f>D13/'A2.0'!L39</f>
        <v>0.94769993330801705</v>
      </c>
      <c r="F13" s="582">
        <f>C13/'A2.0'!I39*'AX3'!E35/1000/1000</f>
        <v>5.6837166260228349</v>
      </c>
    </row>
    <row r="14" spans="1:7" ht="15">
      <c r="A14" s="626">
        <v>2016</v>
      </c>
      <c r="B14" s="601">
        <f>0.000002*'AX3'!E40</f>
        <v>12.31944</v>
      </c>
      <c r="C14" s="627">
        <f>(SUM('[16]2016'!$C$2:$C$13)+(B14-12)*'[16]2016'!$C$14)*'AX1'!FR65/'AX1'!FU65</f>
        <v>1190.9603701279998</v>
      </c>
      <c r="D14" s="198">
        <f>C14/'A2.0'!B44*'AX1'!FU65</f>
        <v>0.56954354188680412</v>
      </c>
      <c r="E14" s="197">
        <f>D14/'A2.0'!L44</f>
        <v>1.0743021799995005</v>
      </c>
      <c r="F14" s="582">
        <f>C14/'A2.0'!I44*'AX3'!E40/1000/1000</f>
        <v>6.6174006241865237</v>
      </c>
      <c r="G14" s="740"/>
    </row>
    <row r="15" spans="1:7" ht="15">
      <c r="A15" s="626">
        <v>2017</v>
      </c>
      <c r="B15" s="601">
        <f>0.000002*'AX3'!D41</f>
        <v>12.462199999999999</v>
      </c>
      <c r="C15" s="627">
        <f>(SUM('[16]2017'!$C$2:$C$13)+(B14-12)*'[16]2017'!$C$14)*'AX1'!FR66/'AX1'!FU66</f>
        <v>1506.0246427722725</v>
      </c>
      <c r="D15" s="198">
        <f>C15/'A2.0'!B45*'AX1'!FU66</f>
        <v>0.64192165461423745</v>
      </c>
      <c r="E15" s="197"/>
      <c r="F15" s="582"/>
    </row>
    <row r="16" spans="1:7" ht="15">
      <c r="A16" s="626">
        <v>2018</v>
      </c>
      <c r="B16" s="601">
        <f>0.000002*'AX3'!D42</f>
        <v>12.58</v>
      </c>
      <c r="C16" s="627">
        <f>(SUM('[16]2018'!$C$2:$C$13)+(B14-12)*'[16]2018'!$C$14)*'AX1'!FR67/'AX1'!FU67</f>
        <v>1472.2369048948472</v>
      </c>
      <c r="D16" s="198">
        <f>C16/'A2.0'!B46*'AX1'!FU67</f>
        <v>0.60582948468523512</v>
      </c>
      <c r="E16" s="197"/>
      <c r="F16" s="582"/>
    </row>
    <row r="17" spans="1:6" ht="15.75" thickBot="1">
      <c r="A17" s="603">
        <v>2019</v>
      </c>
      <c r="B17" s="604">
        <f>0.000002*'AX3'!D43</f>
        <v>12.6938</v>
      </c>
      <c r="C17" s="628">
        <f>(SUM('[16]2019'!$C$2:$C$13)+(B14-12)*'[16]2019'!$C$14)*'AX1'!FR68/'AX1'!FU68</f>
        <v>1259.1849323258455</v>
      </c>
      <c r="D17" s="629">
        <f>C17/'A2.0'!B47*'AX1'!FU68</f>
        <v>0.53122784453308447</v>
      </c>
      <c r="E17" s="596"/>
      <c r="F17" s="597"/>
    </row>
    <row r="18" spans="1:6" ht="15">
      <c r="A18" s="194"/>
      <c r="B18" s="1176" t="s">
        <v>1430</v>
      </c>
      <c r="C18" s="1176"/>
      <c r="D18" s="1176"/>
      <c r="E18" s="1176"/>
      <c r="F18" s="1177"/>
    </row>
    <row r="19" spans="1:6">
      <c r="A19" s="196"/>
      <c r="B19" s="266" t="s">
        <v>1199</v>
      </c>
      <c r="C19" s="266" t="s">
        <v>1199</v>
      </c>
      <c r="D19" s="266" t="s">
        <v>1199</v>
      </c>
      <c r="E19" s="266" t="s">
        <v>1199</v>
      </c>
      <c r="F19" s="269" t="s">
        <v>1199</v>
      </c>
    </row>
    <row r="20" spans="1:6" ht="15">
      <c r="A20" s="191">
        <v>1988</v>
      </c>
      <c r="B20" s="617"/>
      <c r="C20" s="618"/>
      <c r="D20" s="197"/>
      <c r="E20" s="197"/>
      <c r="F20" s="582"/>
    </row>
    <row r="21" spans="1:6" ht="15">
      <c r="A21" s="191">
        <v>1991</v>
      </c>
      <c r="B21" s="601">
        <f>0.000002*'AX3'!E26</f>
        <v>0</v>
      </c>
      <c r="C21" s="324">
        <f>(C9/C8)^(1/3)-1</f>
        <v>4.9492233444044187E-2</v>
      </c>
      <c r="D21" s="197">
        <f>(D9/D8)^(1/3)-1</f>
        <v>0.12920634014999233</v>
      </c>
      <c r="E21" s="576" t="e">
        <f>(E9/E8)^(1/3)-1</f>
        <v>#DIV/0!</v>
      </c>
      <c r="F21" s="280" t="e">
        <f>(F9/F8)^(1/3)-1</f>
        <v>#DIV/0!</v>
      </c>
    </row>
    <row r="22" spans="1:6" ht="15">
      <c r="A22" s="191">
        <v>1996</v>
      </c>
      <c r="B22" s="601">
        <f>0.000002*'AX3'!E31</f>
        <v>0</v>
      </c>
      <c r="C22" s="324">
        <f t="shared" ref="C22:F26" si="0">(C10/C9)^(1/5)-1</f>
        <v>0.26964535582057558</v>
      </c>
      <c r="D22" s="197">
        <f t="shared" si="0"/>
        <v>0.35257628843016908</v>
      </c>
      <c r="E22" s="576">
        <f t="shared" si="0"/>
        <v>0.2932614406422871</v>
      </c>
      <c r="F22" s="280">
        <f t="shared" si="0"/>
        <v>0.21401890250173294</v>
      </c>
    </row>
    <row r="23" spans="1:6" ht="15">
      <c r="A23" s="191">
        <v>2001</v>
      </c>
      <c r="B23" s="601">
        <f>0.000002*'AX3'!E36</f>
        <v>0</v>
      </c>
      <c r="C23" s="324">
        <f t="shared" si="0"/>
        <v>-5.4152876411354023E-2</v>
      </c>
      <c r="D23" s="197">
        <f t="shared" si="0"/>
        <v>-8.6789212629354573E-2</v>
      </c>
      <c r="E23" s="576">
        <f t="shared" si="0"/>
        <v>-0.10048502175064611</v>
      </c>
      <c r="F23" s="280">
        <f t="shared" si="0"/>
        <v>-8.28406758587793E-2</v>
      </c>
    </row>
    <row r="24" spans="1:6" ht="15">
      <c r="A24" s="191">
        <v>2006</v>
      </c>
      <c r="B24" s="601">
        <f>0.000002*'AX3'!E41</f>
        <v>12.462199999999999</v>
      </c>
      <c r="C24" s="324">
        <f t="shared" si="0"/>
        <v>0.11109960493297932</v>
      </c>
      <c r="D24" s="197">
        <f t="shared" si="0"/>
        <v>7.9576498514924321E-2</v>
      </c>
      <c r="E24" s="576">
        <f t="shared" si="0"/>
        <v>7.6416710541959088E-2</v>
      </c>
      <c r="F24" s="280">
        <f t="shared" si="0"/>
        <v>9.0831535090728721E-2</v>
      </c>
    </row>
    <row r="25" spans="1:6" ht="15">
      <c r="A25" s="191">
        <v>2011</v>
      </c>
      <c r="B25" s="601">
        <f>0.000002*'AX3'!E46</f>
        <v>0</v>
      </c>
      <c r="C25" s="324">
        <f t="shared" si="0"/>
        <v>6.1389489185803559E-2</v>
      </c>
      <c r="D25" s="197">
        <f t="shared" si="0"/>
        <v>4.082008492485345E-2</v>
      </c>
      <c r="E25" s="576">
        <f t="shared" si="0"/>
        <v>3.7631298686753301E-2</v>
      </c>
      <c r="F25" s="280">
        <f t="shared" si="0"/>
        <v>5.7240869507360292E-2</v>
      </c>
    </row>
    <row r="26" spans="1:6" ht="15.75" thickBot="1">
      <c r="A26" s="200">
        <v>2016</v>
      </c>
      <c r="B26" s="602">
        <f>0.000002*'AX3'!E51</f>
        <v>0</v>
      </c>
      <c r="C26" s="325">
        <f t="shared" si="0"/>
        <v>2.7793346106590677E-2</v>
      </c>
      <c r="D26" s="201">
        <f t="shared" si="0"/>
        <v>1.2768972968270509E-2</v>
      </c>
      <c r="E26" s="583">
        <f t="shared" si="0"/>
        <v>2.5394825220662165E-2</v>
      </c>
      <c r="F26" s="281">
        <f t="shared" si="0"/>
        <v>3.0886855689378656E-2</v>
      </c>
    </row>
    <row r="27" spans="1:6" ht="15" thickTop="1">
      <c r="A27" s="314" t="s">
        <v>1267</v>
      </c>
      <c r="B27" s="315"/>
      <c r="C27" s="316">
        <f>(C10/C8)^(1/8)-1</f>
        <v>0.1821394987981213</v>
      </c>
      <c r="D27" s="317">
        <f>(D10/D8)^(1/8)-1</f>
        <v>0.26405536579278932</v>
      </c>
      <c r="E27" s="316"/>
      <c r="F27" s="316"/>
    </row>
    <row r="28" spans="1:6">
      <c r="A28" s="318" t="s">
        <v>1265</v>
      </c>
      <c r="B28" s="318"/>
      <c r="C28" s="319">
        <f>C23</f>
        <v>-5.4152876411354023E-2</v>
      </c>
      <c r="D28" s="319">
        <f>D23</f>
        <v>-8.6789212629354573E-2</v>
      </c>
      <c r="E28" s="319">
        <f>E23</f>
        <v>-0.10048502175064611</v>
      </c>
      <c r="F28" s="319">
        <f>F23</f>
        <v>-8.28406758587793E-2</v>
      </c>
    </row>
    <row r="29" spans="1:6">
      <c r="A29" s="318" t="s">
        <v>1264</v>
      </c>
      <c r="B29" s="318"/>
      <c r="C29" s="320">
        <f>(C14/C11)^(1/15)-1</f>
        <v>6.6214356138537545E-2</v>
      </c>
      <c r="D29" s="320">
        <f>(D14/D11)^(1/15)-1</f>
        <v>4.4030432171307421E-2</v>
      </c>
      <c r="E29" s="320">
        <f>(E14/E11)^(1/15)-1</f>
        <v>4.6256587065419463E-2</v>
      </c>
      <c r="F29" s="320">
        <f>(F14/F11)^(1/15)-1</f>
        <v>5.9369690721789103E-2</v>
      </c>
    </row>
    <row r="32" spans="1:6" ht="15">
      <c r="A32" s="228"/>
      <c r="B32" s="228"/>
      <c r="C32" s="228"/>
      <c r="D32" s="228"/>
    </row>
    <row r="33" spans="1:4" ht="15">
      <c r="A33" s="229"/>
      <c r="B33" s="271"/>
      <c r="C33" s="228"/>
      <c r="D33" s="228"/>
    </row>
    <row r="34" spans="1:4" ht="15">
      <c r="A34" s="229"/>
      <c r="B34" s="271"/>
      <c r="C34" s="228"/>
      <c r="D34" s="228"/>
    </row>
    <row r="35" spans="1:4" ht="15">
      <c r="A35" s="228"/>
      <c r="B35" s="228"/>
      <c r="C35" s="228"/>
      <c r="D35" s="228"/>
    </row>
    <row r="36" spans="1:4" ht="15">
      <c r="A36" s="228"/>
      <c r="B36" s="228"/>
      <c r="C36" s="228"/>
      <c r="D36" s="228"/>
    </row>
    <row r="37" spans="1:4" ht="15">
      <c r="A37" s="228"/>
      <c r="B37" s="228"/>
      <c r="C37" s="228"/>
      <c r="D37" s="228"/>
    </row>
  </sheetData>
  <mergeCells count="3">
    <mergeCell ref="A2:F2"/>
    <mergeCell ref="B4:F4"/>
    <mergeCell ref="B18:F18"/>
  </mergeCells>
  <phoneticPr fontId="11" type="noConversion"/>
  <pageMargins left="0.7" right="0.7" top="0.75" bottom="0.75" header="0.3" footer="0.3"/>
  <pageSetup orientation="portrait" horizontalDpi="4294967293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B672-0F08-40B6-ACE5-EF55C9DA6DBB}">
  <sheetPr>
    <tabColor theme="4"/>
  </sheetPr>
  <dimension ref="A1:L41"/>
  <sheetViews>
    <sheetView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4.25"/>
  <cols>
    <col min="1" max="1" width="11.125" customWidth="1"/>
    <col min="2" max="2" width="8.875" customWidth="1"/>
    <col min="3" max="3" width="9.875" bestFit="1" customWidth="1"/>
    <col min="4" max="4" width="21" style="697" bestFit="1" customWidth="1"/>
    <col min="5" max="11" width="9" style="697"/>
  </cols>
  <sheetData>
    <row r="1" spans="1:11" ht="15" thickBot="1"/>
    <row r="2" spans="1:11" ht="34.5" customHeight="1" thickTop="1" thickBot="1">
      <c r="A2" s="966" t="s">
        <v>1631</v>
      </c>
      <c r="B2" s="967"/>
      <c r="C2" s="967"/>
      <c r="D2" s="967"/>
      <c r="E2" s="967"/>
      <c r="F2" s="967"/>
      <c r="G2" s="967"/>
      <c r="H2" s="967"/>
      <c r="I2" s="967"/>
      <c r="J2" s="967"/>
      <c r="K2" s="968"/>
    </row>
    <row r="3" spans="1:11">
      <c r="A3" s="194"/>
      <c r="B3" s="167" t="s">
        <v>1157</v>
      </c>
      <c r="C3" s="167" t="s">
        <v>1201</v>
      </c>
      <c r="D3" s="167" t="s">
        <v>1159</v>
      </c>
      <c r="E3" s="167" t="s">
        <v>1160</v>
      </c>
      <c r="F3" s="167" t="s">
        <v>1161</v>
      </c>
      <c r="G3" s="167" t="s">
        <v>1162</v>
      </c>
      <c r="H3" s="167" t="s">
        <v>1163</v>
      </c>
      <c r="I3" s="167" t="s">
        <v>1164</v>
      </c>
      <c r="J3" s="167" t="s">
        <v>1165</v>
      </c>
      <c r="K3" s="170" t="s">
        <v>1166</v>
      </c>
    </row>
    <row r="4" spans="1:11" ht="15">
      <c r="A4" s="194"/>
      <c r="B4" s="1176" t="s">
        <v>1489</v>
      </c>
      <c r="C4" s="1176"/>
      <c r="D4" s="1178"/>
      <c r="E4" s="745" t="s">
        <v>1491</v>
      </c>
      <c r="F4" s="745" t="s">
        <v>1502</v>
      </c>
      <c r="G4" s="745" t="s">
        <v>1503</v>
      </c>
      <c r="H4" s="745" t="s">
        <v>1504</v>
      </c>
      <c r="I4" s="745" t="s">
        <v>1493</v>
      </c>
      <c r="J4" s="745" t="s">
        <v>1505</v>
      </c>
      <c r="K4" s="746" t="s">
        <v>1495</v>
      </c>
    </row>
    <row r="5" spans="1:11">
      <c r="A5" s="195"/>
      <c r="B5" s="742" t="s">
        <v>1234</v>
      </c>
      <c r="C5" s="742" t="s">
        <v>1255</v>
      </c>
      <c r="D5" s="743" t="s">
        <v>1250</v>
      </c>
      <c r="E5" s="742" t="s">
        <v>1250</v>
      </c>
      <c r="F5" s="742" t="s">
        <v>1250</v>
      </c>
      <c r="G5" s="742" t="s">
        <v>1250</v>
      </c>
      <c r="H5" s="742" t="s">
        <v>1250</v>
      </c>
      <c r="I5" s="742" t="s">
        <v>1250</v>
      </c>
      <c r="J5" s="742" t="s">
        <v>1250</v>
      </c>
      <c r="K5" s="744" t="s">
        <v>1250</v>
      </c>
    </row>
    <row r="6" spans="1:11" ht="25.5">
      <c r="A6" s="196"/>
      <c r="B6" s="750" t="s">
        <v>1620</v>
      </c>
      <c r="C6" s="750" t="s">
        <v>1257</v>
      </c>
      <c r="D6" s="321" t="s">
        <v>1199</v>
      </c>
      <c r="E6" s="750" t="s">
        <v>1199</v>
      </c>
      <c r="F6" s="750" t="s">
        <v>1199</v>
      </c>
      <c r="G6" s="750" t="s">
        <v>1199</v>
      </c>
      <c r="H6" s="750" t="s">
        <v>1199</v>
      </c>
      <c r="I6" s="750" t="s">
        <v>1199</v>
      </c>
      <c r="J6" s="750" t="s">
        <v>1199</v>
      </c>
      <c r="K6" s="269" t="s">
        <v>1199</v>
      </c>
    </row>
    <row r="7" spans="1:11" ht="18.75" customHeight="1">
      <c r="A7" s="195" t="s">
        <v>1200</v>
      </c>
      <c r="B7" s="267" t="s">
        <v>1622</v>
      </c>
      <c r="C7" s="268"/>
      <c r="D7" s="322" t="s">
        <v>1501</v>
      </c>
      <c r="K7" s="766"/>
    </row>
    <row r="8" spans="1:11" ht="15">
      <c r="A8" s="191">
        <v>1988</v>
      </c>
      <c r="B8" s="601">
        <f>0.000002*'AX3'!D12</f>
        <v>7.8974000000000002</v>
      </c>
      <c r="C8" s="751">
        <f>(SUM('[16]1988_world'!$C$2:$C$8)+(B8-INT(B8))*'[16]1988_world'!$C$9)*'AX1'!FR37</f>
        <v>64.786099199999995</v>
      </c>
      <c r="D8" s="199">
        <f>C8/'A2.0'!B16</f>
        <v>0.16715773509704063</v>
      </c>
      <c r="E8" s="752"/>
      <c r="F8" s="752"/>
      <c r="G8" s="752"/>
      <c r="H8" s="752"/>
      <c r="I8" s="752"/>
      <c r="J8" s="752"/>
      <c r="K8" s="767"/>
    </row>
    <row r="9" spans="1:11" ht="15">
      <c r="A9" s="191">
        <v>1989</v>
      </c>
      <c r="B9" s="601">
        <f>0.000002*'AX3'!D13</f>
        <v>8.0197999999999983</v>
      </c>
      <c r="C9" s="751"/>
      <c r="D9" s="199"/>
      <c r="E9" s="752"/>
      <c r="F9" s="752"/>
      <c r="G9" s="752"/>
      <c r="H9" s="752"/>
      <c r="I9" s="752"/>
      <c r="J9" s="752"/>
      <c r="K9" s="767"/>
    </row>
    <row r="10" spans="1:11" ht="15">
      <c r="A10" s="191">
        <v>1990</v>
      </c>
      <c r="B10" s="601">
        <f>0.000002*'AX3'!D14</f>
        <v>8.0879999999999992</v>
      </c>
      <c r="C10" s="751"/>
      <c r="D10" s="199"/>
      <c r="E10" s="752"/>
      <c r="F10" s="752"/>
      <c r="G10" s="752"/>
      <c r="H10" s="752"/>
      <c r="I10" s="752"/>
      <c r="J10" s="752"/>
      <c r="K10" s="767"/>
    </row>
    <row r="11" spans="1:11" ht="15">
      <c r="A11" s="191">
        <v>1991</v>
      </c>
      <c r="B11" s="601">
        <f>0.000002*'AX3'!D15</f>
        <v>8.2714000000000016</v>
      </c>
      <c r="C11" s="751">
        <f>(SUM('[16]1991_world'!$C$2:$C$9)+(B11-INT(B11))*'[16]1991_world'!$C$9)*'AX1'!FR40</f>
        <v>98.596163400000009</v>
      </c>
      <c r="D11" s="199">
        <f>C11/'A2.0'!B19</f>
        <v>0.17811354966247386</v>
      </c>
      <c r="E11" s="752"/>
      <c r="F11" s="752"/>
      <c r="G11" s="752"/>
      <c r="H11" s="752"/>
      <c r="I11" s="752"/>
      <c r="J11" s="752"/>
      <c r="K11" s="767"/>
    </row>
    <row r="12" spans="1:11" ht="15">
      <c r="A12" s="191">
        <v>1992</v>
      </c>
      <c r="B12" s="601">
        <f>0.000002*'AX3'!D16</f>
        <v>8.400599999999999</v>
      </c>
      <c r="C12" s="751"/>
      <c r="D12" s="199"/>
      <c r="E12" s="752"/>
      <c r="F12" s="752"/>
      <c r="G12" s="752"/>
      <c r="H12" s="752"/>
      <c r="I12" s="752"/>
      <c r="J12" s="752"/>
      <c r="K12" s="767"/>
    </row>
    <row r="13" spans="1:11" ht="15">
      <c r="A13" s="191">
        <v>1993</v>
      </c>
      <c r="B13" s="601">
        <f>0.000002*'AX3'!D17</f>
        <v>8.6128</v>
      </c>
      <c r="C13" s="751"/>
      <c r="D13" s="199"/>
      <c r="E13" s="752"/>
      <c r="F13" s="752"/>
      <c r="G13" s="752"/>
      <c r="H13" s="752"/>
      <c r="I13" s="752"/>
      <c r="J13" s="752"/>
      <c r="K13" s="767"/>
    </row>
    <row r="14" spans="1:11" ht="15">
      <c r="A14" s="191">
        <v>1994</v>
      </c>
      <c r="B14" s="601">
        <f>0.000002*'AX3'!D18</f>
        <v>8.8613999999999997</v>
      </c>
      <c r="C14" s="751"/>
      <c r="D14" s="765">
        <v>0.29599999999999999</v>
      </c>
      <c r="E14" s="496"/>
      <c r="F14" s="496"/>
      <c r="G14" s="496"/>
      <c r="H14" s="496"/>
      <c r="I14" s="496"/>
      <c r="J14" s="496"/>
      <c r="K14" s="759"/>
    </row>
    <row r="15" spans="1:11" ht="15">
      <c r="A15" s="191">
        <v>1995</v>
      </c>
      <c r="B15" s="601">
        <f>0.000002*'AX3'!D19</f>
        <v>9.0795999999999992</v>
      </c>
      <c r="C15" s="751"/>
      <c r="D15" s="765">
        <v>0.28699999999999998</v>
      </c>
      <c r="E15" s="496"/>
      <c r="F15" s="496"/>
      <c r="G15" s="496"/>
      <c r="H15" s="496"/>
      <c r="I15" s="496"/>
      <c r="J15" s="496"/>
      <c r="K15" s="759"/>
    </row>
    <row r="16" spans="1:11" ht="15">
      <c r="A16" s="191">
        <v>1996</v>
      </c>
      <c r="B16" s="601">
        <f>0.000002*'AX3'!D20</f>
        <v>9.5713999999999988</v>
      </c>
      <c r="C16" s="751">
        <f>(SUM('[16]1996_world'!$C$98:$C$106)+(B16-INT(B16))*'[16]1996_world'!$C$107)*'AX1'!FR45</f>
        <v>469.79567600000001</v>
      </c>
      <c r="D16" s="199">
        <f>C16/'A2.0'!B24</f>
        <v>0.47568949854834841</v>
      </c>
      <c r="E16" s="496"/>
      <c r="F16" s="496">
        <f>'AX8'!G6</f>
        <v>0.13726440000000001</v>
      </c>
      <c r="G16" s="496"/>
      <c r="H16" s="496"/>
      <c r="I16" s="496"/>
      <c r="J16" s="496"/>
      <c r="K16" s="759"/>
    </row>
    <row r="17" spans="1:12" ht="15">
      <c r="A17" s="191">
        <v>1997</v>
      </c>
      <c r="B17" s="601">
        <f>0.000002*'AX3'!D21</f>
        <v>9.7074000000000016</v>
      </c>
      <c r="C17" s="751"/>
      <c r="D17" s="199"/>
      <c r="E17" s="496"/>
      <c r="F17" s="496"/>
      <c r="G17" s="496"/>
      <c r="H17" s="496"/>
      <c r="I17" s="496"/>
      <c r="J17" s="496"/>
      <c r="K17" s="759"/>
    </row>
    <row r="18" spans="1:12" ht="15">
      <c r="A18" s="191">
        <v>1998</v>
      </c>
      <c r="B18" s="601">
        <f>0.000002*'AX3'!D22</f>
        <v>9.8381999999999969</v>
      </c>
      <c r="C18" s="751"/>
      <c r="D18" s="199"/>
      <c r="E18" s="496"/>
      <c r="F18" s="496"/>
      <c r="G18" s="496"/>
      <c r="H18" s="496"/>
      <c r="I18" s="496"/>
      <c r="J18" s="496"/>
      <c r="K18" s="759"/>
    </row>
    <row r="19" spans="1:12" ht="15">
      <c r="A19" s="191">
        <v>1999</v>
      </c>
      <c r="B19" s="601">
        <f>0.000002*'AX3'!D23</f>
        <v>9.9787999999999997</v>
      </c>
      <c r="C19" s="751">
        <f>(('[16]1999_world'!$C$13+'[16]1999_world'!$C$17+'[16]1999_world'!$C$23+'[16]1999_world'!$C$85+'[16]1999_world'!$C$108+'[16]1999_world'!$C$170+'[16]1999_world'!$C$197+'[16]1999_world'!$C$209+'[16]1999_world'!$C$213)+(B19-INT(B19))*'[16]1999_world'!$C$216)*'AX1'!FR48</f>
        <v>402.24125863999996</v>
      </c>
      <c r="D19" s="199">
        <f>C19/'A2.0'!B27</f>
        <v>0.39289500160867907</v>
      </c>
      <c r="E19" s="496"/>
      <c r="F19" s="496">
        <f>'AX8'!G9</f>
        <v>0.22581499999999999</v>
      </c>
      <c r="G19" s="496"/>
      <c r="H19" s="496"/>
      <c r="I19" s="496"/>
      <c r="J19" s="496"/>
      <c r="K19" s="759"/>
    </row>
    <row r="20" spans="1:12" ht="15">
      <c r="A20" s="191">
        <v>2000</v>
      </c>
      <c r="B20" s="601">
        <f>0.000002*'AX3'!D24</f>
        <v>10.155799999999999</v>
      </c>
      <c r="C20" s="751">
        <f>(('[16]2000_world'!$C$21+'[16]2000_world'!$C$27+'[16]2000_world'!$C$29+'[16]2000_world'!$C$89+'[16]2000_world'!$C$98+'[16]2000_world'!$C$133+'[16]2000_world'!$C$159+'[16]2000_world'!$C$175+'[16]2000_world'!$C$185+'[16]2000_world'!$C$221)+(B20-INT(B20))*'[16]2000_world'!$C$223)*'AX1'!FR49</f>
        <v>399.78231023999996</v>
      </c>
      <c r="D20" s="199">
        <f>C20/'A2.0'!B28</f>
        <v>0.36354253470240627</v>
      </c>
      <c r="E20" s="496"/>
      <c r="F20" s="496">
        <f>'AX8'!G10</f>
        <v>0.20066349999999999</v>
      </c>
      <c r="G20" s="496"/>
      <c r="H20" s="496"/>
      <c r="I20" s="496"/>
      <c r="J20" s="496"/>
      <c r="K20" s="759"/>
      <c r="L20" s="753"/>
    </row>
    <row r="21" spans="1:12" ht="15">
      <c r="A21" s="191">
        <v>2001</v>
      </c>
      <c r="B21" s="601">
        <f>0.000002*'AX3'!D25</f>
        <v>10.339599999999999</v>
      </c>
      <c r="C21" s="751">
        <f>('[16]2001_world'!$C$540+(B21-INT(B21))*'[16]2001_world'!$C$464)*'AX1'!FR50</f>
        <v>363.91374732000008</v>
      </c>
      <c r="D21" s="199">
        <f>C21/'A2.0'!B29</f>
        <v>0.3297281435393678</v>
      </c>
      <c r="E21" s="496"/>
      <c r="F21" s="496">
        <f>'AX8'!G11</f>
        <v>0.1964274</v>
      </c>
      <c r="G21" s="496"/>
      <c r="H21" s="496"/>
      <c r="I21" s="496"/>
      <c r="J21" s="496"/>
      <c r="K21" s="759"/>
      <c r="L21" s="753"/>
    </row>
    <row r="22" spans="1:12" ht="15">
      <c r="A22" s="191">
        <v>2002</v>
      </c>
      <c r="B22" s="601">
        <f>0.000002*'AX3'!D26</f>
        <v>10.464</v>
      </c>
      <c r="C22" s="751">
        <f>('[16]2002_world'!$C$476+(B22-INT(B22))*'[16]2002_world'!$C$470)*'AX1'!FR51</f>
        <v>303.06147199999998</v>
      </c>
      <c r="D22" s="199">
        <f>C22/'A2.0'!B30</f>
        <v>0.28579787699887876</v>
      </c>
      <c r="E22" s="496"/>
      <c r="F22" s="496">
        <f>'AX8'!G12</f>
        <v>0.15497</v>
      </c>
      <c r="G22" s="496"/>
      <c r="H22" s="496"/>
      <c r="I22" s="496"/>
      <c r="J22" s="496"/>
      <c r="K22" s="759"/>
      <c r="L22" s="753"/>
    </row>
    <row r="23" spans="1:12" ht="15">
      <c r="A23" s="191">
        <v>2003</v>
      </c>
      <c r="B23" s="601">
        <f>0.000002*'AX3'!D27</f>
        <v>10.522</v>
      </c>
      <c r="C23" s="751">
        <f>('[16]2003_world'!$D$478+(B23-INT(B23))*'[16]2003_world'!$D$452)*'AX1'!FR52</f>
        <v>254.02088600000002</v>
      </c>
      <c r="D23" s="199">
        <f>C23/'A2.0'!B31</f>
        <v>0.238842204050837</v>
      </c>
      <c r="E23" s="496"/>
      <c r="F23" s="496"/>
      <c r="G23" s="496"/>
      <c r="H23" s="496"/>
      <c r="I23" s="496"/>
      <c r="J23" s="496"/>
      <c r="K23" s="759"/>
      <c r="L23" s="753"/>
    </row>
    <row r="24" spans="1:12" ht="15">
      <c r="A24" s="191">
        <v>2004</v>
      </c>
      <c r="B24" s="601">
        <f>0.000002*'AX3'!D28</f>
        <v>10.684999999999999</v>
      </c>
      <c r="C24" s="751">
        <f>('[16]2004_world'!$D$595+(B24-INT(B24))*'[16]2004_world'!$D$415)*'AX1'!FR53</f>
        <v>366.59048649999988</v>
      </c>
      <c r="D24" s="199">
        <f>C24/'A2.0'!B32</f>
        <v>0.329522559042353</v>
      </c>
      <c r="E24" s="496"/>
      <c r="F24" s="496"/>
      <c r="G24" s="496"/>
      <c r="H24" s="496"/>
      <c r="I24" s="496"/>
      <c r="J24" s="496"/>
      <c r="K24" s="759"/>
      <c r="L24" s="753"/>
    </row>
    <row r="25" spans="1:12" ht="15">
      <c r="A25" s="191">
        <v>2005</v>
      </c>
      <c r="B25" s="601">
        <f>0.000002*'AX3'!D29</f>
        <v>10.8202</v>
      </c>
      <c r="C25" s="751">
        <f>('[16]2005_world'!$D$693+(B25-INT(B25))*'[16]2005_world'!$D$132)*'AX1'!FR54</f>
        <v>449.95820100000014</v>
      </c>
      <c r="D25" s="199">
        <f>C25/'A2.0'!B33</f>
        <v>0.38423286371470733</v>
      </c>
      <c r="E25" s="496"/>
      <c r="F25" s="496"/>
      <c r="G25" s="496"/>
      <c r="H25" s="496"/>
      <c r="I25" s="496"/>
      <c r="J25" s="496"/>
      <c r="K25" s="759"/>
      <c r="L25" s="753"/>
    </row>
    <row r="26" spans="1:12" ht="15">
      <c r="A26" s="191">
        <v>2006</v>
      </c>
      <c r="B26" s="601">
        <f>0.000002*'AX3'!D30</f>
        <v>10.963400000000002</v>
      </c>
      <c r="C26" s="751">
        <f>('[16]2006_world'!$E$795+(B26-INT(B26))*'[16]2006_world'!$E$150)*'AX1'!FR55</f>
        <v>561.44189259000007</v>
      </c>
      <c r="D26" s="199">
        <f>C26/'A2.0'!B34</f>
        <v>0.43818499186437587</v>
      </c>
      <c r="E26" s="496"/>
      <c r="F26" s="496"/>
      <c r="G26" s="496"/>
      <c r="H26" s="496"/>
      <c r="I26" s="496"/>
      <c r="J26" s="496"/>
      <c r="K26" s="759"/>
      <c r="L26" s="753"/>
    </row>
    <row r="27" spans="1:12" ht="15">
      <c r="A27" s="191">
        <v>2007</v>
      </c>
      <c r="B27" s="601">
        <f>0.000002*'AX3'!D31</f>
        <v>11.113799999999999</v>
      </c>
      <c r="C27" s="751">
        <f>('[16]2007_World'!$E$950+(B27-INT(B27))*'[16]2007_World'!$E$359)*'AX1'!FR56</f>
        <v>738.76990781999984</v>
      </c>
      <c r="D27" s="199">
        <f>C27/'A2.0'!B35</f>
        <v>0.52419070169331705</v>
      </c>
      <c r="E27" s="496"/>
      <c r="F27" s="496"/>
      <c r="G27" s="496"/>
      <c r="H27" s="496"/>
      <c r="I27" s="496"/>
      <c r="J27" s="496">
        <f>'AX8'!C17</f>
        <v>0.18922530000000001</v>
      </c>
      <c r="K27" s="759"/>
      <c r="L27" s="753"/>
    </row>
    <row r="28" spans="1:12" ht="15">
      <c r="A28" s="191">
        <v>2008</v>
      </c>
      <c r="B28" s="601">
        <f>0.000002*'AX3'!D32</f>
        <v>11.241</v>
      </c>
      <c r="C28" s="751">
        <f>('[16]2008_world'!$E$1127+(B28-INT(B28))*'[16]2008_world'!$E$211)*'AX1'!FR57</f>
        <v>825.60651150000012</v>
      </c>
      <c r="D28" s="199">
        <f>C28/'A2.0'!B36</f>
        <v>0.56652975270363637</v>
      </c>
      <c r="E28" s="496">
        <f>'AX8'!H18</f>
        <v>0.1255571</v>
      </c>
      <c r="F28" s="496"/>
      <c r="G28" s="496"/>
      <c r="H28" s="496"/>
      <c r="I28" s="496"/>
      <c r="J28" s="496"/>
      <c r="K28" s="759"/>
      <c r="L28" s="753"/>
    </row>
    <row r="29" spans="1:12" ht="15">
      <c r="A29" s="191">
        <v>2009</v>
      </c>
      <c r="B29" s="601">
        <f>0.000002*'AX3'!D33</f>
        <v>11.3558</v>
      </c>
      <c r="C29" s="751">
        <f>(SUM('[16]2009'!$C$2:$C$12)+(B29-INT(B29))*'[16]2009'!$C$13)*'AX1'!FR58</f>
        <v>453.84627604000002</v>
      </c>
      <c r="D29" s="199">
        <f>C29/'A2.0'!B37</f>
        <v>0.33354977928208823</v>
      </c>
      <c r="E29" s="496"/>
      <c r="F29" s="496"/>
      <c r="G29" s="496"/>
      <c r="H29" s="496"/>
      <c r="I29" s="496"/>
      <c r="J29" s="496">
        <f>'AX8'!C19</f>
        <v>0.11785470000000001</v>
      </c>
      <c r="K29" s="759"/>
      <c r="L29" s="753"/>
    </row>
    <row r="30" spans="1:12" ht="15">
      <c r="A30" s="191">
        <v>2010</v>
      </c>
      <c r="B30" s="601">
        <f>0.000002*'AX3'!D34</f>
        <v>11.504</v>
      </c>
      <c r="C30" s="751">
        <f>(SUM('[16]2010'!$C$2:$C$12)+(B30-INT(B30))*'[16]2010'!$C$13)*'AX1'!FR59</f>
        <v>721.47670980000009</v>
      </c>
      <c r="D30" s="199">
        <f>C30/'A2.0'!B38</f>
        <v>0.48261569066488447</v>
      </c>
      <c r="E30" s="496"/>
      <c r="F30" s="496"/>
      <c r="G30" s="496"/>
      <c r="H30" s="496"/>
      <c r="I30" s="496"/>
      <c r="J30" s="496">
        <f>'AX8'!C20</f>
        <v>0.14405519999999999</v>
      </c>
      <c r="K30" s="759"/>
      <c r="L30" s="753"/>
    </row>
    <row r="31" spans="1:12" ht="15">
      <c r="A31" s="191">
        <v>2011</v>
      </c>
      <c r="B31" s="601">
        <f>0.000002*'AX3'!D35</f>
        <v>11.648800000000001</v>
      </c>
      <c r="C31" s="751">
        <f>(SUM('[16]2011'!$C$2:$C$12)+(B31-INT(B31))*'[16]2011'!$C$13)*'AX1'!FR60</f>
        <v>874.94509740000001</v>
      </c>
      <c r="D31" s="199">
        <f>C31/'A2.0'!B39</f>
        <v>0.52885008823662571</v>
      </c>
      <c r="E31" s="496"/>
      <c r="F31" s="496"/>
      <c r="G31" s="496"/>
      <c r="H31" s="496"/>
      <c r="I31" s="496"/>
      <c r="J31" s="496">
        <f>'AX8'!C21</f>
        <v>0.18415039999999999</v>
      </c>
      <c r="K31" s="759"/>
      <c r="L31" s="753"/>
    </row>
    <row r="32" spans="1:12" ht="15">
      <c r="A32" s="191">
        <v>2012</v>
      </c>
      <c r="B32" s="601">
        <f>0.000002*'AX3'!D36</f>
        <v>11.834999999999999</v>
      </c>
      <c r="C32" s="751">
        <f>(SUM('[16]2012'!$C$2:$C$12)+(B32-INT(B32))*'[16]2012'!$C$13)*'AX1'!FR61</f>
        <v>832.05880275000015</v>
      </c>
      <c r="D32" s="199">
        <f>C32/'A2.0'!B40</f>
        <v>0.48265956306033125</v>
      </c>
      <c r="E32" s="496"/>
      <c r="F32" s="496"/>
      <c r="G32" s="496"/>
      <c r="H32" s="496"/>
      <c r="I32" s="496"/>
      <c r="J32" s="496">
        <f>'AX8'!C22</f>
        <v>0.18033360000000001</v>
      </c>
      <c r="K32" s="759"/>
      <c r="L32" s="753"/>
    </row>
    <row r="33" spans="1:12" ht="15">
      <c r="A33" s="191">
        <v>2013</v>
      </c>
      <c r="B33" s="601">
        <f>0.000002*'AX3'!D37</f>
        <v>11.9534</v>
      </c>
      <c r="C33" s="751">
        <f>(SUM('[16]2013'!$C$2:$C$12)+(B33-INT(B33))*'[16]2013'!$C$13)*'AX1'!FR62</f>
        <v>1064.0663041500002</v>
      </c>
      <c r="D33" s="199">
        <f>C33/'A2.0'!B41</f>
        <v>0.58934439052769416</v>
      </c>
      <c r="E33" s="496"/>
      <c r="F33" s="496">
        <f>'AX8'!G23</f>
        <v>9.1176699999999999E-2</v>
      </c>
      <c r="G33" s="496"/>
      <c r="H33" s="496"/>
      <c r="I33" s="496">
        <f>'AX8'!E23</f>
        <v>0.11640159999999999</v>
      </c>
      <c r="J33" s="496">
        <f>'AX8'!C23</f>
        <v>0.15951419999999999</v>
      </c>
      <c r="K33" s="759"/>
      <c r="L33" s="753"/>
    </row>
    <row r="34" spans="1:12" ht="15">
      <c r="A34" s="191">
        <v>2014</v>
      </c>
      <c r="B34" s="601">
        <f>0.000002*'AX3'!D38</f>
        <v>12.078999999999999</v>
      </c>
      <c r="C34" s="751">
        <f>(SUM('[16]2014'!$C$2:$C$13)+(B34-INT(B34))*'[16]2014'!$C$14)*'AX1'!FR63</f>
        <v>1156.8158088499999</v>
      </c>
      <c r="D34" s="199">
        <f>C34/'A2.0'!B42</f>
        <v>0.60852365203797842</v>
      </c>
      <c r="E34" s="496">
        <f>'AX8'!H24</f>
        <v>0.1498496</v>
      </c>
      <c r="F34" s="496">
        <f>'AX8'!G24</f>
        <v>0.1230567</v>
      </c>
      <c r="G34" s="496">
        <f>'AX8'!F24</f>
        <v>0.2202846</v>
      </c>
      <c r="H34" s="496">
        <f>'AX8'!D24</f>
        <v>4.63907E-2</v>
      </c>
      <c r="I34" s="496">
        <f>'AX8'!E24</f>
        <v>0.12802930000000001</v>
      </c>
      <c r="J34" s="496">
        <f>'AX8'!C24</f>
        <v>0.16472709999999999</v>
      </c>
      <c r="K34" s="759"/>
      <c r="L34" s="753"/>
    </row>
    <row r="35" spans="1:12" ht="15">
      <c r="A35" s="191">
        <v>2015</v>
      </c>
      <c r="B35" s="601">
        <f>0.000002*'AX3'!D39</f>
        <v>12.205</v>
      </c>
      <c r="C35" s="751">
        <f>(SUM('[16]2015'!$C$2:$C$13)+(B35-INT(B35))*'[16]2015'!$C$14)*'AX1'!FR64</f>
        <v>1200.4981964999999</v>
      </c>
      <c r="D35" s="199">
        <f>C35/'A2.0'!B43</f>
        <v>0.60132554150367945</v>
      </c>
      <c r="E35" s="496">
        <f>'AX8'!H25</f>
        <v>0.1579448</v>
      </c>
      <c r="F35" s="496">
        <f>'AX8'!G25</f>
        <v>0.13113279999999999</v>
      </c>
      <c r="G35" s="496">
        <f>'AX8'!F25</f>
        <v>0.24059459999999999</v>
      </c>
      <c r="H35" s="496">
        <f>'AX8'!D25</f>
        <v>6.6070900000000002E-2</v>
      </c>
      <c r="I35" s="496">
        <f>'AX8'!E25</f>
        <v>0.16161900000000001</v>
      </c>
      <c r="J35" s="496">
        <f>'AX8'!C25</f>
        <v>0.18347169999999999</v>
      </c>
      <c r="K35" s="759"/>
      <c r="L35" s="753"/>
    </row>
    <row r="36" spans="1:12" ht="15">
      <c r="A36" s="626">
        <v>2016</v>
      </c>
      <c r="B36" s="601">
        <f>0.000002*'AX3'!D40</f>
        <v>12.330400000000001</v>
      </c>
      <c r="C36" s="751">
        <f>(SUM('[16]2016'!$C$2:$C$13)+(B36-INT(B36))*'[16]2016'!$C$14)*'AX1'!FR65</f>
        <v>1191.4107844800001</v>
      </c>
      <c r="D36" s="199">
        <f>C36/'A2.0'!B44</f>
        <v>0.56975893997375071</v>
      </c>
      <c r="E36" s="496">
        <f>'AX8'!H26</f>
        <v>0.1427388</v>
      </c>
      <c r="F36" s="496">
        <f>'AX8'!G26</f>
        <v>0.120599</v>
      </c>
      <c r="G36" s="496">
        <f>'AX8'!F26</f>
        <v>0.22324260000000001</v>
      </c>
      <c r="H36" s="496">
        <f>'AX8'!D26</f>
        <v>5.80904E-2</v>
      </c>
      <c r="I36" s="496">
        <f>'AX8'!E26</f>
        <v>0.13623450000000001</v>
      </c>
      <c r="J36" s="496">
        <f>'AX8'!C26</f>
        <v>0.15369389999999999</v>
      </c>
      <c r="K36" s="759">
        <f>K37+0.005</f>
        <v>0.20387040000000001</v>
      </c>
      <c r="L36" s="753"/>
    </row>
    <row r="37" spans="1:12" ht="15">
      <c r="A37" s="626">
        <v>2017</v>
      </c>
      <c r="B37" s="601">
        <f>0.000002*'AX3'!D41</f>
        <v>12.462199999999999</v>
      </c>
      <c r="C37" s="751">
        <f>(SUM('[16]2017'!$C$2:$C$13)+(B37-INT(B37))*'[16]2017'!$C$14)*'AX1'!FR66</f>
        <v>1539.3916001999999</v>
      </c>
      <c r="D37" s="199">
        <f>C37/'A2.0'!B45</f>
        <v>0.64495957708578255</v>
      </c>
      <c r="E37" s="496">
        <f>'AX8'!H27</f>
        <v>0.1559429</v>
      </c>
      <c r="F37" s="496">
        <f>'AX8'!G27</f>
        <v>0.12754850000000001</v>
      </c>
      <c r="G37" s="496">
        <f>'AX8'!F27</f>
        <v>0.21115639999999999</v>
      </c>
      <c r="H37" s="496">
        <f>'AX8'!D27</f>
        <v>7.3459499999999997E-2</v>
      </c>
      <c r="I37" s="496">
        <f>'AX8'!E27</f>
        <v>0.15384999999999999</v>
      </c>
      <c r="J37" s="496">
        <f>'AX8'!C27</f>
        <v>0.1516603</v>
      </c>
      <c r="K37" s="759">
        <f>'AX8'!B27</f>
        <v>0.1988704</v>
      </c>
      <c r="L37" s="753"/>
    </row>
    <row r="38" spans="1:12" ht="15">
      <c r="A38" s="626">
        <v>2018</v>
      </c>
      <c r="B38" s="601">
        <f>0.000002*'AX3'!D42</f>
        <v>12.58</v>
      </c>
      <c r="C38" s="751">
        <f>(SUM('[16]2018'!$C$2:$C$13)+(B38-INT(B38))*'[16]2018'!$C$14)*'AX1'!FR67</f>
        <v>1549.3301799999997</v>
      </c>
      <c r="D38" s="199">
        <f>C38/'A2.0'!B46</f>
        <v>0.61106243091313484</v>
      </c>
      <c r="E38" s="496"/>
      <c r="F38" s="496"/>
      <c r="G38" s="496"/>
      <c r="H38" s="496"/>
      <c r="I38" s="496"/>
      <c r="J38" s="496"/>
      <c r="K38" s="759"/>
      <c r="L38" s="753"/>
    </row>
    <row r="39" spans="1:12" ht="15">
      <c r="A39" s="626">
        <v>2019</v>
      </c>
      <c r="B39" s="601">
        <f>0.000002*'AX3'!D43</f>
        <v>12.6938</v>
      </c>
      <c r="C39" s="751">
        <f>'[16]2019'!$G$3*'AX1'!FR68</f>
        <v>1366.6730090000001</v>
      </c>
      <c r="D39" s="199">
        <f>C39/'A2.0'!B47</f>
        <v>0.53723969344080647</v>
      </c>
      <c r="E39" s="496"/>
      <c r="F39" s="496"/>
      <c r="G39" s="496"/>
      <c r="H39" s="496"/>
      <c r="I39" s="496"/>
      <c r="J39" s="496"/>
      <c r="K39" s="759"/>
    </row>
    <row r="40" spans="1:12" ht="15.75" thickBot="1">
      <c r="A40" s="200">
        <v>2020</v>
      </c>
      <c r="B40" s="602">
        <f>0.000002*'AX3'!D44</f>
        <v>12.7202</v>
      </c>
      <c r="C40" s="923">
        <f>'[16]2020'!$G$2030*'AX1'!FR69</f>
        <v>1295.8759689922481</v>
      </c>
      <c r="D40" s="203">
        <f>C40/'A2.0'!B48</f>
        <v>0.54796716130510126</v>
      </c>
      <c r="E40" s="600">
        <f>'AX8'!H30</f>
        <v>0.15898276095434816</v>
      </c>
      <c r="F40" s="600">
        <f>'AX8'!G30</f>
        <v>0.10339003657295714</v>
      </c>
      <c r="G40" s="600">
        <f>'AX8'!F30</f>
        <v>0.19797223044882059</v>
      </c>
      <c r="H40" s="600">
        <f>'AX8'!D30</f>
        <v>6.0015387202441102E-2</v>
      </c>
      <c r="I40" s="600">
        <f>'AX8'!E30</f>
        <v>0.22220155168682487</v>
      </c>
      <c r="J40" s="600">
        <f>'AX8'!C30</f>
        <v>0.13032794618805196</v>
      </c>
      <c r="K40" s="761">
        <f>'AX8'!B30</f>
        <v>0.16906951115790317</v>
      </c>
    </row>
    <row r="41" spans="1:12" ht="15.75" thickTop="1">
      <c r="A41" s="899"/>
      <c r="B41" s="228"/>
      <c r="C41" s="228"/>
      <c r="D41" s="749"/>
    </row>
  </sheetData>
  <mergeCells count="1">
    <mergeCell ref="B4:D4"/>
  </mergeCells>
  <phoneticPr fontId="11" type="noConversion"/>
  <pageMargins left="0.7" right="0.7" top="0.75" bottom="0.75" header="0.3" footer="0.3"/>
  <pageSetup orientation="portrait" horizontalDpi="4294967293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8D8A-DFD3-486A-B0F8-B07EF7CD88C3}">
  <sheetPr>
    <tabColor theme="1"/>
  </sheetPr>
  <dimension ref="A1:GX76"/>
  <sheetViews>
    <sheetView topLeftCell="B1" zoomScale="115" zoomScaleNormal="115" workbookViewId="0">
      <pane xSplit="1" ySplit="9" topLeftCell="EW37" activePane="bottomRight" state="frozen"/>
      <selection activeCell="H34" sqref="H34"/>
      <selection pane="topRight" activeCell="H34" sqref="H34"/>
      <selection pane="bottomLeft" activeCell="H34" sqref="H34"/>
      <selection pane="bottomRight" activeCell="FZ6" sqref="FZ6"/>
    </sheetView>
  </sheetViews>
  <sheetFormatPr defaultColWidth="10.625" defaultRowHeight="15.75"/>
  <cols>
    <col min="1" max="3" width="10.625" style="4"/>
    <col min="4" max="4" width="10.625" style="53"/>
    <col min="5" max="7" width="10.625" style="47"/>
    <col min="8" max="8" width="13.5" style="5" bestFit="1" customWidth="1"/>
    <col min="9" max="10" width="10.625" style="5"/>
    <col min="11" max="11" width="12.25" style="5" bestFit="1" customWidth="1"/>
    <col min="12" max="18" width="10.625" style="5"/>
    <col min="19" max="29" width="9.125" style="5" customWidth="1"/>
    <col min="30" max="31" width="9.125" style="47" customWidth="1"/>
    <col min="32" max="34" width="9.125" style="5" customWidth="1"/>
    <col min="35" max="36" width="9.125" style="784" customWidth="1"/>
    <col min="37" max="40" width="9.125" style="5" customWidth="1"/>
    <col min="41" max="41" width="1.625" style="88" customWidth="1"/>
    <col min="42" max="42" width="10.625" style="7" customWidth="1"/>
    <col min="43" max="45" width="10.625" style="7"/>
    <col min="46" max="46" width="10.625" style="150"/>
    <col min="47" max="51" width="10.625" style="7"/>
    <col min="52" max="52" width="10.625" style="5"/>
    <col min="53" max="53" width="10.625" style="7"/>
    <col min="54" max="66" width="10.625" style="4"/>
    <col min="67" max="67" width="1.625" style="8" customWidth="1"/>
    <col min="68" max="90" width="10.625" style="5"/>
    <col min="91" max="91" width="1.625" style="29" customWidth="1"/>
    <col min="92" max="93" width="10.625" style="5"/>
    <col min="94" max="96" width="10.625" style="4"/>
    <col min="97" max="97" width="10.625" style="119"/>
    <col min="98" max="110" width="10.625" style="4"/>
    <col min="111" max="111" width="1.625" style="8" hidden="1" customWidth="1"/>
    <col min="112" max="113" width="10.625" style="5" hidden="1" customWidth="1"/>
    <col min="114" max="130" width="10.625" style="4" hidden="1" customWidth="1"/>
    <col min="131" max="131" width="1.625" style="8" hidden="1" customWidth="1"/>
    <col min="132" max="133" width="10.625" style="5" hidden="1" customWidth="1"/>
    <col min="134" max="150" width="10.625" style="4" hidden="1" customWidth="1"/>
    <col min="151" max="151" width="1.625" style="8" customWidth="1"/>
    <col min="152" max="172" width="10.625" style="4"/>
    <col min="173" max="173" width="1.625" style="8" customWidth="1"/>
    <col min="174" max="183" width="10.625" style="4"/>
    <col min="184" max="185" width="10.25" style="4" customWidth="1"/>
    <col min="186" max="186" width="10.625" style="4"/>
    <col min="187" max="187" width="10.625" style="4" customWidth="1"/>
    <col min="188" max="188" width="10.625" style="808" customWidth="1"/>
    <col min="189" max="189" width="10.625" style="53" customWidth="1"/>
    <col min="190" max="196" width="10.625" style="4" customWidth="1"/>
    <col min="197" max="197" width="2.625" style="8" customWidth="1"/>
    <col min="198" max="199" width="10.625" style="4"/>
    <col min="200" max="200" width="11.125" style="4" customWidth="1"/>
    <col min="201" max="16384" width="10.625" style="4"/>
  </cols>
  <sheetData>
    <row r="1" spans="1:197">
      <c r="B1" s="33" t="s">
        <v>1019</v>
      </c>
      <c r="C1" s="33"/>
      <c r="D1" s="46"/>
    </row>
    <row r="2" spans="1:197" ht="32.25" customHeight="1">
      <c r="B2" s="86" t="s">
        <v>1551</v>
      </c>
      <c r="C2" s="77"/>
      <c r="D2" s="77"/>
      <c r="E2" s="77"/>
      <c r="F2" s="85"/>
      <c r="G2" s="85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8"/>
      <c r="AE2" s="778"/>
      <c r="AF2" s="77"/>
      <c r="AG2" s="77"/>
      <c r="AH2" s="77"/>
      <c r="AI2" s="785"/>
      <c r="AJ2" s="785"/>
      <c r="AK2" s="77"/>
      <c r="AL2" s="77"/>
      <c r="AM2" s="77"/>
      <c r="AN2" s="77"/>
      <c r="AO2" s="89"/>
    </row>
    <row r="3" spans="1:197" s="78" customFormat="1">
      <c r="B3" s="79"/>
      <c r="C3" s="79"/>
      <c r="D3" s="80"/>
      <c r="E3" s="81"/>
      <c r="F3" s="81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1"/>
      <c r="AE3" s="81"/>
      <c r="AF3" s="82"/>
      <c r="AG3" s="82"/>
      <c r="AH3" s="82"/>
      <c r="AI3" s="786"/>
      <c r="AJ3" s="786"/>
      <c r="AK3" s="82"/>
      <c r="AL3" s="82"/>
      <c r="AM3" s="82"/>
      <c r="AN3" s="82"/>
      <c r="AO3" s="90"/>
      <c r="AP3" s="83"/>
      <c r="AQ3" s="83"/>
      <c r="AR3" s="83"/>
      <c r="AS3" s="83"/>
      <c r="AT3" s="151"/>
      <c r="AU3" s="83"/>
      <c r="AV3" s="83"/>
      <c r="AW3" s="83"/>
      <c r="AX3" s="83"/>
      <c r="AY3" s="83"/>
      <c r="AZ3" s="84"/>
      <c r="BA3" s="83"/>
      <c r="BO3" s="105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113"/>
      <c r="CN3" s="84"/>
      <c r="CO3" s="84"/>
      <c r="CS3" s="120"/>
      <c r="DG3" s="105"/>
      <c r="DH3" s="84"/>
      <c r="DI3" s="84"/>
      <c r="EA3" s="105"/>
      <c r="EB3" s="84"/>
      <c r="EC3" s="84"/>
      <c r="EU3" s="105"/>
      <c r="FQ3" s="105"/>
      <c r="GF3" s="809"/>
      <c r="GG3" s="818"/>
      <c r="GO3" s="105"/>
    </row>
    <row r="4" spans="1:197" s="8" customFormat="1">
      <c r="B4" s="32" t="s">
        <v>1018</v>
      </c>
      <c r="C4" s="76" t="s">
        <v>1059</v>
      </c>
      <c r="D4" s="48"/>
      <c r="E4" s="49"/>
      <c r="F4" s="49"/>
      <c r="G4" s="49"/>
      <c r="H4" s="3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779"/>
      <c r="AE4" s="779"/>
      <c r="AF4" s="30"/>
      <c r="AG4" s="30"/>
      <c r="AH4" s="30"/>
      <c r="AI4" s="783"/>
      <c r="AJ4" s="783"/>
      <c r="AK4" s="30"/>
      <c r="AL4" s="30"/>
      <c r="AM4" s="30"/>
      <c r="AN4" s="30"/>
      <c r="AO4" s="87"/>
      <c r="AP4" s="28" t="s">
        <v>1143</v>
      </c>
      <c r="AQ4" s="6"/>
      <c r="AR4" s="6"/>
      <c r="AS4" s="6"/>
      <c r="AT4" s="152"/>
      <c r="AU4" s="6"/>
      <c r="AV4" s="6"/>
      <c r="AW4" s="6"/>
      <c r="AX4" s="6"/>
      <c r="AY4" s="6"/>
      <c r="AZ4" s="29"/>
      <c r="BA4" s="6"/>
      <c r="BP4" s="27" t="s">
        <v>1112</v>
      </c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118" t="s">
        <v>1127</v>
      </c>
      <c r="CO4" s="29"/>
      <c r="CS4" s="121"/>
      <c r="DH4" s="118" t="s">
        <v>1118</v>
      </c>
      <c r="DI4" s="29"/>
      <c r="EB4" s="118" t="s">
        <v>1126</v>
      </c>
      <c r="EC4" s="29"/>
      <c r="EV4" s="117" t="s">
        <v>1128</v>
      </c>
      <c r="FR4" s="117" t="s">
        <v>1253</v>
      </c>
      <c r="GF4" s="810"/>
      <c r="GG4" s="819"/>
    </row>
    <row r="5" spans="1:197">
      <c r="B5" s="26" t="s">
        <v>1017</v>
      </c>
      <c r="C5" s="1182" t="s">
        <v>1061</v>
      </c>
      <c r="D5" s="1182"/>
      <c r="E5" s="1182"/>
      <c r="F5" s="1182"/>
      <c r="G5" s="1182"/>
      <c r="H5" s="1184"/>
      <c r="I5" s="1180" t="s">
        <v>1060</v>
      </c>
      <c r="J5" s="1179"/>
      <c r="K5" s="1179"/>
      <c r="L5" s="1181"/>
      <c r="M5" s="1180" t="s">
        <v>1062</v>
      </c>
      <c r="N5" s="1179"/>
      <c r="O5" s="1179"/>
      <c r="P5" s="1179"/>
      <c r="Q5" s="1179"/>
      <c r="R5" s="1179"/>
      <c r="S5" s="1181"/>
      <c r="T5" s="1180" t="s">
        <v>1067</v>
      </c>
      <c r="U5" s="1179"/>
      <c r="V5" s="1179"/>
      <c r="W5" s="1179"/>
      <c r="X5" s="1180" t="s">
        <v>1072</v>
      </c>
      <c r="Y5" s="1179"/>
      <c r="Z5" s="1179"/>
      <c r="AA5" s="1179"/>
      <c r="AB5" s="1179"/>
      <c r="AC5" s="1179"/>
      <c r="AD5" s="1179"/>
      <c r="AE5" s="1181"/>
      <c r="AF5" s="1179" t="s">
        <v>1074</v>
      </c>
      <c r="AG5" s="1183"/>
      <c r="AH5" s="1183"/>
      <c r="AI5" s="1183"/>
      <c r="AJ5" s="1183"/>
      <c r="AK5" s="1183"/>
      <c r="AL5" s="1183"/>
      <c r="AM5" s="1183"/>
      <c r="AN5" s="1183"/>
      <c r="AO5" s="91"/>
      <c r="AP5" s="1182" t="s">
        <v>1061</v>
      </c>
      <c r="AQ5" s="1182"/>
      <c r="AR5" s="1182"/>
      <c r="AS5" s="1180" t="s">
        <v>1060</v>
      </c>
      <c r="AT5" s="1179"/>
      <c r="AU5" s="1179"/>
      <c r="AV5" s="1179"/>
      <c r="AW5" s="1179"/>
      <c r="AX5" s="1181"/>
      <c r="AY5" s="1179" t="s">
        <v>1062</v>
      </c>
      <c r="AZ5" s="1179"/>
      <c r="BA5" s="1179"/>
      <c r="BB5" s="1179"/>
      <c r="BC5" s="1179"/>
      <c r="BD5" s="1179"/>
      <c r="BE5" s="1180" t="s">
        <v>1067</v>
      </c>
      <c r="BF5" s="1179"/>
      <c r="BG5" s="1179"/>
      <c r="BH5" s="1179"/>
      <c r="BI5" s="1179"/>
      <c r="BJ5" s="1179"/>
      <c r="BK5" s="1181"/>
      <c r="BL5" s="1179" t="s">
        <v>1072</v>
      </c>
      <c r="BM5" s="1179"/>
      <c r="BN5" s="1181"/>
      <c r="BP5" s="1179" t="s">
        <v>1061</v>
      </c>
      <c r="BQ5" s="1179"/>
      <c r="BR5" s="1179"/>
      <c r="BS5" s="1180" t="s">
        <v>1060</v>
      </c>
      <c r="BT5" s="1179"/>
      <c r="BU5" s="1179"/>
      <c r="BV5" s="1181"/>
      <c r="BW5" s="1179" t="s">
        <v>1062</v>
      </c>
      <c r="BX5" s="1179"/>
      <c r="BY5" s="1179"/>
      <c r="BZ5" s="1179"/>
      <c r="CA5" s="1179"/>
      <c r="CB5" s="1179"/>
      <c r="CC5" s="1180" t="s">
        <v>1067</v>
      </c>
      <c r="CD5" s="1179"/>
      <c r="CE5" s="1179"/>
      <c r="CF5" s="1179"/>
      <c r="CG5" s="1179"/>
      <c r="CH5" s="1179"/>
      <c r="CI5" s="1179"/>
      <c r="CJ5" s="1180" t="s">
        <v>1072</v>
      </c>
      <c r="CK5" s="1179"/>
      <c r="CL5" s="1181"/>
      <c r="CN5" s="1179" t="s">
        <v>1061</v>
      </c>
      <c r="CO5" s="1179"/>
      <c r="CP5" s="1179"/>
      <c r="CQ5" s="1180" t="s">
        <v>1060</v>
      </c>
      <c r="CR5" s="1179"/>
      <c r="CS5" s="1179"/>
      <c r="CT5" s="1181"/>
      <c r="CU5" s="1179" t="s">
        <v>1062</v>
      </c>
      <c r="CV5" s="1179"/>
      <c r="CW5" s="1179"/>
      <c r="CX5" s="1179"/>
      <c r="CY5" s="1179"/>
      <c r="CZ5" s="1180" t="s">
        <v>1067</v>
      </c>
      <c r="DA5" s="1179"/>
      <c r="DB5" s="1179"/>
      <c r="DC5" s="1179"/>
      <c r="DD5" s="1181"/>
      <c r="DE5" s="1180" t="s">
        <v>1072</v>
      </c>
      <c r="DF5" s="1181"/>
      <c r="DH5" s="1179" t="s">
        <v>1061</v>
      </c>
      <c r="DI5" s="1179"/>
      <c r="DJ5" s="1179"/>
      <c r="DK5" s="1180" t="s">
        <v>1060</v>
      </c>
      <c r="DL5" s="1179"/>
      <c r="DM5" s="1179"/>
      <c r="DN5" s="1181"/>
      <c r="DO5" s="1179" t="s">
        <v>1062</v>
      </c>
      <c r="DP5" s="1179"/>
      <c r="DQ5" s="1179"/>
      <c r="DR5" s="1179"/>
      <c r="DS5" s="1179"/>
      <c r="DT5" s="1180" t="s">
        <v>1067</v>
      </c>
      <c r="DU5" s="1179"/>
      <c r="DV5" s="1179"/>
      <c r="DW5" s="1179"/>
      <c r="DX5" s="1181"/>
      <c r="DY5" s="1180" t="s">
        <v>1072</v>
      </c>
      <c r="DZ5" s="1181"/>
      <c r="EB5" s="1179" t="s">
        <v>1061</v>
      </c>
      <c r="EC5" s="1179"/>
      <c r="ED5" s="1179"/>
      <c r="EE5" s="1180" t="s">
        <v>1060</v>
      </c>
      <c r="EF5" s="1179"/>
      <c r="EG5" s="1179"/>
      <c r="EH5" s="1181"/>
      <c r="EI5" s="1179" t="s">
        <v>1062</v>
      </c>
      <c r="EJ5" s="1179"/>
      <c r="EK5" s="1179"/>
      <c r="EL5" s="1179"/>
      <c r="EM5" s="1179"/>
      <c r="EN5" s="1180" t="s">
        <v>1067</v>
      </c>
      <c r="EO5" s="1179"/>
      <c r="EP5" s="1179"/>
      <c r="EQ5" s="1179"/>
      <c r="ER5" s="1181"/>
      <c r="ES5" s="1180" t="s">
        <v>1072</v>
      </c>
      <c r="ET5" s="1181"/>
      <c r="EV5" s="1179" t="s">
        <v>1129</v>
      </c>
      <c r="EW5" s="1179"/>
      <c r="EX5" s="1179"/>
      <c r="EY5" s="1179"/>
      <c r="EZ5" s="1179"/>
      <c r="FA5" s="1179"/>
      <c r="FB5" s="1179"/>
      <c r="FC5" s="1179"/>
      <c r="FD5" s="1179"/>
      <c r="FE5" s="1179"/>
      <c r="FF5" s="1179"/>
      <c r="FG5" s="1179"/>
      <c r="FH5" s="1179"/>
      <c r="FI5" s="1179"/>
      <c r="FJ5" s="1179"/>
      <c r="FK5" s="1179"/>
      <c r="FL5" s="1179"/>
      <c r="FM5" s="1179"/>
      <c r="FN5" s="1179"/>
      <c r="FO5" s="1179"/>
      <c r="FP5" s="1179"/>
      <c r="FQ5" s="260"/>
    </row>
    <row r="6" spans="1:197" s="148" customFormat="1" ht="89.25">
      <c r="A6" s="128"/>
      <c r="B6" s="129" t="s">
        <v>1016</v>
      </c>
      <c r="C6" s="130" t="s">
        <v>1048</v>
      </c>
      <c r="D6" s="131" t="s">
        <v>1052</v>
      </c>
      <c r="E6" s="132" t="s">
        <v>1020</v>
      </c>
      <c r="F6" s="133" t="s">
        <v>1051</v>
      </c>
      <c r="G6" s="133" t="s">
        <v>1435</v>
      </c>
      <c r="H6" s="134" t="s">
        <v>1021</v>
      </c>
      <c r="I6" s="135" t="s">
        <v>1053</v>
      </c>
      <c r="J6" s="122" t="s">
        <v>1054</v>
      </c>
      <c r="K6" s="122" t="s">
        <v>1055</v>
      </c>
      <c r="L6" s="136" t="s">
        <v>1056</v>
      </c>
      <c r="M6" s="137" t="s">
        <v>1058</v>
      </c>
      <c r="N6" s="132" t="s">
        <v>1014</v>
      </c>
      <c r="O6" s="122" t="s">
        <v>1055</v>
      </c>
      <c r="P6" s="122" t="s">
        <v>1056</v>
      </c>
      <c r="Q6" s="122" t="s">
        <v>1156</v>
      </c>
      <c r="R6" s="122" t="s">
        <v>1054</v>
      </c>
      <c r="S6" s="136" t="s">
        <v>1057</v>
      </c>
      <c r="T6" s="138" t="s">
        <v>1063</v>
      </c>
      <c r="U6" s="139" t="s">
        <v>1063</v>
      </c>
      <c r="V6" s="130" t="s">
        <v>1064</v>
      </c>
      <c r="W6" s="130" t="s">
        <v>1065</v>
      </c>
      <c r="X6" s="138" t="s">
        <v>1068</v>
      </c>
      <c r="Y6" s="139" t="s">
        <v>1015</v>
      </c>
      <c r="Z6" s="139" t="s">
        <v>1069</v>
      </c>
      <c r="AA6" s="130" t="s">
        <v>1520</v>
      </c>
      <c r="AB6" s="777" t="s">
        <v>1521</v>
      </c>
      <c r="AC6" s="130" t="s">
        <v>1522</v>
      </c>
      <c r="AD6" s="777" t="s">
        <v>1523</v>
      </c>
      <c r="AE6" s="141" t="s">
        <v>1525</v>
      </c>
      <c r="AF6" s="142" t="s">
        <v>1075</v>
      </c>
      <c r="AG6" s="142" t="s">
        <v>1081</v>
      </c>
      <c r="AH6" s="142" t="s">
        <v>1082</v>
      </c>
      <c r="AI6" s="782" t="s">
        <v>1516</v>
      </c>
      <c r="AJ6" s="782" t="s">
        <v>1517</v>
      </c>
      <c r="AK6" s="142" t="s">
        <v>1083</v>
      </c>
      <c r="AL6" s="142" t="s">
        <v>1084</v>
      </c>
      <c r="AM6" s="142" t="s">
        <v>1085</v>
      </c>
      <c r="AN6" s="142" t="s">
        <v>1086</v>
      </c>
      <c r="AO6" s="143"/>
      <c r="AP6" s="130" t="s">
        <v>1094</v>
      </c>
      <c r="AQ6" s="133" t="s">
        <v>1051</v>
      </c>
      <c r="AR6" s="132" t="s">
        <v>1095</v>
      </c>
      <c r="AS6" s="135" t="s">
        <v>1053</v>
      </c>
      <c r="AT6" s="154" t="s">
        <v>1053</v>
      </c>
      <c r="AU6" s="122" t="s">
        <v>1054</v>
      </c>
      <c r="AV6" s="122" t="s">
        <v>1055</v>
      </c>
      <c r="AW6" s="154" t="s">
        <v>1153</v>
      </c>
      <c r="AX6" s="136" t="s">
        <v>1056</v>
      </c>
      <c r="AY6" s="132" t="s">
        <v>1103</v>
      </c>
      <c r="AZ6" s="132" t="s">
        <v>1104</v>
      </c>
      <c r="BA6" s="154" t="s">
        <v>1144</v>
      </c>
      <c r="BB6" s="154" t="s">
        <v>1056</v>
      </c>
      <c r="BC6" s="154" t="s">
        <v>1154</v>
      </c>
      <c r="BD6" s="122" t="s">
        <v>1057</v>
      </c>
      <c r="BE6" s="138" t="s">
        <v>1106</v>
      </c>
      <c r="BF6" s="139" t="s">
        <v>1107</v>
      </c>
      <c r="BG6" s="139" t="s">
        <v>1147</v>
      </c>
      <c r="BH6" s="139" t="s">
        <v>1109</v>
      </c>
      <c r="BI6" s="139" t="s">
        <v>1110</v>
      </c>
      <c r="BJ6" s="130" t="s">
        <v>1064</v>
      </c>
      <c r="BK6" s="140" t="s">
        <v>1065</v>
      </c>
      <c r="BL6" s="139" t="s">
        <v>1068</v>
      </c>
      <c r="BM6" s="130" t="s">
        <v>1070</v>
      </c>
      <c r="BN6" s="141" t="s">
        <v>1071</v>
      </c>
      <c r="BO6" s="144"/>
      <c r="BP6" s="132" t="s">
        <v>1094</v>
      </c>
      <c r="BQ6" s="133" t="s">
        <v>1051</v>
      </c>
      <c r="BR6" s="132" t="s">
        <v>1095</v>
      </c>
      <c r="BS6" s="135" t="s">
        <v>1053</v>
      </c>
      <c r="BT6" s="122" t="s">
        <v>1054</v>
      </c>
      <c r="BU6" s="122" t="s">
        <v>1055</v>
      </c>
      <c r="BV6" s="136" t="s">
        <v>1056</v>
      </c>
      <c r="BW6" s="132" t="s">
        <v>1103</v>
      </c>
      <c r="BX6" s="132" t="s">
        <v>1104</v>
      </c>
      <c r="BY6" s="122" t="s">
        <v>1055</v>
      </c>
      <c r="BZ6" s="122" t="s">
        <v>1056</v>
      </c>
      <c r="CA6" s="122" t="s">
        <v>1054</v>
      </c>
      <c r="CB6" s="122" t="s">
        <v>1057</v>
      </c>
      <c r="CC6" s="145" t="s">
        <v>1106</v>
      </c>
      <c r="CD6" s="146" t="s">
        <v>1107</v>
      </c>
      <c r="CE6" s="139" t="s">
        <v>1147</v>
      </c>
      <c r="CF6" s="146" t="s">
        <v>1109</v>
      </c>
      <c r="CG6" s="146" t="s">
        <v>1110</v>
      </c>
      <c r="CH6" s="132" t="s">
        <v>1064</v>
      </c>
      <c r="CI6" s="132" t="s">
        <v>1065</v>
      </c>
      <c r="CJ6" s="145" t="s">
        <v>1068</v>
      </c>
      <c r="CK6" s="132" t="s">
        <v>1070</v>
      </c>
      <c r="CL6" s="141" t="s">
        <v>1071</v>
      </c>
      <c r="CM6" s="147"/>
      <c r="CN6" s="132" t="s">
        <v>1094</v>
      </c>
      <c r="CO6" s="133" t="s">
        <v>1051</v>
      </c>
      <c r="CP6" s="132" t="s">
        <v>1095</v>
      </c>
      <c r="CQ6" s="135" t="s">
        <v>1053</v>
      </c>
      <c r="CR6" s="122" t="s">
        <v>1054</v>
      </c>
      <c r="CS6" s="122" t="s">
        <v>1055</v>
      </c>
      <c r="CT6" s="136" t="s">
        <v>1056</v>
      </c>
      <c r="CU6" s="132" t="s">
        <v>1103</v>
      </c>
      <c r="CV6" s="132" t="s">
        <v>1104</v>
      </c>
      <c r="CW6" s="122" t="s">
        <v>1055</v>
      </c>
      <c r="CX6" s="122" t="s">
        <v>1056</v>
      </c>
      <c r="CY6" s="122" t="s">
        <v>1057</v>
      </c>
      <c r="CZ6" s="145" t="s">
        <v>1107</v>
      </c>
      <c r="DA6" s="146" t="s">
        <v>1108</v>
      </c>
      <c r="DB6" s="146" t="s">
        <v>1110</v>
      </c>
      <c r="DC6" s="132" t="s">
        <v>1064</v>
      </c>
      <c r="DD6" s="134" t="s">
        <v>1065</v>
      </c>
      <c r="DE6" s="137" t="s">
        <v>1070</v>
      </c>
      <c r="DF6" s="141" t="s">
        <v>1071</v>
      </c>
      <c r="DG6" s="144"/>
      <c r="DH6" s="132" t="s">
        <v>1094</v>
      </c>
      <c r="DI6" s="133" t="s">
        <v>1051</v>
      </c>
      <c r="DJ6" s="132" t="s">
        <v>1095</v>
      </c>
      <c r="DK6" s="135" t="s">
        <v>1053</v>
      </c>
      <c r="DL6" s="122" t="s">
        <v>1054</v>
      </c>
      <c r="DM6" s="122" t="s">
        <v>1055</v>
      </c>
      <c r="DN6" s="136" t="s">
        <v>1056</v>
      </c>
      <c r="DO6" s="132" t="s">
        <v>1103</v>
      </c>
      <c r="DP6" s="132" t="s">
        <v>1104</v>
      </c>
      <c r="DQ6" s="122" t="s">
        <v>1055</v>
      </c>
      <c r="DR6" s="122" t="s">
        <v>1056</v>
      </c>
      <c r="DS6" s="122" t="s">
        <v>1057</v>
      </c>
      <c r="DT6" s="145" t="s">
        <v>1107</v>
      </c>
      <c r="DU6" s="146" t="s">
        <v>1108</v>
      </c>
      <c r="DV6" s="146" t="s">
        <v>1110</v>
      </c>
      <c r="DW6" s="132" t="s">
        <v>1064</v>
      </c>
      <c r="DX6" s="134" t="s">
        <v>1065</v>
      </c>
      <c r="DY6" s="137" t="s">
        <v>1070</v>
      </c>
      <c r="DZ6" s="141" t="s">
        <v>1071</v>
      </c>
      <c r="EA6" s="144"/>
      <c r="EB6" s="132" t="s">
        <v>1094</v>
      </c>
      <c r="EC6" s="133" t="s">
        <v>1051</v>
      </c>
      <c r="ED6" s="132" t="s">
        <v>1095</v>
      </c>
      <c r="EE6" s="135" t="s">
        <v>1053</v>
      </c>
      <c r="EF6" s="122" t="s">
        <v>1054</v>
      </c>
      <c r="EG6" s="122" t="s">
        <v>1055</v>
      </c>
      <c r="EH6" s="136" t="s">
        <v>1056</v>
      </c>
      <c r="EI6" s="132" t="s">
        <v>1103</v>
      </c>
      <c r="EJ6" s="132" t="s">
        <v>1104</v>
      </c>
      <c r="EK6" s="122" t="s">
        <v>1055</v>
      </c>
      <c r="EL6" s="122" t="s">
        <v>1056</v>
      </c>
      <c r="EM6" s="122" t="s">
        <v>1057</v>
      </c>
      <c r="EN6" s="145" t="s">
        <v>1107</v>
      </c>
      <c r="EO6" s="146" t="s">
        <v>1108</v>
      </c>
      <c r="EP6" s="146" t="s">
        <v>1110</v>
      </c>
      <c r="EQ6" s="132" t="s">
        <v>1064</v>
      </c>
      <c r="ER6" s="134" t="s">
        <v>1065</v>
      </c>
      <c r="ES6" s="137" t="s">
        <v>1070</v>
      </c>
      <c r="ET6" s="141" t="s">
        <v>1071</v>
      </c>
      <c r="EU6" s="144"/>
      <c r="EV6" s="146" t="s">
        <v>1130</v>
      </c>
      <c r="EW6" s="146" t="s">
        <v>1131</v>
      </c>
      <c r="EX6" s="132" t="s">
        <v>1132</v>
      </c>
      <c r="EY6" s="146" t="s">
        <v>1053</v>
      </c>
      <c r="EZ6" s="146" t="s">
        <v>1053</v>
      </c>
      <c r="FA6" s="146" t="s">
        <v>1478</v>
      </c>
      <c r="FB6" s="727" t="s">
        <v>1474</v>
      </c>
      <c r="FC6" s="727" t="s">
        <v>1475</v>
      </c>
      <c r="FD6" s="727" t="s">
        <v>1476</v>
      </c>
      <c r="FE6" s="727" t="s">
        <v>1477</v>
      </c>
      <c r="FF6" s="146" t="s">
        <v>1133</v>
      </c>
      <c r="FG6" s="727" t="s">
        <v>1474</v>
      </c>
      <c r="FH6" s="727" t="s">
        <v>1475</v>
      </c>
      <c r="FI6" s="727" t="s">
        <v>1476</v>
      </c>
      <c r="FJ6" s="727" t="s">
        <v>1477</v>
      </c>
      <c r="FK6" s="146" t="s">
        <v>1107</v>
      </c>
      <c r="FL6" s="146" t="s">
        <v>1107</v>
      </c>
      <c r="FM6" s="146" t="s">
        <v>1064</v>
      </c>
      <c r="FN6" s="146" t="s">
        <v>1065</v>
      </c>
      <c r="FO6" s="146" t="s">
        <v>1070</v>
      </c>
      <c r="FP6" s="146" t="s">
        <v>1071</v>
      </c>
      <c r="FQ6" s="261"/>
      <c r="FR6" s="148" t="s">
        <v>1251</v>
      </c>
      <c r="FS6" s="138" t="s">
        <v>1252</v>
      </c>
      <c r="FT6" s="139"/>
      <c r="FU6" s="139" t="s">
        <v>1256</v>
      </c>
      <c r="FV6" s="139" t="s">
        <v>1488</v>
      </c>
      <c r="FW6" s="805" t="s">
        <v>1549</v>
      </c>
      <c r="FX6" s="148" t="s">
        <v>1530</v>
      </c>
      <c r="FY6" s="148" t="s">
        <v>1531</v>
      </c>
      <c r="FZ6" s="148" t="s">
        <v>1532</v>
      </c>
      <c r="GA6" s="148" t="s">
        <v>1537</v>
      </c>
      <c r="GB6" s="138" t="s">
        <v>1533</v>
      </c>
      <c r="GC6" s="139" t="s">
        <v>1534</v>
      </c>
      <c r="GD6" s="139" t="s">
        <v>1535</v>
      </c>
      <c r="GE6" s="139" t="s">
        <v>1536</v>
      </c>
      <c r="GF6" s="811" t="s">
        <v>1538</v>
      </c>
      <c r="GG6" s="817" t="s">
        <v>1541</v>
      </c>
      <c r="GH6" s="817" t="s">
        <v>1542</v>
      </c>
      <c r="GI6" s="139" t="s">
        <v>1543</v>
      </c>
      <c r="GJ6" s="139" t="s">
        <v>1546</v>
      </c>
      <c r="GK6" s="139" t="s">
        <v>1547</v>
      </c>
      <c r="GL6" s="139"/>
      <c r="GM6" s="139" t="s">
        <v>1548</v>
      </c>
      <c r="GN6" s="139" t="s">
        <v>1550</v>
      </c>
      <c r="GO6" s="144"/>
    </row>
    <row r="7" spans="1:197" s="57" customFormat="1" ht="9.9499999999999993" customHeight="1">
      <c r="B7" s="58" t="s">
        <v>1013</v>
      </c>
      <c r="C7" s="52" t="s">
        <v>1152</v>
      </c>
      <c r="D7" s="52" t="s">
        <v>1152</v>
      </c>
      <c r="E7" s="52" t="s">
        <v>1152</v>
      </c>
      <c r="F7" s="52" t="s">
        <v>1152</v>
      </c>
      <c r="G7" s="52"/>
      <c r="H7" s="61" t="s">
        <v>1152</v>
      </c>
      <c r="I7" s="62" t="s">
        <v>1152</v>
      </c>
      <c r="J7" s="52" t="s">
        <v>1152</v>
      </c>
      <c r="K7" s="52" t="s">
        <v>1152</v>
      </c>
      <c r="L7" s="61" t="s">
        <v>1152</v>
      </c>
      <c r="M7" s="62" t="s">
        <v>1152</v>
      </c>
      <c r="N7" s="52" t="s">
        <v>1152</v>
      </c>
      <c r="O7" s="52" t="s">
        <v>1152</v>
      </c>
      <c r="P7" s="52" t="s">
        <v>1152</v>
      </c>
      <c r="Q7" s="52" t="s">
        <v>1152</v>
      </c>
      <c r="R7" s="52" t="s">
        <v>1152</v>
      </c>
      <c r="S7" s="61" t="s">
        <v>1152</v>
      </c>
      <c r="T7" s="63"/>
      <c r="U7" s="64"/>
      <c r="V7" s="64"/>
      <c r="W7" s="64"/>
      <c r="X7" s="63"/>
      <c r="Y7" s="64"/>
      <c r="Z7" s="64"/>
      <c r="AA7" s="64"/>
      <c r="AB7" s="52"/>
      <c r="AC7" s="52"/>
      <c r="AD7" s="52"/>
      <c r="AE7" s="61"/>
      <c r="AF7" s="21"/>
      <c r="AG7" s="21"/>
      <c r="AH7" s="21"/>
      <c r="AI7" s="787"/>
      <c r="AJ7" s="787"/>
      <c r="AK7" s="21"/>
      <c r="AL7" s="21"/>
      <c r="AM7" s="21"/>
      <c r="AN7" s="21"/>
      <c r="AO7" s="92"/>
      <c r="AP7" s="60" t="s">
        <v>1152</v>
      </c>
      <c r="AQ7" s="60" t="s">
        <v>1152</v>
      </c>
      <c r="AR7" s="60" t="s">
        <v>1152</v>
      </c>
      <c r="AS7" s="95" t="s">
        <v>1152</v>
      </c>
      <c r="AT7" s="96"/>
      <c r="AU7" s="96" t="s">
        <v>1152</v>
      </c>
      <c r="AV7" s="96" t="s">
        <v>1152</v>
      </c>
      <c r="AW7" s="96"/>
      <c r="AX7" s="97" t="s">
        <v>1152</v>
      </c>
      <c r="AY7" s="60" t="s">
        <v>1152</v>
      </c>
      <c r="AZ7" s="60" t="s">
        <v>1152</v>
      </c>
      <c r="BA7" s="60" t="s">
        <v>1152</v>
      </c>
      <c r="BB7" s="60" t="s">
        <v>1152</v>
      </c>
      <c r="BC7" s="60" t="s">
        <v>1152</v>
      </c>
      <c r="BD7" s="60" t="s">
        <v>1152</v>
      </c>
      <c r="BE7" s="63"/>
      <c r="BF7" s="64"/>
      <c r="BG7" s="64"/>
      <c r="BH7" s="64"/>
      <c r="BI7" s="64"/>
      <c r="BJ7" s="64"/>
      <c r="BK7" s="65"/>
      <c r="BO7" s="59"/>
      <c r="BP7" s="21" t="s">
        <v>1152</v>
      </c>
      <c r="BQ7" s="21" t="s">
        <v>1152</v>
      </c>
      <c r="BR7" s="21" t="s">
        <v>1152</v>
      </c>
      <c r="BS7" s="62" t="s">
        <v>1152</v>
      </c>
      <c r="BT7" s="52" t="s">
        <v>1152</v>
      </c>
      <c r="BU7" s="52" t="s">
        <v>1152</v>
      </c>
      <c r="BV7" s="61" t="s">
        <v>1152</v>
      </c>
      <c r="BW7" s="21" t="s">
        <v>1152</v>
      </c>
      <c r="BX7" s="21" t="s">
        <v>1152</v>
      </c>
      <c r="BY7" s="21" t="s">
        <v>1152</v>
      </c>
      <c r="BZ7" s="21" t="s">
        <v>1152</v>
      </c>
      <c r="CA7" s="21" t="s">
        <v>1152</v>
      </c>
      <c r="CB7" s="25"/>
      <c r="CC7" s="106"/>
      <c r="CD7" s="21" t="s">
        <v>1152</v>
      </c>
      <c r="CE7" s="21" t="s">
        <v>1152</v>
      </c>
      <c r="CF7" s="21" t="s">
        <v>1152</v>
      </c>
      <c r="CG7" s="21" t="s">
        <v>1152</v>
      </c>
      <c r="CH7" s="21" t="s">
        <v>1152</v>
      </c>
      <c r="CI7" s="107"/>
      <c r="CJ7" s="106"/>
      <c r="CK7" s="107"/>
      <c r="CL7" s="108"/>
      <c r="CM7" s="114"/>
      <c r="CN7" s="21" t="s">
        <v>1152</v>
      </c>
      <c r="CO7" s="21" t="s">
        <v>1152</v>
      </c>
      <c r="CP7" s="21" t="s">
        <v>1152</v>
      </c>
      <c r="CQ7" s="62" t="s">
        <v>1152</v>
      </c>
      <c r="CR7" s="52" t="s">
        <v>1152</v>
      </c>
      <c r="CS7" s="123" t="s">
        <v>1152</v>
      </c>
      <c r="CT7" s="61" t="s">
        <v>1152</v>
      </c>
      <c r="CU7" s="21" t="s">
        <v>1152</v>
      </c>
      <c r="CV7" s="21" t="s">
        <v>1152</v>
      </c>
      <c r="CW7" s="21" t="s">
        <v>1152</v>
      </c>
      <c r="CX7" s="25"/>
      <c r="CY7" s="25"/>
      <c r="CZ7" s="106"/>
      <c r="DA7" s="107"/>
      <c r="DB7" s="107"/>
      <c r="DC7" s="107"/>
      <c r="DD7" s="108"/>
      <c r="DE7" s="106"/>
      <c r="DF7" s="108"/>
      <c r="DG7" s="59"/>
      <c r="DH7" s="21" t="s">
        <v>1152</v>
      </c>
      <c r="DI7" s="21" t="s">
        <v>1152</v>
      </c>
      <c r="DJ7" s="21" t="s">
        <v>1152</v>
      </c>
      <c r="DK7" s="62" t="s">
        <v>1152</v>
      </c>
      <c r="DL7" s="52" t="s">
        <v>1152</v>
      </c>
      <c r="DM7" s="52" t="s">
        <v>1152</v>
      </c>
      <c r="DN7" s="61" t="s">
        <v>1152</v>
      </c>
      <c r="DO7" s="21" t="s">
        <v>1152</v>
      </c>
      <c r="DP7" s="21" t="s">
        <v>1152</v>
      </c>
      <c r="DQ7" s="21" t="s">
        <v>1152</v>
      </c>
      <c r="DR7" s="25"/>
      <c r="DS7" s="25"/>
      <c r="DT7" s="106"/>
      <c r="DU7" s="107"/>
      <c r="DV7" s="107"/>
      <c r="DW7" s="107"/>
      <c r="DX7" s="108"/>
      <c r="DY7" s="106"/>
      <c r="DZ7" s="108"/>
      <c r="EA7" s="59"/>
      <c r="EB7" s="21" t="s">
        <v>1152</v>
      </c>
      <c r="EC7" s="21" t="s">
        <v>1152</v>
      </c>
      <c r="ED7" s="21" t="s">
        <v>1152</v>
      </c>
      <c r="EE7" s="62" t="s">
        <v>1152</v>
      </c>
      <c r="EF7" s="52" t="s">
        <v>1152</v>
      </c>
      <c r="EG7" s="52" t="s">
        <v>1152</v>
      </c>
      <c r="EH7" s="61" t="s">
        <v>1152</v>
      </c>
      <c r="EI7" s="21" t="s">
        <v>1152</v>
      </c>
      <c r="EJ7" s="21" t="s">
        <v>1152</v>
      </c>
      <c r="EK7" s="21" t="s">
        <v>1152</v>
      </c>
      <c r="EL7" s="25"/>
      <c r="EM7" s="25"/>
      <c r="EN7" s="106"/>
      <c r="EO7" s="107"/>
      <c r="EP7" s="107"/>
      <c r="EQ7" s="107"/>
      <c r="ER7" s="108"/>
      <c r="ES7" s="106"/>
      <c r="ET7" s="108"/>
      <c r="EU7" s="59"/>
      <c r="EV7" s="52" t="s">
        <v>1152</v>
      </c>
      <c r="EW7" s="52" t="s">
        <v>1152</v>
      </c>
      <c r="EX7" s="52" t="s">
        <v>1152</v>
      </c>
      <c r="EY7" s="52" t="s">
        <v>1152</v>
      </c>
      <c r="EZ7" s="52" t="s">
        <v>1152</v>
      </c>
      <c r="FA7" s="52" t="s">
        <v>1152</v>
      </c>
      <c r="FB7" s="52" t="s">
        <v>1152</v>
      </c>
      <c r="FC7" s="52" t="s">
        <v>1152</v>
      </c>
      <c r="FD7" s="52" t="s">
        <v>1152</v>
      </c>
      <c r="FE7" s="52" t="s">
        <v>1152</v>
      </c>
      <c r="FF7" s="52" t="s">
        <v>1152</v>
      </c>
      <c r="FG7" s="52" t="s">
        <v>1152</v>
      </c>
      <c r="FH7" s="52" t="s">
        <v>1152</v>
      </c>
      <c r="FI7" s="52" t="s">
        <v>1152</v>
      </c>
      <c r="FJ7" s="52" t="s">
        <v>1152</v>
      </c>
      <c r="FK7" s="52" t="s">
        <v>1152</v>
      </c>
      <c r="FL7" s="52" t="s">
        <v>1152</v>
      </c>
      <c r="FM7" s="107"/>
      <c r="FN7" s="107"/>
      <c r="FO7" s="107"/>
      <c r="FP7" s="107"/>
      <c r="FQ7" s="262"/>
      <c r="FS7" s="63"/>
      <c r="FT7" s="64"/>
      <c r="FU7" s="64"/>
      <c r="FV7" s="64"/>
      <c r="FW7" s="65"/>
      <c r="GB7" s="63"/>
      <c r="GC7" s="64"/>
      <c r="GD7" s="64"/>
      <c r="GE7" s="64"/>
      <c r="GF7" s="812" t="s">
        <v>1539</v>
      </c>
      <c r="GG7" s="64"/>
      <c r="GH7" s="64"/>
      <c r="GI7" s="64"/>
      <c r="GJ7" s="64"/>
      <c r="GK7" s="64"/>
      <c r="GL7" s="64"/>
      <c r="GM7" s="64"/>
      <c r="GN7" s="64"/>
      <c r="GO7" s="59"/>
    </row>
    <row r="8" spans="1:197" s="16" customFormat="1" ht="9.9499999999999993" customHeight="1">
      <c r="B8" s="24" t="s">
        <v>1012</v>
      </c>
      <c r="C8" s="50"/>
      <c r="D8" s="50"/>
      <c r="E8" s="51"/>
      <c r="F8" s="51"/>
      <c r="G8" s="51"/>
      <c r="H8" s="23"/>
      <c r="I8" s="22"/>
      <c r="J8" s="51"/>
      <c r="K8" s="51"/>
      <c r="L8" s="23"/>
      <c r="M8" s="22"/>
      <c r="N8" s="51"/>
      <c r="O8" s="51"/>
      <c r="P8" s="51"/>
      <c r="Q8" s="51"/>
      <c r="R8" s="51"/>
      <c r="S8" s="23"/>
      <c r="T8" s="66"/>
      <c r="U8" s="67"/>
      <c r="V8" s="67"/>
      <c r="W8" s="67"/>
      <c r="X8" s="66"/>
      <c r="Y8" s="67"/>
      <c r="Z8" s="67"/>
      <c r="AA8" s="67"/>
      <c r="AB8" s="51"/>
      <c r="AC8" s="51" t="s">
        <v>1524</v>
      </c>
      <c r="AD8" s="51" t="s">
        <v>1524</v>
      </c>
      <c r="AE8" s="23" t="s">
        <v>1524</v>
      </c>
      <c r="AF8" s="20"/>
      <c r="AG8" s="20"/>
      <c r="AH8" s="20"/>
      <c r="AI8" s="788"/>
      <c r="AJ8" s="788"/>
      <c r="AK8" s="20"/>
      <c r="AL8" s="20"/>
      <c r="AM8" s="20"/>
      <c r="AN8" s="20"/>
      <c r="AO8" s="93"/>
      <c r="AP8" s="18" t="s">
        <v>1011</v>
      </c>
      <c r="AQ8" s="18"/>
      <c r="AR8" s="18"/>
      <c r="AS8" s="98"/>
      <c r="AT8" s="99"/>
      <c r="AU8" s="99"/>
      <c r="AV8" s="99">
        <v>2009</v>
      </c>
      <c r="AW8" s="99"/>
      <c r="AX8" s="100"/>
      <c r="AY8" s="18"/>
      <c r="AZ8" s="17"/>
      <c r="BA8" s="18"/>
      <c r="BE8" s="66"/>
      <c r="BF8" s="67"/>
      <c r="BG8" s="67"/>
      <c r="BH8" s="67"/>
      <c r="BI8" s="67"/>
      <c r="BJ8" s="67"/>
      <c r="BK8" s="68"/>
      <c r="BO8" s="19"/>
      <c r="BP8" s="17" t="s">
        <v>1011</v>
      </c>
      <c r="BQ8" s="17"/>
      <c r="BR8" s="17"/>
      <c r="BS8" s="109"/>
      <c r="BT8" s="110"/>
      <c r="BU8" s="110"/>
      <c r="BV8" s="111"/>
      <c r="BW8" s="17"/>
      <c r="BX8" s="17"/>
      <c r="BY8" s="17"/>
      <c r="BZ8" s="17"/>
      <c r="CA8" s="17"/>
      <c r="CB8" s="17"/>
      <c r="CC8" s="109"/>
      <c r="CD8" s="110"/>
      <c r="CE8" s="110"/>
      <c r="CF8" s="110"/>
      <c r="CG8" s="110"/>
      <c r="CH8" s="110"/>
      <c r="CI8" s="110"/>
      <c r="CJ8" s="109"/>
      <c r="CK8" s="110"/>
      <c r="CL8" s="111"/>
      <c r="CM8" s="115"/>
      <c r="CN8" s="17" t="s">
        <v>1011</v>
      </c>
      <c r="CO8" s="17"/>
      <c r="CP8" s="17"/>
      <c r="CQ8" s="109"/>
      <c r="CR8" s="110"/>
      <c r="CS8" s="124"/>
      <c r="CT8" s="111"/>
      <c r="CU8" s="17"/>
      <c r="CV8" s="17"/>
      <c r="CW8" s="17"/>
      <c r="CX8" s="17"/>
      <c r="CY8" s="17"/>
      <c r="CZ8" s="109"/>
      <c r="DA8" s="110"/>
      <c r="DB8" s="110"/>
      <c r="DC8" s="110"/>
      <c r="DD8" s="111"/>
      <c r="DE8" s="109"/>
      <c r="DF8" s="111"/>
      <c r="DG8" s="19"/>
      <c r="DH8" s="17" t="s">
        <v>1011</v>
      </c>
      <c r="DI8" s="17"/>
      <c r="DJ8" s="17"/>
      <c r="DK8" s="109"/>
      <c r="DL8" s="110"/>
      <c r="DM8" s="110"/>
      <c r="DN8" s="111"/>
      <c r="DO8" s="17"/>
      <c r="DP8" s="17"/>
      <c r="DQ8" s="17"/>
      <c r="DR8" s="17"/>
      <c r="DS8" s="17"/>
      <c r="DT8" s="109"/>
      <c r="DU8" s="110"/>
      <c r="DV8" s="110"/>
      <c r="DW8" s="110"/>
      <c r="DX8" s="111"/>
      <c r="DY8" s="109"/>
      <c r="DZ8" s="111"/>
      <c r="EA8" s="19"/>
      <c r="EB8" s="17" t="s">
        <v>1011</v>
      </c>
      <c r="EC8" s="17"/>
      <c r="ED8" s="17"/>
      <c r="EE8" s="109"/>
      <c r="EF8" s="110"/>
      <c r="EG8" s="110"/>
      <c r="EH8" s="111"/>
      <c r="EI8" s="17"/>
      <c r="EJ8" s="17"/>
      <c r="EK8" s="17"/>
      <c r="EL8" s="17"/>
      <c r="EM8" s="17"/>
      <c r="EN8" s="109"/>
      <c r="EO8" s="110"/>
      <c r="EP8" s="110"/>
      <c r="EQ8" s="110"/>
      <c r="ER8" s="111"/>
      <c r="ES8" s="109"/>
      <c r="ET8" s="111"/>
      <c r="EU8" s="19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263"/>
      <c r="FS8" s="66"/>
      <c r="FT8" s="67"/>
      <c r="FU8" s="67"/>
      <c r="FV8" s="67"/>
      <c r="FW8" s="68"/>
      <c r="GB8" s="66"/>
      <c r="GC8" s="67"/>
      <c r="GD8" s="67"/>
      <c r="GE8" s="67"/>
      <c r="GF8" s="822" t="s">
        <v>1540</v>
      </c>
      <c r="GG8" s="67"/>
      <c r="GH8" s="67"/>
      <c r="GI8" s="821" t="s">
        <v>1545</v>
      </c>
      <c r="GJ8" s="67"/>
      <c r="GK8" s="67"/>
      <c r="GL8" s="67"/>
      <c r="GM8" s="67"/>
      <c r="GN8" s="67"/>
      <c r="GO8" s="19"/>
    </row>
    <row r="9" spans="1:197" s="16" customFormat="1" ht="9.9499999999999993" customHeight="1">
      <c r="B9" s="24" t="s">
        <v>1010</v>
      </c>
      <c r="C9" s="50"/>
      <c r="D9" s="50"/>
      <c r="E9" s="52"/>
      <c r="F9" s="52" t="s">
        <v>1155</v>
      </c>
      <c r="G9" s="52"/>
      <c r="H9" s="61"/>
      <c r="I9" s="22" t="s">
        <v>1111</v>
      </c>
      <c r="J9" s="51" t="s">
        <v>1526</v>
      </c>
      <c r="K9" s="51" t="s">
        <v>1111</v>
      </c>
      <c r="L9" s="23" t="s">
        <v>1111</v>
      </c>
      <c r="M9" s="22"/>
      <c r="N9" s="51"/>
      <c r="O9" s="51" t="s">
        <v>1105</v>
      </c>
      <c r="P9" s="51" t="s">
        <v>1105</v>
      </c>
      <c r="Q9" s="51" t="s">
        <v>1105</v>
      </c>
      <c r="R9" s="51" t="s">
        <v>1105</v>
      </c>
      <c r="S9" s="23"/>
      <c r="T9" s="66" t="s">
        <v>1105</v>
      </c>
      <c r="U9" s="67" t="s">
        <v>1111</v>
      </c>
      <c r="V9" s="67"/>
      <c r="W9" s="67"/>
      <c r="X9" s="66" t="s">
        <v>1073</v>
      </c>
      <c r="Y9" s="67"/>
      <c r="Z9" s="67"/>
      <c r="AA9" s="67" t="s">
        <v>1527</v>
      </c>
      <c r="AB9" s="51"/>
      <c r="AC9" s="51"/>
      <c r="AD9" s="51"/>
      <c r="AE9" s="23"/>
      <c r="AF9" s="20"/>
      <c r="AG9" s="20"/>
      <c r="AH9" s="20"/>
      <c r="AI9" s="788"/>
      <c r="AJ9" s="788"/>
      <c r="AK9" s="20"/>
      <c r="AL9" s="20"/>
      <c r="AM9" s="20"/>
      <c r="AN9" s="20"/>
      <c r="AO9" s="93"/>
      <c r="AP9" s="18"/>
      <c r="AQ9" s="18"/>
      <c r="AR9" s="18"/>
      <c r="AS9" s="98" t="s">
        <v>1111</v>
      </c>
      <c r="AT9" s="99" t="s">
        <v>1145</v>
      </c>
      <c r="AU9" s="99" t="s">
        <v>1111</v>
      </c>
      <c r="AV9" s="99" t="s">
        <v>1111</v>
      </c>
      <c r="AW9" s="99"/>
      <c r="AX9" s="100" t="s">
        <v>1111</v>
      </c>
      <c r="AY9" s="104" t="s">
        <v>1105</v>
      </c>
      <c r="AZ9" s="25" t="s">
        <v>1105</v>
      </c>
      <c r="BA9" s="25" t="s">
        <v>1105</v>
      </c>
      <c r="BB9" s="25" t="s">
        <v>1105</v>
      </c>
      <c r="BC9" s="25" t="s">
        <v>1146</v>
      </c>
      <c r="BD9" s="16" t="s">
        <v>1105</v>
      </c>
      <c r="BE9" s="66" t="s">
        <v>1105</v>
      </c>
      <c r="BF9" s="67" t="s">
        <v>1105</v>
      </c>
      <c r="BG9" s="67" t="s">
        <v>1111</v>
      </c>
      <c r="BH9" s="67" t="s">
        <v>1111</v>
      </c>
      <c r="BI9" s="67" t="s">
        <v>1111</v>
      </c>
      <c r="BJ9" s="67"/>
      <c r="BK9" s="68"/>
      <c r="BL9" s="66" t="s">
        <v>1073</v>
      </c>
      <c r="BM9" s="67" t="s">
        <v>1073</v>
      </c>
      <c r="BN9" s="23" t="s">
        <v>1073</v>
      </c>
      <c r="BO9" s="19"/>
      <c r="BP9" s="17" t="s">
        <v>1111</v>
      </c>
      <c r="BQ9" s="17" t="s">
        <v>1111</v>
      </c>
      <c r="BR9" s="17" t="s">
        <v>1111</v>
      </c>
      <c r="BS9" s="109" t="s">
        <v>1111</v>
      </c>
      <c r="BT9" s="110" t="s">
        <v>1111</v>
      </c>
      <c r="BU9" s="110" t="s">
        <v>1111</v>
      </c>
      <c r="BV9" s="111" t="s">
        <v>1111</v>
      </c>
      <c r="BW9" s="25" t="s">
        <v>1105</v>
      </c>
      <c r="BX9" s="25" t="s">
        <v>1105</v>
      </c>
      <c r="BY9" s="25" t="s">
        <v>1105</v>
      </c>
      <c r="BZ9" s="25" t="s">
        <v>1105</v>
      </c>
      <c r="CA9" s="25" t="s">
        <v>1105</v>
      </c>
      <c r="CB9" s="17" t="s">
        <v>1105</v>
      </c>
      <c r="CC9" s="109" t="s">
        <v>1111</v>
      </c>
      <c r="CD9" s="110" t="s">
        <v>1111</v>
      </c>
      <c r="CE9" s="110" t="s">
        <v>1117</v>
      </c>
      <c r="CF9" s="110" t="s">
        <v>1105</v>
      </c>
      <c r="CG9" s="110" t="s">
        <v>1105</v>
      </c>
      <c r="CH9" s="110"/>
      <c r="CI9" s="110"/>
      <c r="CJ9" s="109" t="s">
        <v>1073</v>
      </c>
      <c r="CK9" s="110" t="s">
        <v>1073</v>
      </c>
      <c r="CL9" s="23" t="s">
        <v>1073</v>
      </c>
      <c r="CM9" s="115"/>
      <c r="CN9" s="17" t="s">
        <v>1111</v>
      </c>
      <c r="CO9" s="17" t="s">
        <v>1111</v>
      </c>
      <c r="CP9" s="17" t="s">
        <v>1111</v>
      </c>
      <c r="CQ9" s="109" t="s">
        <v>1111</v>
      </c>
      <c r="CR9" s="110" t="s">
        <v>1111</v>
      </c>
      <c r="CS9" s="124" t="s">
        <v>1111</v>
      </c>
      <c r="CT9" s="111" t="s">
        <v>1111</v>
      </c>
      <c r="CU9" s="25" t="s">
        <v>1105</v>
      </c>
      <c r="CV9" s="25" t="s">
        <v>1105</v>
      </c>
      <c r="CW9" s="25" t="s">
        <v>1105</v>
      </c>
      <c r="CX9" s="25" t="s">
        <v>1105</v>
      </c>
      <c r="CY9" s="17"/>
      <c r="CZ9" s="109" t="s">
        <v>1111</v>
      </c>
      <c r="DA9" s="110" t="s">
        <v>1111</v>
      </c>
      <c r="DB9" s="110" t="s">
        <v>1105</v>
      </c>
      <c r="DC9" s="110"/>
      <c r="DD9" s="111"/>
      <c r="DE9" s="109" t="s">
        <v>1073</v>
      </c>
      <c r="DF9" s="23" t="s">
        <v>1073</v>
      </c>
      <c r="DG9" s="19"/>
      <c r="DH9" s="17" t="s">
        <v>1111</v>
      </c>
      <c r="DI9" s="17" t="s">
        <v>1111</v>
      </c>
      <c r="DJ9" s="17" t="s">
        <v>1111</v>
      </c>
      <c r="DK9" s="109" t="s">
        <v>1111</v>
      </c>
      <c r="DL9" s="110" t="s">
        <v>1111</v>
      </c>
      <c r="DM9" s="110" t="s">
        <v>1111</v>
      </c>
      <c r="DN9" s="111" t="s">
        <v>1111</v>
      </c>
      <c r="DO9" s="25" t="s">
        <v>1105</v>
      </c>
      <c r="DP9" s="25" t="s">
        <v>1105</v>
      </c>
      <c r="DQ9" s="25" t="s">
        <v>1105</v>
      </c>
      <c r="DR9" s="25" t="s">
        <v>1105</v>
      </c>
      <c r="DS9" s="17" t="s">
        <v>1105</v>
      </c>
      <c r="DT9" s="109" t="s">
        <v>1111</v>
      </c>
      <c r="DU9" s="110" t="s">
        <v>1111</v>
      </c>
      <c r="DV9" s="110" t="s">
        <v>1105</v>
      </c>
      <c r="DW9" s="110"/>
      <c r="DX9" s="111"/>
      <c r="DY9" s="109" t="s">
        <v>1073</v>
      </c>
      <c r="DZ9" s="23" t="s">
        <v>1073</v>
      </c>
      <c r="EA9" s="19"/>
      <c r="EB9" s="17" t="s">
        <v>1111</v>
      </c>
      <c r="EC9" s="17" t="s">
        <v>1111</v>
      </c>
      <c r="ED9" s="17" t="s">
        <v>1111</v>
      </c>
      <c r="EE9" s="109" t="s">
        <v>1111</v>
      </c>
      <c r="EF9" s="110" t="s">
        <v>1111</v>
      </c>
      <c r="EG9" s="110" t="s">
        <v>1111</v>
      </c>
      <c r="EH9" s="111" t="s">
        <v>1111</v>
      </c>
      <c r="EI9" s="25" t="s">
        <v>1105</v>
      </c>
      <c r="EJ9" s="25" t="s">
        <v>1105</v>
      </c>
      <c r="EK9" s="25" t="s">
        <v>1105</v>
      </c>
      <c r="EL9" s="25" t="s">
        <v>1105</v>
      </c>
      <c r="EM9" s="17" t="s">
        <v>1105</v>
      </c>
      <c r="EN9" s="109" t="s">
        <v>1111</v>
      </c>
      <c r="EO9" s="110" t="s">
        <v>1111</v>
      </c>
      <c r="EP9" s="110" t="s">
        <v>1105</v>
      </c>
      <c r="EQ9" s="110"/>
      <c r="ER9" s="111"/>
      <c r="ES9" s="109" t="s">
        <v>1073</v>
      </c>
      <c r="ET9" s="23" t="s">
        <v>1073</v>
      </c>
      <c r="EU9" s="19"/>
      <c r="EV9" s="110" t="s">
        <v>1105</v>
      </c>
      <c r="EW9" s="110" t="s">
        <v>1111</v>
      </c>
      <c r="EX9" s="110"/>
      <c r="EY9" s="110" t="s">
        <v>1105</v>
      </c>
      <c r="EZ9" s="110" t="s">
        <v>1111</v>
      </c>
      <c r="FA9" s="110" t="s">
        <v>1105</v>
      </c>
      <c r="FB9" s="110" t="s">
        <v>1105</v>
      </c>
      <c r="FC9" s="110" t="s">
        <v>1105</v>
      </c>
      <c r="FD9" s="110" t="s">
        <v>1105</v>
      </c>
      <c r="FE9" s="110" t="s">
        <v>1105</v>
      </c>
      <c r="FF9" s="110" t="s">
        <v>1111</v>
      </c>
      <c r="FG9" s="110" t="s">
        <v>1111</v>
      </c>
      <c r="FH9" s="110" t="s">
        <v>1111</v>
      </c>
      <c r="FI9" s="110" t="s">
        <v>1111</v>
      </c>
      <c r="FJ9" s="110" t="s">
        <v>1111</v>
      </c>
      <c r="FK9" s="110" t="s">
        <v>1105</v>
      </c>
      <c r="FL9" s="110" t="s">
        <v>1111</v>
      </c>
      <c r="FM9" s="110"/>
      <c r="FN9" s="110"/>
      <c r="FO9" s="110" t="s">
        <v>1073</v>
      </c>
      <c r="FP9" s="51" t="s">
        <v>1073</v>
      </c>
      <c r="FQ9" s="264"/>
      <c r="FS9" s="66"/>
      <c r="FT9" s="67"/>
      <c r="FU9" s="67"/>
      <c r="FV9" s="67"/>
      <c r="FW9" s="68"/>
      <c r="GB9" s="66"/>
      <c r="GC9" s="67"/>
      <c r="GD9" s="67"/>
      <c r="GE9" s="67"/>
      <c r="GF9" s="813"/>
      <c r="GG9" s="67"/>
      <c r="GH9" s="67"/>
      <c r="GI9" s="67"/>
      <c r="GJ9" s="67"/>
      <c r="GK9" s="67"/>
      <c r="GL9" s="67"/>
      <c r="GM9" s="67"/>
      <c r="GN9" s="67"/>
      <c r="GO9" s="19"/>
    </row>
    <row r="10" spans="1:197" s="9" customFormat="1" ht="12.75" hidden="1">
      <c r="B10" s="15">
        <v>1961</v>
      </c>
      <c r="C10" s="34"/>
      <c r="D10" s="34"/>
      <c r="E10" s="34"/>
      <c r="F10" s="34"/>
      <c r="G10" s="34"/>
      <c r="H10" s="14"/>
      <c r="I10" s="13"/>
      <c r="J10" s="34"/>
      <c r="K10" s="34"/>
      <c r="L10" s="14"/>
      <c r="M10" s="13"/>
      <c r="N10" s="34"/>
      <c r="O10" s="34"/>
      <c r="P10" s="34"/>
      <c r="Q10" s="34"/>
      <c r="R10" s="34"/>
      <c r="S10" s="14"/>
      <c r="T10" s="13"/>
      <c r="U10" s="34"/>
      <c r="V10" s="34"/>
      <c r="W10" s="34"/>
      <c r="X10" s="13">
        <f>'AX2'!VG7/1000/1000/1000</f>
        <v>6.2309999999999999</v>
      </c>
      <c r="Y10" s="34">
        <f t="shared" ref="Y10:Y28" si="0">CJ10</f>
        <v>0.61899999999999999</v>
      </c>
      <c r="Z10" s="125">
        <f t="shared" ref="Z10:Z28" si="1">X10-Y10</f>
        <v>5.6120000000000001</v>
      </c>
      <c r="AA10" s="34"/>
      <c r="AB10" s="34"/>
      <c r="AC10" s="34"/>
      <c r="AD10" s="34"/>
      <c r="AE10" s="14"/>
      <c r="AF10" s="10"/>
      <c r="AG10" s="10"/>
      <c r="AH10" s="10"/>
      <c r="AI10" s="789"/>
      <c r="AJ10" s="789"/>
      <c r="AK10" s="10"/>
      <c r="AL10" s="10"/>
      <c r="AM10" s="10"/>
      <c r="AN10" s="10"/>
      <c r="AO10" s="94"/>
      <c r="AP10" s="11"/>
      <c r="AQ10" s="11"/>
      <c r="AR10" s="11"/>
      <c r="AS10" s="101"/>
      <c r="AT10" s="102"/>
      <c r="AU10" s="102"/>
      <c r="AV10" s="102"/>
      <c r="AW10" s="102"/>
      <c r="AX10" s="103"/>
      <c r="AY10" s="11"/>
      <c r="AZ10" s="10"/>
      <c r="BA10" s="11"/>
      <c r="BE10" s="69"/>
      <c r="BF10" s="45"/>
      <c r="BG10" s="45"/>
      <c r="BH10" s="45"/>
      <c r="BI10" s="45"/>
      <c r="BJ10" s="45"/>
      <c r="BK10" s="15"/>
      <c r="BL10" s="10">
        <f>'AX2'!IF7/1000/1000/1000</f>
        <v>5.6120000000000001</v>
      </c>
      <c r="BO10" s="12"/>
      <c r="BP10" s="10"/>
      <c r="BQ10" s="10"/>
      <c r="BR10" s="10"/>
      <c r="BS10" s="13"/>
      <c r="BT10" s="34"/>
      <c r="BU10" s="34"/>
      <c r="BV10" s="14"/>
      <c r="BW10" s="10"/>
      <c r="BX10" s="10"/>
      <c r="BY10" s="10"/>
      <c r="BZ10" s="10"/>
      <c r="CA10" s="10"/>
      <c r="CB10" s="10"/>
      <c r="CC10" s="13"/>
      <c r="CD10" s="34"/>
      <c r="CE10" s="34"/>
      <c r="CF10" s="34"/>
      <c r="CG10" s="34"/>
      <c r="CH10" s="34"/>
      <c r="CI10" s="34"/>
      <c r="CJ10" s="13">
        <f>'AX2'!KU7/1000/1000/1000</f>
        <v>0.61899999999999999</v>
      </c>
      <c r="CK10" s="34"/>
      <c r="CL10" s="14"/>
      <c r="CM10" s="116"/>
      <c r="CN10" s="10"/>
      <c r="CO10" s="10"/>
      <c r="CQ10" s="13"/>
      <c r="CR10" s="45"/>
      <c r="CS10" s="126"/>
      <c r="CT10" s="15"/>
      <c r="CZ10" s="69"/>
      <c r="DA10" s="45"/>
      <c r="DB10" s="45"/>
      <c r="DC10" s="45"/>
      <c r="DD10" s="15"/>
      <c r="DE10" s="69"/>
      <c r="DF10" s="15"/>
      <c r="DG10" s="12"/>
      <c r="DH10" s="10"/>
      <c r="DI10" s="10"/>
      <c r="DK10" s="69"/>
      <c r="DL10" s="45"/>
      <c r="DM10" s="45"/>
      <c r="DN10" s="15"/>
      <c r="DT10" s="69"/>
      <c r="DU10" s="45"/>
      <c r="DV10" s="45"/>
      <c r="DW10" s="45"/>
      <c r="DX10" s="15"/>
      <c r="DY10" s="69"/>
      <c r="DZ10" s="15"/>
      <c r="EA10" s="12"/>
      <c r="EB10" s="10"/>
      <c r="EC10" s="10"/>
      <c r="EE10" s="69"/>
      <c r="EF10" s="45"/>
      <c r="EG10" s="45"/>
      <c r="EH10" s="15"/>
      <c r="EN10" s="69"/>
      <c r="EO10" s="45"/>
      <c r="EP10" s="45"/>
      <c r="EQ10" s="45"/>
      <c r="ER10" s="15"/>
      <c r="ES10" s="69"/>
      <c r="ET10" s="15"/>
      <c r="EU10" s="12"/>
      <c r="EV10" s="10">
        <f>'AX2'!SF7/1000/1000/1000</f>
        <v>6.7569999999999997</v>
      </c>
      <c r="EW10" s="10">
        <f>'AX2'!SC7/1000/1000/1000</f>
        <v>6.1909999999999998</v>
      </c>
      <c r="EX10" s="10">
        <f t="shared" ref="EX10:EX17" si="2">EW10-EV10</f>
        <v>-0.56599999999999984</v>
      </c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45"/>
      <c r="FN10" s="45"/>
      <c r="FO10" s="45"/>
      <c r="FP10" s="45"/>
      <c r="FQ10" s="265"/>
      <c r="FS10" s="69"/>
      <c r="FT10" s="45"/>
      <c r="FU10" s="45"/>
      <c r="FV10" s="45"/>
      <c r="FW10" s="15"/>
      <c r="GB10" s="69"/>
      <c r="GC10" s="45"/>
      <c r="GD10" s="45"/>
      <c r="GE10" s="45"/>
      <c r="GF10" s="814"/>
      <c r="GG10" s="45"/>
      <c r="GH10" s="45"/>
      <c r="GI10" s="45"/>
      <c r="GJ10" s="45"/>
      <c r="GK10" s="45"/>
      <c r="GL10" s="45"/>
      <c r="GM10" s="45"/>
      <c r="GN10" s="45"/>
      <c r="GO10" s="12"/>
    </row>
    <row r="11" spans="1:197" s="9" customFormat="1" ht="12.75" hidden="1">
      <c r="B11" s="15">
        <v>1962</v>
      </c>
      <c r="C11" s="34"/>
      <c r="D11" s="34"/>
      <c r="E11" s="34"/>
      <c r="F11" s="34"/>
      <c r="G11" s="34"/>
      <c r="H11" s="14"/>
      <c r="I11" s="13"/>
      <c r="J11" s="34"/>
      <c r="K11" s="34"/>
      <c r="L11" s="14"/>
      <c r="M11" s="13"/>
      <c r="N11" s="34"/>
      <c r="O11" s="34"/>
      <c r="P11" s="34"/>
      <c r="Q11" s="34"/>
      <c r="R11" s="34"/>
      <c r="S11" s="14"/>
      <c r="T11" s="13"/>
      <c r="U11" s="34"/>
      <c r="V11" s="34"/>
      <c r="W11" s="34"/>
      <c r="X11" s="13">
        <f>'AX2'!VG8/1000/1000/1000</f>
        <v>6.9290000000000003</v>
      </c>
      <c r="Y11" s="34">
        <f t="shared" si="0"/>
        <v>0.65400000000000003</v>
      </c>
      <c r="Z11" s="125">
        <f t="shared" si="1"/>
        <v>6.2750000000000004</v>
      </c>
      <c r="AA11" s="34"/>
      <c r="AB11" s="34"/>
      <c r="AC11" s="34"/>
      <c r="AD11" s="34"/>
      <c r="AE11" s="14"/>
      <c r="AF11" s="10"/>
      <c r="AG11" s="10"/>
      <c r="AH11" s="10"/>
      <c r="AI11" s="789"/>
      <c r="AJ11" s="789"/>
      <c r="AK11" s="10"/>
      <c r="AL11" s="10"/>
      <c r="AM11" s="10"/>
      <c r="AN11" s="10"/>
      <c r="AO11" s="94"/>
      <c r="AP11" s="11"/>
      <c r="AQ11" s="11"/>
      <c r="AR11" s="11"/>
      <c r="AS11" s="149"/>
      <c r="AT11" s="153"/>
      <c r="AU11" s="102"/>
      <c r="AV11" s="102"/>
      <c r="AW11" s="102"/>
      <c r="AX11" s="103"/>
      <c r="AY11" s="11"/>
      <c r="AZ11" s="10"/>
      <c r="BA11" s="11"/>
      <c r="BB11" s="11"/>
      <c r="BC11" s="10"/>
      <c r="BD11" s="10"/>
      <c r="BE11" s="13"/>
      <c r="BF11" s="34"/>
      <c r="BG11" s="10"/>
      <c r="BH11" s="34"/>
      <c r="BI11" s="34"/>
      <c r="BJ11" s="102"/>
      <c r="BK11" s="103"/>
      <c r="BL11" s="10">
        <f>'AX2'!IF8/1000/1000/1000</f>
        <v>6.2750000000000004</v>
      </c>
      <c r="BM11" s="11"/>
      <c r="BN11" s="11"/>
      <c r="BO11" s="12"/>
      <c r="BP11" s="10"/>
      <c r="BQ11" s="10"/>
      <c r="BR11" s="10"/>
      <c r="BS11" s="13"/>
      <c r="BT11" s="34"/>
      <c r="BU11" s="34"/>
      <c r="BV11" s="14"/>
      <c r="BW11" s="10"/>
      <c r="BX11" s="10"/>
      <c r="BY11" s="10"/>
      <c r="BZ11" s="10"/>
      <c r="CA11" s="10"/>
      <c r="CB11" s="10"/>
      <c r="CC11" s="13"/>
      <c r="CD11" s="34"/>
      <c r="CE11" s="34"/>
      <c r="CF11" s="34"/>
      <c r="CG11" s="34"/>
      <c r="CH11" s="34"/>
      <c r="CI11" s="34"/>
      <c r="CJ11" s="13">
        <f>'AX2'!KU8/1000/1000/1000</f>
        <v>0.65400000000000003</v>
      </c>
      <c r="CK11" s="34"/>
      <c r="CL11" s="14"/>
      <c r="CM11" s="116"/>
      <c r="CN11" s="10"/>
      <c r="CO11" s="10"/>
      <c r="CP11" s="10"/>
      <c r="CQ11" s="13"/>
      <c r="CR11" s="34"/>
      <c r="CS11" s="125"/>
      <c r="CT11" s="14"/>
      <c r="CU11" s="10"/>
      <c r="CV11" s="10"/>
      <c r="CW11" s="10"/>
      <c r="CX11" s="10"/>
      <c r="CY11" s="10"/>
      <c r="CZ11" s="13"/>
      <c r="DA11" s="34"/>
      <c r="DB11" s="34"/>
      <c r="DC11" s="34"/>
      <c r="DD11" s="14"/>
      <c r="DE11" s="13"/>
      <c r="DF11" s="14"/>
      <c r="DG11" s="116"/>
      <c r="DH11" s="10"/>
      <c r="DI11" s="10"/>
      <c r="DJ11" s="10"/>
      <c r="DK11" s="13"/>
      <c r="DL11" s="34"/>
      <c r="DM11" s="34"/>
      <c r="DN11" s="14"/>
      <c r="DO11" s="10"/>
      <c r="DP11" s="10"/>
      <c r="DQ11" s="10"/>
      <c r="DR11" s="10"/>
      <c r="DS11" s="10"/>
      <c r="DT11" s="13"/>
      <c r="DU11" s="34"/>
      <c r="DV11" s="34"/>
      <c r="DW11" s="34"/>
      <c r="DX11" s="14"/>
      <c r="DY11" s="13"/>
      <c r="DZ11" s="14"/>
      <c r="EA11" s="116"/>
      <c r="EB11" s="10"/>
      <c r="EC11" s="10"/>
      <c r="ED11" s="10"/>
      <c r="EE11" s="13"/>
      <c r="EF11" s="34"/>
      <c r="EG11" s="34"/>
      <c r="EH11" s="14"/>
      <c r="EI11" s="10"/>
      <c r="EJ11" s="10"/>
      <c r="EK11" s="10"/>
      <c r="EL11" s="10"/>
      <c r="EM11" s="10"/>
      <c r="EN11" s="13"/>
      <c r="EO11" s="34"/>
      <c r="EP11" s="34"/>
      <c r="EQ11" s="34"/>
      <c r="ER11" s="14"/>
      <c r="ES11" s="13"/>
      <c r="ET11" s="14"/>
      <c r="EU11" s="116"/>
      <c r="EV11" s="10">
        <f>'AX2'!SF8/1000/1000/1000</f>
        <v>7.5279999999999996</v>
      </c>
      <c r="EW11" s="10">
        <f>'AX2'!SC8/1000/1000/1000</f>
        <v>6.806</v>
      </c>
      <c r="EX11" s="10">
        <f t="shared" si="2"/>
        <v>-0.72199999999999953</v>
      </c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Q11" s="12"/>
      <c r="FS11" s="69"/>
      <c r="FT11" s="45"/>
      <c r="FU11" s="45"/>
      <c r="FV11" s="45"/>
      <c r="FW11" s="15"/>
      <c r="GB11" s="69"/>
      <c r="GC11" s="45"/>
      <c r="GD11" s="45"/>
      <c r="GE11" s="45"/>
      <c r="GF11" s="814"/>
      <c r="GG11" s="45"/>
      <c r="GH11" s="45"/>
      <c r="GI11" s="45"/>
      <c r="GJ11" s="45"/>
      <c r="GK11" s="45"/>
      <c r="GL11" s="45"/>
      <c r="GM11" s="45"/>
      <c r="GN11" s="45"/>
      <c r="GO11" s="12"/>
    </row>
    <row r="12" spans="1:197" s="9" customFormat="1" ht="12.75" hidden="1">
      <c r="B12" s="15">
        <v>1963</v>
      </c>
      <c r="C12" s="34"/>
      <c r="D12" s="34"/>
      <c r="E12" s="34"/>
      <c r="F12" s="34"/>
      <c r="G12" s="125"/>
      <c r="H12" s="14"/>
      <c r="I12" s="13"/>
      <c r="J12" s="34"/>
      <c r="K12" s="34"/>
      <c r="L12" s="14"/>
      <c r="M12" s="13"/>
      <c r="N12" s="34"/>
      <c r="O12" s="34"/>
      <c r="P12" s="34"/>
      <c r="Q12" s="34"/>
      <c r="R12" s="34"/>
      <c r="S12" s="14"/>
      <c r="T12" s="13"/>
      <c r="U12" s="34"/>
      <c r="V12" s="34"/>
      <c r="W12" s="34"/>
      <c r="X12" s="13">
        <f>'AX2'!VG9/1000/1000/1000</f>
        <v>7.67</v>
      </c>
      <c r="Y12" s="34">
        <f t="shared" si="0"/>
        <v>0.746</v>
      </c>
      <c r="Z12" s="125">
        <f t="shared" si="1"/>
        <v>6.9239999999999995</v>
      </c>
      <c r="AA12" s="34"/>
      <c r="AB12" s="34"/>
      <c r="AC12" s="34"/>
      <c r="AD12" s="34"/>
      <c r="AE12" s="14"/>
      <c r="AF12" s="10"/>
      <c r="AG12" s="10"/>
      <c r="AH12" s="10"/>
      <c r="AI12" s="789"/>
      <c r="AJ12" s="789"/>
      <c r="AK12" s="10"/>
      <c r="AL12" s="10"/>
      <c r="AM12" s="10"/>
      <c r="AN12" s="10"/>
      <c r="AO12" s="94"/>
      <c r="AP12" s="11"/>
      <c r="AQ12" s="11"/>
      <c r="AR12" s="11"/>
      <c r="AS12" s="149"/>
      <c r="AT12" s="153"/>
      <c r="AU12" s="102"/>
      <c r="AV12" s="102"/>
      <c r="AW12" s="102"/>
      <c r="AX12" s="103"/>
      <c r="AY12" s="11"/>
      <c r="AZ12" s="10"/>
      <c r="BA12" s="11"/>
      <c r="BB12" s="11"/>
      <c r="BC12" s="10"/>
      <c r="BD12" s="10"/>
      <c r="BE12" s="13"/>
      <c r="BF12" s="34"/>
      <c r="BG12" s="10"/>
      <c r="BH12" s="34"/>
      <c r="BI12" s="34"/>
      <c r="BJ12" s="102"/>
      <c r="BK12" s="103"/>
      <c r="BL12" s="10">
        <f>'AX2'!IF9/1000/1000/1000</f>
        <v>6.9240000000000004</v>
      </c>
      <c r="BM12" s="11"/>
      <c r="BN12" s="11"/>
      <c r="BO12" s="12"/>
      <c r="BP12" s="10"/>
      <c r="BQ12" s="10"/>
      <c r="BR12" s="10"/>
      <c r="BS12" s="13"/>
      <c r="BT12" s="34"/>
      <c r="BU12" s="34"/>
      <c r="BV12" s="14"/>
      <c r="BW12" s="10"/>
      <c r="BX12" s="10"/>
      <c r="BY12" s="10"/>
      <c r="BZ12" s="10"/>
      <c r="CA12" s="10"/>
      <c r="CB12" s="10"/>
      <c r="CC12" s="13"/>
      <c r="CD12" s="34"/>
      <c r="CE12" s="34"/>
      <c r="CF12" s="34"/>
      <c r="CG12" s="34"/>
      <c r="CH12" s="34"/>
      <c r="CI12" s="34"/>
      <c r="CJ12" s="13">
        <f>'AX2'!KU9/1000/1000/1000</f>
        <v>0.746</v>
      </c>
      <c r="CK12" s="34"/>
      <c r="CL12" s="14"/>
      <c r="CM12" s="116"/>
      <c r="CN12" s="10"/>
      <c r="CO12" s="10"/>
      <c r="CP12" s="10"/>
      <c r="CQ12" s="13"/>
      <c r="CR12" s="34"/>
      <c r="CS12" s="125"/>
      <c r="CT12" s="14"/>
      <c r="CU12" s="10"/>
      <c r="CV12" s="10"/>
      <c r="CW12" s="10"/>
      <c r="CX12" s="10"/>
      <c r="CY12" s="10"/>
      <c r="CZ12" s="13"/>
      <c r="DA12" s="34"/>
      <c r="DB12" s="34"/>
      <c r="DC12" s="34"/>
      <c r="DD12" s="14"/>
      <c r="DE12" s="13"/>
      <c r="DF12" s="14"/>
      <c r="DG12" s="116"/>
      <c r="DH12" s="10"/>
      <c r="DI12" s="10"/>
      <c r="DJ12" s="10"/>
      <c r="DK12" s="13"/>
      <c r="DL12" s="34"/>
      <c r="DM12" s="34"/>
      <c r="DN12" s="14"/>
      <c r="DO12" s="10"/>
      <c r="DP12" s="10"/>
      <c r="DQ12" s="10"/>
      <c r="DR12" s="10"/>
      <c r="DS12" s="10"/>
      <c r="DT12" s="13"/>
      <c r="DU12" s="34"/>
      <c r="DV12" s="34"/>
      <c r="DW12" s="34"/>
      <c r="DX12" s="14"/>
      <c r="DY12" s="13"/>
      <c r="DZ12" s="14"/>
      <c r="EA12" s="116"/>
      <c r="EB12" s="10"/>
      <c r="EC12" s="10"/>
      <c r="ED12" s="10"/>
      <c r="EE12" s="13"/>
      <c r="EF12" s="34"/>
      <c r="EG12" s="34"/>
      <c r="EH12" s="14"/>
      <c r="EI12" s="10"/>
      <c r="EJ12" s="10"/>
      <c r="EK12" s="10"/>
      <c r="EL12" s="10"/>
      <c r="EM12" s="10"/>
      <c r="EN12" s="13"/>
      <c r="EO12" s="34"/>
      <c r="EP12" s="34"/>
      <c r="EQ12" s="34"/>
      <c r="ER12" s="14"/>
      <c r="ES12" s="13"/>
      <c r="ET12" s="14"/>
      <c r="EU12" s="116"/>
      <c r="EV12" s="10">
        <f>'AX2'!SF9/1000/1000/1000</f>
        <v>8.3620000000000001</v>
      </c>
      <c r="EW12" s="10">
        <f>'AX2'!SC9/1000/1000/1000</f>
        <v>7.62</v>
      </c>
      <c r="EX12" s="10">
        <f t="shared" si="2"/>
        <v>-0.74199999999999999</v>
      </c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Q12" s="12"/>
      <c r="FS12" s="69"/>
      <c r="FT12" s="45"/>
      <c r="FU12" s="45"/>
      <c r="FV12" s="45"/>
      <c r="FW12" s="15"/>
      <c r="GB12" s="69"/>
      <c r="GC12" s="45"/>
      <c r="GD12" s="45"/>
      <c r="GE12" s="45"/>
      <c r="GF12" s="814"/>
      <c r="GG12" s="45"/>
      <c r="GH12" s="45"/>
      <c r="GI12" s="45"/>
      <c r="GJ12" s="45"/>
      <c r="GK12" s="45"/>
      <c r="GL12" s="45"/>
      <c r="GM12" s="45"/>
      <c r="GN12" s="45"/>
      <c r="GO12" s="12"/>
    </row>
    <row r="13" spans="1:197" s="9" customFormat="1" ht="12.75" hidden="1">
      <c r="B13" s="15">
        <v>1964</v>
      </c>
      <c r="C13" s="34"/>
      <c r="D13" s="34"/>
      <c r="E13" s="34"/>
      <c r="F13" s="34"/>
      <c r="G13" s="125"/>
      <c r="H13" s="14"/>
      <c r="I13" s="13"/>
      <c r="J13" s="34"/>
      <c r="K13" s="34"/>
      <c r="L13" s="14"/>
      <c r="M13" s="13"/>
      <c r="N13" s="34"/>
      <c r="O13" s="34"/>
      <c r="P13" s="34"/>
      <c r="Q13" s="34"/>
      <c r="R13" s="34"/>
      <c r="S13" s="14"/>
      <c r="T13" s="13"/>
      <c r="U13" s="34"/>
      <c r="V13" s="34"/>
      <c r="W13" s="34"/>
      <c r="X13" s="13">
        <f>'AX2'!VG10/1000/1000/1000</f>
        <v>8.4860000000000007</v>
      </c>
      <c r="Y13" s="34">
        <f t="shared" si="0"/>
        <v>0.84699999999999998</v>
      </c>
      <c r="Z13" s="125">
        <f t="shared" si="1"/>
        <v>7.6390000000000011</v>
      </c>
      <c r="AA13" s="34"/>
      <c r="AB13" s="34"/>
      <c r="AC13" s="34"/>
      <c r="AD13" s="34"/>
      <c r="AE13" s="14"/>
      <c r="AF13" s="10"/>
      <c r="AG13" s="10"/>
      <c r="AH13" s="10"/>
      <c r="AI13" s="789"/>
      <c r="AJ13" s="789"/>
      <c r="AK13" s="10"/>
      <c r="AL13" s="10"/>
      <c r="AM13" s="10"/>
      <c r="AN13" s="10"/>
      <c r="AO13" s="94"/>
      <c r="AP13" s="11"/>
      <c r="AQ13" s="11"/>
      <c r="AR13" s="11"/>
      <c r="AS13" s="149"/>
      <c r="AT13" s="153"/>
      <c r="AU13" s="102"/>
      <c r="AV13" s="102"/>
      <c r="AW13" s="102"/>
      <c r="AX13" s="103"/>
      <c r="AY13" s="11"/>
      <c r="AZ13" s="10"/>
      <c r="BA13" s="11"/>
      <c r="BB13" s="11"/>
      <c r="BC13" s="10"/>
      <c r="BD13" s="10"/>
      <c r="BE13" s="13"/>
      <c r="BF13" s="34"/>
      <c r="BG13" s="10"/>
      <c r="BH13" s="34"/>
      <c r="BI13" s="34"/>
      <c r="BJ13" s="102"/>
      <c r="BK13" s="103"/>
      <c r="BL13" s="10">
        <f>'AX2'!IF10/1000/1000/1000</f>
        <v>7.6390000000000002</v>
      </c>
      <c r="BM13" s="11"/>
      <c r="BN13" s="11"/>
      <c r="BO13" s="12"/>
      <c r="BP13" s="10"/>
      <c r="BQ13" s="10"/>
      <c r="BR13" s="10"/>
      <c r="BS13" s="13"/>
      <c r="BT13" s="34"/>
      <c r="BU13" s="34"/>
      <c r="BV13" s="14"/>
      <c r="BW13" s="10"/>
      <c r="BX13" s="10"/>
      <c r="BY13" s="10"/>
      <c r="BZ13" s="10"/>
      <c r="CA13" s="10"/>
      <c r="CB13" s="10"/>
      <c r="CC13" s="13"/>
      <c r="CD13" s="34"/>
      <c r="CE13" s="34"/>
      <c r="CF13" s="34"/>
      <c r="CG13" s="34"/>
      <c r="CH13" s="34"/>
      <c r="CI13" s="34"/>
      <c r="CJ13" s="13">
        <f>'AX2'!KU10/1000/1000/1000</f>
        <v>0.84699999999999998</v>
      </c>
      <c r="CK13" s="34"/>
      <c r="CL13" s="14"/>
      <c r="CM13" s="116"/>
      <c r="CN13" s="10"/>
      <c r="CO13" s="10"/>
      <c r="CP13" s="10"/>
      <c r="CQ13" s="13"/>
      <c r="CR13" s="34"/>
      <c r="CS13" s="125"/>
      <c r="CT13" s="14"/>
      <c r="CU13" s="10"/>
      <c r="CV13" s="10"/>
      <c r="CW13" s="10"/>
      <c r="CX13" s="10"/>
      <c r="CY13" s="10"/>
      <c r="CZ13" s="13"/>
      <c r="DA13" s="34"/>
      <c r="DB13" s="34"/>
      <c r="DC13" s="34"/>
      <c r="DD13" s="14"/>
      <c r="DE13" s="13"/>
      <c r="DF13" s="14"/>
      <c r="DG13" s="116"/>
      <c r="DH13" s="10"/>
      <c r="DI13" s="10"/>
      <c r="DJ13" s="10"/>
      <c r="DK13" s="13"/>
      <c r="DL13" s="34"/>
      <c r="DM13" s="34"/>
      <c r="DN13" s="14"/>
      <c r="DO13" s="10"/>
      <c r="DP13" s="10"/>
      <c r="DQ13" s="10"/>
      <c r="DR13" s="10"/>
      <c r="DS13" s="10"/>
      <c r="DT13" s="13"/>
      <c r="DU13" s="34"/>
      <c r="DV13" s="34"/>
      <c r="DW13" s="34"/>
      <c r="DX13" s="14"/>
      <c r="DY13" s="13"/>
      <c r="DZ13" s="14"/>
      <c r="EA13" s="116"/>
      <c r="EB13" s="10"/>
      <c r="EC13" s="10"/>
      <c r="ED13" s="10"/>
      <c r="EE13" s="13"/>
      <c r="EF13" s="34"/>
      <c r="EG13" s="34"/>
      <c r="EH13" s="14"/>
      <c r="EI13" s="10"/>
      <c r="EJ13" s="10"/>
      <c r="EK13" s="10"/>
      <c r="EL13" s="10"/>
      <c r="EM13" s="10"/>
      <c r="EN13" s="13"/>
      <c r="EO13" s="34"/>
      <c r="EP13" s="34"/>
      <c r="EQ13" s="34"/>
      <c r="ER13" s="14"/>
      <c r="ES13" s="13"/>
      <c r="ET13" s="14"/>
      <c r="EU13" s="116"/>
      <c r="EV13" s="10">
        <f>'AX2'!SF10/1000/1000/1000</f>
        <v>9.58</v>
      </c>
      <c r="EW13" s="10">
        <f>'AX2'!SC10/1000/1000/1000</f>
        <v>8.6690000000000005</v>
      </c>
      <c r="EX13" s="10">
        <f t="shared" si="2"/>
        <v>-0.91099999999999959</v>
      </c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Q13" s="12"/>
      <c r="FS13" s="69"/>
      <c r="FT13" s="45"/>
      <c r="FU13" s="45"/>
      <c r="FV13" s="45"/>
      <c r="FW13" s="15"/>
      <c r="GB13" s="69"/>
      <c r="GC13" s="45"/>
      <c r="GD13" s="45"/>
      <c r="GE13" s="45"/>
      <c r="GF13" s="814"/>
      <c r="GG13" s="45"/>
      <c r="GH13" s="45"/>
      <c r="GI13" s="45"/>
      <c r="GJ13" s="45"/>
      <c r="GK13" s="45"/>
      <c r="GL13" s="45"/>
      <c r="GM13" s="45"/>
      <c r="GN13" s="45"/>
      <c r="GO13" s="12"/>
    </row>
    <row r="14" spans="1:197" s="9" customFormat="1" ht="12.75" hidden="1">
      <c r="B14" s="15">
        <v>1965</v>
      </c>
      <c r="C14" s="34"/>
      <c r="D14" s="34"/>
      <c r="E14" s="34"/>
      <c r="F14" s="34"/>
      <c r="G14" s="125"/>
      <c r="H14" s="14"/>
      <c r="I14" s="13"/>
      <c r="J14" s="34"/>
      <c r="K14" s="34"/>
      <c r="L14" s="14"/>
      <c r="M14" s="13"/>
      <c r="N14" s="34"/>
      <c r="O14" s="34"/>
      <c r="P14" s="34"/>
      <c r="Q14" s="34"/>
      <c r="R14" s="34"/>
      <c r="S14" s="14"/>
      <c r="T14" s="13"/>
      <c r="U14" s="34"/>
      <c r="V14" s="34"/>
      <c r="W14" s="34"/>
      <c r="X14" s="13">
        <f>'AX2'!VG11/1000/1000/1000</f>
        <v>9.5589999999999993</v>
      </c>
      <c r="Y14" s="34">
        <f t="shared" si="0"/>
        <v>0.94899999999999995</v>
      </c>
      <c r="Z14" s="125">
        <f t="shared" si="1"/>
        <v>8.61</v>
      </c>
      <c r="AA14" s="34"/>
      <c r="AB14" s="34"/>
      <c r="AC14" s="34"/>
      <c r="AD14" s="34"/>
      <c r="AE14" s="14"/>
      <c r="AF14" s="10"/>
      <c r="AG14" s="10"/>
      <c r="AH14" s="10"/>
      <c r="AI14" s="789"/>
      <c r="AJ14" s="789"/>
      <c r="AK14" s="10"/>
      <c r="AL14" s="10"/>
      <c r="AM14" s="10"/>
      <c r="AN14" s="10"/>
      <c r="AO14" s="94"/>
      <c r="AP14" s="11"/>
      <c r="AQ14" s="11"/>
      <c r="AR14" s="11"/>
      <c r="AS14" s="149"/>
      <c r="AT14" s="153"/>
      <c r="AU14" s="102"/>
      <c r="AV14" s="102"/>
      <c r="AW14" s="102"/>
      <c r="AX14" s="103"/>
      <c r="AY14" s="11"/>
      <c r="AZ14" s="10"/>
      <c r="BA14" s="11"/>
      <c r="BB14" s="11"/>
      <c r="BC14" s="10"/>
      <c r="BD14" s="10"/>
      <c r="BE14" s="13"/>
      <c r="BF14" s="34"/>
      <c r="BG14" s="10"/>
      <c r="BH14" s="34"/>
      <c r="BI14" s="34"/>
      <c r="BJ14" s="102"/>
      <c r="BK14" s="103"/>
      <c r="BL14" s="10">
        <f>'AX2'!IF11/1000/1000/1000</f>
        <v>8.61</v>
      </c>
      <c r="BM14" s="11"/>
      <c r="BN14" s="11"/>
      <c r="BO14" s="12"/>
      <c r="BP14" s="10"/>
      <c r="BQ14" s="10"/>
      <c r="BR14" s="10"/>
      <c r="BS14" s="13"/>
      <c r="BT14" s="34"/>
      <c r="BU14" s="34"/>
      <c r="BV14" s="14"/>
      <c r="BW14" s="10"/>
      <c r="BX14" s="10"/>
      <c r="BY14" s="10"/>
      <c r="BZ14" s="10"/>
      <c r="CA14" s="10"/>
      <c r="CB14" s="10"/>
      <c r="CC14" s="13"/>
      <c r="CD14" s="34"/>
      <c r="CE14" s="34"/>
      <c r="CF14" s="34"/>
      <c r="CG14" s="34"/>
      <c r="CH14" s="34"/>
      <c r="CI14" s="34"/>
      <c r="CJ14" s="13">
        <f>'AX2'!KU11/1000/1000/1000</f>
        <v>0.94899999999999995</v>
      </c>
      <c r="CK14" s="34"/>
      <c r="CL14" s="14"/>
      <c r="CM14" s="116"/>
      <c r="CN14" s="10"/>
      <c r="CO14" s="10"/>
      <c r="CP14" s="10"/>
      <c r="CQ14" s="13"/>
      <c r="CR14" s="34"/>
      <c r="CS14" s="125"/>
      <c r="CT14" s="14"/>
      <c r="CU14" s="10"/>
      <c r="CV14" s="10"/>
      <c r="CW14" s="10"/>
      <c r="CX14" s="10"/>
      <c r="CY14" s="10"/>
      <c r="CZ14" s="13"/>
      <c r="DA14" s="34"/>
      <c r="DB14" s="34"/>
      <c r="DC14" s="34"/>
      <c r="DD14" s="14"/>
      <c r="DE14" s="13"/>
      <c r="DF14" s="14"/>
      <c r="DG14" s="116"/>
      <c r="DH14" s="10"/>
      <c r="DI14" s="10"/>
      <c r="DJ14" s="10"/>
      <c r="DK14" s="13"/>
      <c r="DL14" s="34"/>
      <c r="DM14" s="34"/>
      <c r="DN14" s="14"/>
      <c r="DO14" s="10"/>
      <c r="DP14" s="10"/>
      <c r="DQ14" s="10"/>
      <c r="DR14" s="10"/>
      <c r="DS14" s="10"/>
      <c r="DT14" s="13"/>
      <c r="DU14" s="34"/>
      <c r="DV14" s="34"/>
      <c r="DW14" s="34"/>
      <c r="DX14" s="14"/>
      <c r="DY14" s="13"/>
      <c r="DZ14" s="14"/>
      <c r="EA14" s="116"/>
      <c r="EB14" s="10"/>
      <c r="EC14" s="10"/>
      <c r="ED14" s="10"/>
      <c r="EE14" s="13"/>
      <c r="EF14" s="34"/>
      <c r="EG14" s="34"/>
      <c r="EH14" s="14"/>
      <c r="EI14" s="10"/>
      <c r="EJ14" s="10"/>
      <c r="EK14" s="10"/>
      <c r="EL14" s="10"/>
      <c r="EM14" s="10"/>
      <c r="EN14" s="13"/>
      <c r="EO14" s="34"/>
      <c r="EP14" s="34"/>
      <c r="EQ14" s="34"/>
      <c r="ER14" s="14"/>
      <c r="ES14" s="13"/>
      <c r="ET14" s="14"/>
      <c r="EU14" s="116"/>
      <c r="EV14" s="10">
        <f>'AX2'!SF11/1000/1000/1000</f>
        <v>10.083</v>
      </c>
      <c r="EW14" s="10">
        <f>'AX2'!SC11/1000/1000/1000</f>
        <v>9.6029999999999998</v>
      </c>
      <c r="EX14" s="10">
        <f t="shared" si="2"/>
        <v>-0.48000000000000043</v>
      </c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Q14" s="12"/>
      <c r="FS14" s="69"/>
      <c r="FT14" s="45"/>
      <c r="FU14" s="45"/>
      <c r="FV14" s="45"/>
      <c r="FW14" s="15"/>
      <c r="GB14" s="69"/>
      <c r="GC14" s="45"/>
      <c r="GD14" s="45"/>
      <c r="GE14" s="45"/>
      <c r="GF14" s="814"/>
      <c r="GG14" s="45"/>
      <c r="GH14" s="45"/>
      <c r="GI14" s="45"/>
      <c r="GJ14" s="45"/>
      <c r="GK14" s="45"/>
      <c r="GL14" s="45"/>
      <c r="GM14" s="45"/>
      <c r="GN14" s="45"/>
      <c r="GO14" s="12"/>
    </row>
    <row r="15" spans="1:197" s="9" customFormat="1" ht="12.75" hidden="1">
      <c r="B15" s="15">
        <v>1966</v>
      </c>
      <c r="C15" s="34"/>
      <c r="D15" s="34"/>
      <c r="E15" s="34"/>
      <c r="F15" s="34"/>
      <c r="G15" s="125"/>
      <c r="H15" s="14"/>
      <c r="I15" s="13"/>
      <c r="J15" s="34"/>
      <c r="K15" s="34"/>
      <c r="L15" s="14"/>
      <c r="M15" s="13"/>
      <c r="N15" s="34"/>
      <c r="O15" s="34"/>
      <c r="P15" s="34"/>
      <c r="Q15" s="34"/>
      <c r="R15" s="34"/>
      <c r="S15" s="14"/>
      <c r="T15" s="13"/>
      <c r="U15" s="34"/>
      <c r="V15" s="34"/>
      <c r="W15" s="34"/>
      <c r="X15" s="13">
        <f>'AX2'!VG12/1000/1000/1000</f>
        <v>10.833</v>
      </c>
      <c r="Y15" s="34">
        <f t="shared" si="0"/>
        <v>1.07</v>
      </c>
      <c r="Z15" s="125">
        <f t="shared" si="1"/>
        <v>9.7629999999999999</v>
      </c>
      <c r="AA15" s="34"/>
      <c r="AB15" s="34"/>
      <c r="AC15" s="34"/>
      <c r="AD15" s="34"/>
      <c r="AE15" s="14"/>
      <c r="AF15" s="10"/>
      <c r="AG15" s="10"/>
      <c r="AH15" s="10"/>
      <c r="AI15" s="789"/>
      <c r="AJ15" s="789"/>
      <c r="AK15" s="10"/>
      <c r="AL15" s="10"/>
      <c r="AM15" s="10"/>
      <c r="AN15" s="10"/>
      <c r="AO15" s="94"/>
      <c r="AP15" s="11"/>
      <c r="AQ15" s="11"/>
      <c r="AR15" s="11"/>
      <c r="AS15" s="149"/>
      <c r="AT15" s="153"/>
      <c r="AU15" s="102"/>
      <c r="AV15" s="102"/>
      <c r="AW15" s="102"/>
      <c r="AX15" s="103"/>
      <c r="AY15" s="11"/>
      <c r="AZ15" s="10"/>
      <c r="BA15" s="11"/>
      <c r="BB15" s="11"/>
      <c r="BC15" s="10"/>
      <c r="BD15" s="10"/>
      <c r="BE15" s="13"/>
      <c r="BF15" s="34"/>
      <c r="BG15" s="10"/>
      <c r="BH15" s="34"/>
      <c r="BI15" s="34"/>
      <c r="BJ15" s="102"/>
      <c r="BK15" s="103"/>
      <c r="BL15" s="10">
        <f>'AX2'!IF12/1000/1000/1000</f>
        <v>9.2910000000000004</v>
      </c>
      <c r="BM15" s="11"/>
      <c r="BN15" s="11"/>
      <c r="BO15" s="12"/>
      <c r="BP15" s="10"/>
      <c r="BQ15" s="10"/>
      <c r="BR15" s="10"/>
      <c r="BS15" s="13"/>
      <c r="BT15" s="34"/>
      <c r="BU15" s="34"/>
      <c r="BV15" s="14"/>
      <c r="BW15" s="10"/>
      <c r="BX15" s="10"/>
      <c r="BY15" s="10"/>
      <c r="BZ15" s="10"/>
      <c r="CA15" s="10"/>
      <c r="CB15" s="10"/>
      <c r="CC15" s="13"/>
      <c r="CD15" s="34"/>
      <c r="CE15" s="34"/>
      <c r="CF15" s="34"/>
      <c r="CG15" s="34"/>
      <c r="CH15" s="34"/>
      <c r="CI15" s="34"/>
      <c r="CJ15" s="13">
        <f>'AX2'!KU12/1000/1000/1000</f>
        <v>1.07</v>
      </c>
      <c r="CK15" s="34"/>
      <c r="CL15" s="14"/>
      <c r="CM15" s="116"/>
      <c r="CN15" s="10"/>
      <c r="CO15" s="10"/>
      <c r="CP15" s="10"/>
      <c r="CQ15" s="13"/>
      <c r="CR15" s="34"/>
      <c r="CS15" s="125"/>
      <c r="CT15" s="14"/>
      <c r="CU15" s="10"/>
      <c r="CV15" s="10"/>
      <c r="CW15" s="10"/>
      <c r="CX15" s="10"/>
      <c r="CY15" s="10"/>
      <c r="CZ15" s="13"/>
      <c r="DA15" s="34"/>
      <c r="DB15" s="34"/>
      <c r="DC15" s="34"/>
      <c r="DD15" s="14"/>
      <c r="DE15" s="13"/>
      <c r="DF15" s="14"/>
      <c r="DG15" s="116"/>
      <c r="DH15" s="10"/>
      <c r="DI15" s="10"/>
      <c r="DJ15" s="10"/>
      <c r="DK15" s="13"/>
      <c r="DL15" s="34"/>
      <c r="DM15" s="34"/>
      <c r="DN15" s="14"/>
      <c r="DO15" s="10"/>
      <c r="DP15" s="10"/>
      <c r="DQ15" s="10"/>
      <c r="DR15" s="10"/>
      <c r="DS15" s="10"/>
      <c r="DT15" s="13"/>
      <c r="DU15" s="34"/>
      <c r="DV15" s="34"/>
      <c r="DW15" s="34"/>
      <c r="DX15" s="14"/>
      <c r="DY15" s="13"/>
      <c r="DZ15" s="14"/>
      <c r="EA15" s="116"/>
      <c r="EB15" s="10"/>
      <c r="EC15" s="10"/>
      <c r="ED15" s="10"/>
      <c r="EE15" s="13"/>
      <c r="EF15" s="34"/>
      <c r="EG15" s="34"/>
      <c r="EH15" s="14"/>
      <c r="EI15" s="10"/>
      <c r="EJ15" s="10"/>
      <c r="EK15" s="10"/>
      <c r="EL15" s="10"/>
      <c r="EM15" s="10"/>
      <c r="EN15" s="13"/>
      <c r="EO15" s="34"/>
      <c r="EP15" s="34"/>
      <c r="EQ15" s="34"/>
      <c r="ER15" s="14"/>
      <c r="ES15" s="13"/>
      <c r="ET15" s="14"/>
      <c r="EU15" s="116"/>
      <c r="EV15" s="10">
        <f>'AX2'!SF12/1000/1000/1000</f>
        <v>11.346</v>
      </c>
      <c r="EW15" s="10">
        <f>'AX2'!SC12/1000/1000/1000</f>
        <v>10.840999999999999</v>
      </c>
      <c r="EX15" s="10">
        <f t="shared" si="2"/>
        <v>-0.50500000000000078</v>
      </c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Q15" s="12"/>
      <c r="FS15" s="69"/>
      <c r="FT15" s="45"/>
      <c r="FU15" s="45"/>
      <c r="FV15" s="45"/>
      <c r="FW15" s="15"/>
      <c r="GB15" s="69"/>
      <c r="GC15" s="45"/>
      <c r="GD15" s="45"/>
      <c r="GE15" s="45"/>
      <c r="GF15" s="814"/>
      <c r="GG15" s="45"/>
      <c r="GH15" s="45"/>
      <c r="GI15" s="45"/>
      <c r="GJ15" s="45"/>
      <c r="GK15" s="45"/>
      <c r="GL15" s="45"/>
      <c r="GM15" s="45"/>
      <c r="GN15" s="45"/>
      <c r="GO15" s="12"/>
    </row>
    <row r="16" spans="1:197" s="9" customFormat="1" ht="12.75" hidden="1">
      <c r="B16" s="15">
        <v>1967</v>
      </c>
      <c r="C16" s="34"/>
      <c r="D16" s="34"/>
      <c r="E16" s="34"/>
      <c r="F16" s="34"/>
      <c r="G16" s="125"/>
      <c r="H16" s="14"/>
      <c r="I16" s="13"/>
      <c r="J16" s="34"/>
      <c r="K16" s="34"/>
      <c r="L16" s="14"/>
      <c r="M16" s="13"/>
      <c r="N16" s="34"/>
      <c r="O16" s="34"/>
      <c r="P16" s="34"/>
      <c r="Q16" s="34"/>
      <c r="R16" s="34"/>
      <c r="S16" s="14"/>
      <c r="T16" s="13"/>
      <c r="U16" s="34"/>
      <c r="V16" s="34"/>
      <c r="W16" s="34"/>
      <c r="X16" s="13">
        <f>'AX2'!VG13/1000/1000/1000</f>
        <v>11.638</v>
      </c>
      <c r="Y16" s="34">
        <f t="shared" si="0"/>
        <v>1.1990000000000001</v>
      </c>
      <c r="Z16" s="125">
        <f t="shared" si="1"/>
        <v>10.439</v>
      </c>
      <c r="AA16" s="34"/>
      <c r="AB16" s="34"/>
      <c r="AC16" s="34"/>
      <c r="AD16" s="34"/>
      <c r="AE16" s="14"/>
      <c r="AF16" s="10"/>
      <c r="AG16" s="10"/>
      <c r="AH16" s="10"/>
      <c r="AI16" s="789"/>
      <c r="AJ16" s="789"/>
      <c r="AK16" s="10"/>
      <c r="AL16" s="10"/>
      <c r="AM16" s="10"/>
      <c r="AN16" s="10"/>
      <c r="AO16" s="94"/>
      <c r="AP16" s="11"/>
      <c r="AQ16" s="11"/>
      <c r="AR16" s="11"/>
      <c r="AS16" s="149"/>
      <c r="AT16" s="153"/>
      <c r="AU16" s="102"/>
      <c r="AV16" s="102"/>
      <c r="AW16" s="102"/>
      <c r="AX16" s="103"/>
      <c r="AY16" s="11"/>
      <c r="AZ16" s="10"/>
      <c r="BA16" s="11"/>
      <c r="BB16" s="11"/>
      <c r="BC16" s="10"/>
      <c r="BD16" s="10"/>
      <c r="BE16" s="13"/>
      <c r="BF16" s="34"/>
      <c r="BG16" s="10"/>
      <c r="BH16" s="34"/>
      <c r="BI16" s="34"/>
      <c r="BJ16" s="102"/>
      <c r="BK16" s="103"/>
      <c r="BL16" s="10">
        <f>'AX2'!IF13/1000/1000/1000</f>
        <v>9.9309999999999992</v>
      </c>
      <c r="BM16" s="11"/>
      <c r="BN16" s="11"/>
      <c r="BO16" s="12"/>
      <c r="BP16" s="10"/>
      <c r="BQ16" s="10"/>
      <c r="BR16" s="10"/>
      <c r="BS16" s="13"/>
      <c r="BT16" s="34"/>
      <c r="BU16" s="34"/>
      <c r="BV16" s="14"/>
      <c r="BW16" s="10"/>
      <c r="BX16" s="10"/>
      <c r="BY16" s="10"/>
      <c r="BZ16" s="10"/>
      <c r="CA16" s="10"/>
      <c r="CB16" s="10"/>
      <c r="CC16" s="13"/>
      <c r="CD16" s="34"/>
      <c r="CE16" s="34"/>
      <c r="CF16" s="34"/>
      <c r="CG16" s="34"/>
      <c r="CH16" s="34"/>
      <c r="CI16" s="34"/>
      <c r="CJ16" s="13">
        <f>'AX2'!KU13/1000/1000/1000</f>
        <v>1.1990000000000001</v>
      </c>
      <c r="CK16" s="34"/>
      <c r="CL16" s="14"/>
      <c r="CM16" s="116"/>
      <c r="CN16" s="10"/>
      <c r="CO16" s="10"/>
      <c r="CP16" s="10"/>
      <c r="CQ16" s="13"/>
      <c r="CR16" s="34"/>
      <c r="CS16" s="125"/>
      <c r="CT16" s="14"/>
      <c r="CU16" s="10"/>
      <c r="CV16" s="10"/>
      <c r="CW16" s="10"/>
      <c r="CX16" s="10"/>
      <c r="CY16" s="10"/>
      <c r="CZ16" s="13"/>
      <c r="DA16" s="34"/>
      <c r="DB16" s="34"/>
      <c r="DC16" s="34"/>
      <c r="DD16" s="14"/>
      <c r="DE16" s="13"/>
      <c r="DF16" s="14"/>
      <c r="DG16" s="116"/>
      <c r="DH16" s="10"/>
      <c r="DI16" s="10"/>
      <c r="DJ16" s="10"/>
      <c r="DK16" s="13"/>
      <c r="DL16" s="34"/>
      <c r="DM16" s="34"/>
      <c r="DN16" s="14"/>
      <c r="DO16" s="10"/>
      <c r="DP16" s="10"/>
      <c r="DQ16" s="10"/>
      <c r="DR16" s="10"/>
      <c r="DS16" s="10"/>
      <c r="DT16" s="13"/>
      <c r="DU16" s="34"/>
      <c r="DV16" s="34"/>
      <c r="DW16" s="34"/>
      <c r="DX16" s="14"/>
      <c r="DY16" s="13"/>
      <c r="DZ16" s="14"/>
      <c r="EA16" s="116"/>
      <c r="EB16" s="10"/>
      <c r="EC16" s="10"/>
      <c r="ED16" s="10"/>
      <c r="EE16" s="13"/>
      <c r="EF16" s="34"/>
      <c r="EG16" s="34"/>
      <c r="EH16" s="14"/>
      <c r="EI16" s="10"/>
      <c r="EJ16" s="10"/>
      <c r="EK16" s="10"/>
      <c r="EL16" s="10"/>
      <c r="EM16" s="10"/>
      <c r="EN16" s="13"/>
      <c r="EO16" s="34"/>
      <c r="EP16" s="34"/>
      <c r="EQ16" s="34"/>
      <c r="ER16" s="14"/>
      <c r="ES16" s="13"/>
      <c r="ET16" s="14"/>
      <c r="EU16" s="116"/>
      <c r="EV16" s="10">
        <f>'AX2'!SF13/1000/1000/1000</f>
        <v>11.757</v>
      </c>
      <c r="EW16" s="10">
        <f>'AX2'!SC13/1000/1000/1000</f>
        <v>12.477</v>
      </c>
      <c r="EX16" s="10">
        <f t="shared" si="2"/>
        <v>0.72000000000000064</v>
      </c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Q16" s="12"/>
      <c r="FS16" s="69"/>
      <c r="FT16" s="45"/>
      <c r="FU16" s="45"/>
      <c r="FV16" s="45"/>
      <c r="FW16" s="15"/>
      <c r="GB16" s="69"/>
      <c r="GC16" s="45"/>
      <c r="GD16" s="45"/>
      <c r="GE16" s="45"/>
      <c r="GF16" s="814"/>
      <c r="GG16" s="45"/>
      <c r="GH16" s="45"/>
      <c r="GI16" s="45"/>
      <c r="GJ16" s="45"/>
      <c r="GK16" s="45"/>
      <c r="GL16" s="45"/>
      <c r="GM16" s="45"/>
      <c r="GN16" s="45"/>
      <c r="GO16" s="12"/>
    </row>
    <row r="17" spans="2:200" s="9" customFormat="1" ht="12.75" hidden="1">
      <c r="B17" s="15">
        <v>1968</v>
      </c>
      <c r="C17" s="34"/>
      <c r="D17" s="34"/>
      <c r="E17" s="34"/>
      <c r="F17" s="34"/>
      <c r="G17" s="125"/>
      <c r="H17" s="14"/>
      <c r="I17" s="13"/>
      <c r="J17" s="34"/>
      <c r="K17" s="34"/>
      <c r="L17" s="14"/>
      <c r="M17" s="13"/>
      <c r="N17" s="34"/>
      <c r="O17" s="34"/>
      <c r="P17" s="34"/>
      <c r="Q17" s="34"/>
      <c r="R17" s="34"/>
      <c r="S17" s="14"/>
      <c r="T17" s="13"/>
      <c r="U17" s="34"/>
      <c r="V17" s="34"/>
      <c r="W17" s="34"/>
      <c r="X17" s="13">
        <f>'AX2'!VG14/1000/1000/1000</f>
        <v>12.891999999999999</v>
      </c>
      <c r="Y17" s="34">
        <f t="shared" si="0"/>
        <v>1.3</v>
      </c>
      <c r="Z17" s="125">
        <f t="shared" si="1"/>
        <v>11.591999999999999</v>
      </c>
      <c r="AA17" s="34"/>
      <c r="AB17" s="34"/>
      <c r="AC17" s="34"/>
      <c r="AD17" s="34"/>
      <c r="AE17" s="14"/>
      <c r="AF17" s="10"/>
      <c r="AG17" s="10"/>
      <c r="AH17" s="10"/>
      <c r="AI17" s="789"/>
      <c r="AJ17" s="789"/>
      <c r="AK17" s="10"/>
      <c r="AL17" s="10"/>
      <c r="AM17" s="10"/>
      <c r="AN17" s="10"/>
      <c r="AO17" s="94"/>
      <c r="AP17" s="11"/>
      <c r="AQ17" s="11"/>
      <c r="AR17" s="11"/>
      <c r="AS17" s="149"/>
      <c r="AT17" s="153"/>
      <c r="AU17" s="102"/>
      <c r="AV17" s="102"/>
      <c r="AW17" s="102"/>
      <c r="AX17" s="103"/>
      <c r="AY17" s="11"/>
      <c r="AZ17" s="10"/>
      <c r="BA17" s="11"/>
      <c r="BB17" s="11"/>
      <c r="BC17" s="10"/>
      <c r="BD17" s="10"/>
      <c r="BE17" s="13"/>
      <c r="BF17" s="34"/>
      <c r="BG17" s="10"/>
      <c r="BH17" s="34"/>
      <c r="BI17" s="34"/>
      <c r="BJ17" s="102"/>
      <c r="BK17" s="103"/>
      <c r="BL17" s="10">
        <f>'AX2'!IF14/1000/1000/1000</f>
        <v>11.039</v>
      </c>
      <c r="BM17" s="11"/>
      <c r="BN17" s="11"/>
      <c r="BO17" s="12"/>
      <c r="BP17" s="10"/>
      <c r="BQ17" s="10"/>
      <c r="BR17" s="10"/>
      <c r="BS17" s="13"/>
      <c r="BT17" s="34"/>
      <c r="BU17" s="34"/>
      <c r="BV17" s="14"/>
      <c r="BW17" s="10"/>
      <c r="BX17" s="10"/>
      <c r="BY17" s="10"/>
      <c r="BZ17" s="10"/>
      <c r="CA17" s="10"/>
      <c r="CB17" s="10"/>
      <c r="CC17" s="13"/>
      <c r="CD17" s="34"/>
      <c r="CE17" s="34"/>
      <c r="CF17" s="34"/>
      <c r="CG17" s="34"/>
      <c r="CH17" s="34"/>
      <c r="CI17" s="34"/>
      <c r="CJ17" s="13">
        <f>'AX2'!KU14/1000/1000/1000</f>
        <v>1.3</v>
      </c>
      <c r="CK17" s="34"/>
      <c r="CL17" s="14"/>
      <c r="CM17" s="116"/>
      <c r="CN17" s="10"/>
      <c r="CO17" s="10"/>
      <c r="CP17" s="10"/>
      <c r="CQ17" s="13"/>
      <c r="CR17" s="34"/>
      <c r="CS17" s="125"/>
      <c r="CT17" s="14"/>
      <c r="CU17" s="10"/>
      <c r="CV17" s="10"/>
      <c r="CW17" s="10"/>
      <c r="CX17" s="10"/>
      <c r="CY17" s="10"/>
      <c r="CZ17" s="13"/>
      <c r="DA17" s="34"/>
      <c r="DB17" s="34"/>
      <c r="DC17" s="34"/>
      <c r="DD17" s="14"/>
      <c r="DE17" s="13"/>
      <c r="DF17" s="14"/>
      <c r="DG17" s="116"/>
      <c r="DH17" s="10"/>
      <c r="DI17" s="10"/>
      <c r="DJ17" s="10"/>
      <c r="DK17" s="13"/>
      <c r="DL17" s="34"/>
      <c r="DM17" s="34"/>
      <c r="DN17" s="14"/>
      <c r="DO17" s="10"/>
      <c r="DP17" s="10"/>
      <c r="DQ17" s="10"/>
      <c r="DR17" s="10"/>
      <c r="DS17" s="10"/>
      <c r="DT17" s="13"/>
      <c r="DU17" s="34"/>
      <c r="DV17" s="34"/>
      <c r="DW17" s="34"/>
      <c r="DX17" s="14"/>
      <c r="DY17" s="13"/>
      <c r="DZ17" s="14"/>
      <c r="EA17" s="116"/>
      <c r="EB17" s="10"/>
      <c r="EC17" s="10"/>
      <c r="ED17" s="10"/>
      <c r="EE17" s="13"/>
      <c r="EF17" s="34"/>
      <c r="EG17" s="34"/>
      <c r="EH17" s="14"/>
      <c r="EI17" s="10"/>
      <c r="EJ17" s="10"/>
      <c r="EK17" s="10"/>
      <c r="EL17" s="10"/>
      <c r="EM17" s="10"/>
      <c r="EN17" s="13"/>
      <c r="EO17" s="34"/>
      <c r="EP17" s="34"/>
      <c r="EQ17" s="34"/>
      <c r="ER17" s="14"/>
      <c r="ES17" s="13"/>
      <c r="ET17" s="14"/>
      <c r="EU17" s="116"/>
      <c r="EV17" s="10">
        <f>'AX2'!SF14/1000/1000/1000</f>
        <v>14.025</v>
      </c>
      <c r="EW17" s="10">
        <f>'AX2'!SC14/1000/1000/1000</f>
        <v>14.914999999999999</v>
      </c>
      <c r="EX17" s="10">
        <f t="shared" si="2"/>
        <v>0.88999999999999879</v>
      </c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Q17" s="12"/>
      <c r="FS17" s="69"/>
      <c r="FT17" s="45"/>
      <c r="FU17" s="45"/>
      <c r="FV17" s="45"/>
      <c r="FW17" s="15"/>
      <c r="GB17" s="69"/>
      <c r="GC17" s="45"/>
      <c r="GD17" s="45"/>
      <c r="GE17" s="45"/>
      <c r="GF17" s="814"/>
      <c r="GG17" s="45"/>
      <c r="GH17" s="45"/>
      <c r="GI17" s="45"/>
      <c r="GJ17" s="45"/>
      <c r="GK17" s="45"/>
      <c r="GL17" s="45"/>
      <c r="GM17" s="45"/>
      <c r="GN17" s="45"/>
      <c r="GO17" s="12"/>
    </row>
    <row r="18" spans="2:200" s="9" customFormat="1" ht="12.75" hidden="1">
      <c r="B18" s="15">
        <v>1969</v>
      </c>
      <c r="C18" s="34"/>
      <c r="D18" s="34"/>
      <c r="E18" s="34"/>
      <c r="F18" s="34"/>
      <c r="G18" s="125"/>
      <c r="H18" s="14"/>
      <c r="I18" s="13"/>
      <c r="J18" s="34"/>
      <c r="K18" s="34"/>
      <c r="L18" s="14"/>
      <c r="M18" s="13"/>
      <c r="N18" s="34"/>
      <c r="O18" s="34"/>
      <c r="P18" s="34"/>
      <c r="Q18" s="34"/>
      <c r="R18" s="34"/>
      <c r="S18" s="14"/>
      <c r="T18" s="13"/>
      <c r="U18" s="34"/>
      <c r="V18" s="34"/>
      <c r="W18" s="34"/>
      <c r="X18" s="13">
        <f>'AX2'!VG15/1000/1000/1000</f>
        <v>14.529</v>
      </c>
      <c r="Y18" s="34">
        <f t="shared" si="0"/>
        <v>1.4119999999999999</v>
      </c>
      <c r="Z18" s="125">
        <f t="shared" si="1"/>
        <v>13.117000000000001</v>
      </c>
      <c r="AA18" s="34"/>
      <c r="AB18" s="34"/>
      <c r="AC18" s="34"/>
      <c r="AD18" s="34"/>
      <c r="AE18" s="14"/>
      <c r="AF18" s="10"/>
      <c r="AG18" s="10"/>
      <c r="AH18" s="10"/>
      <c r="AI18" s="789"/>
      <c r="AJ18" s="789"/>
      <c r="AK18" s="10"/>
      <c r="AL18" s="10"/>
      <c r="AM18" s="10"/>
      <c r="AN18" s="10"/>
      <c r="AO18" s="94"/>
      <c r="AP18" s="11"/>
      <c r="AQ18" s="11"/>
      <c r="AR18" s="11"/>
      <c r="AS18" s="149"/>
      <c r="AT18" s="153"/>
      <c r="AU18" s="102"/>
      <c r="AV18" s="102"/>
      <c r="AW18" s="102"/>
      <c r="AX18" s="103"/>
      <c r="AY18" s="11"/>
      <c r="AZ18" s="10"/>
      <c r="BA18" s="11"/>
      <c r="BB18" s="11"/>
      <c r="BC18" s="10"/>
      <c r="BD18" s="10"/>
      <c r="BE18" s="13"/>
      <c r="BF18" s="34"/>
      <c r="BG18" s="10"/>
      <c r="BH18" s="34"/>
      <c r="BI18" s="34"/>
      <c r="BJ18" s="102"/>
      <c r="BK18" s="103"/>
      <c r="BL18" s="10">
        <f>'AX2'!IF15/1000/1000/1000</f>
        <v>12.487</v>
      </c>
      <c r="BM18" s="11"/>
      <c r="BN18" s="11"/>
      <c r="BO18" s="12"/>
      <c r="BP18" s="10"/>
      <c r="BQ18" s="10"/>
      <c r="BR18" s="10"/>
      <c r="BS18" s="13"/>
      <c r="BT18" s="34"/>
      <c r="BU18" s="34"/>
      <c r="BV18" s="14"/>
      <c r="BW18" s="10"/>
      <c r="BX18" s="10"/>
      <c r="BY18" s="10"/>
      <c r="BZ18" s="10"/>
      <c r="CA18" s="10"/>
      <c r="CB18" s="10"/>
      <c r="CC18" s="13"/>
      <c r="CD18" s="34"/>
      <c r="CE18" s="34"/>
      <c r="CF18" s="34"/>
      <c r="CG18" s="34"/>
      <c r="CH18" s="34"/>
      <c r="CI18" s="34"/>
      <c r="CJ18" s="13">
        <f>'AX2'!KU15/1000/1000/1000</f>
        <v>1.4119999999999999</v>
      </c>
      <c r="CK18" s="34"/>
      <c r="CL18" s="14"/>
      <c r="CM18" s="116"/>
      <c r="CN18" s="10"/>
      <c r="CO18" s="10"/>
      <c r="CP18" s="10"/>
      <c r="CQ18" s="13"/>
      <c r="CR18" s="34"/>
      <c r="CS18" s="125"/>
      <c r="CT18" s="14"/>
      <c r="CU18" s="10"/>
      <c r="CV18" s="10"/>
      <c r="CW18" s="10"/>
      <c r="CX18" s="10"/>
      <c r="CY18" s="10"/>
      <c r="CZ18" s="13"/>
      <c r="DA18" s="34"/>
      <c r="DB18" s="34"/>
      <c r="DC18" s="34"/>
      <c r="DD18" s="14"/>
      <c r="DE18" s="13"/>
      <c r="DF18" s="14"/>
      <c r="DG18" s="116"/>
      <c r="DH18" s="10"/>
      <c r="DI18" s="10"/>
      <c r="DJ18" s="10"/>
      <c r="DK18" s="13"/>
      <c r="DL18" s="34"/>
      <c r="DM18" s="34"/>
      <c r="DN18" s="14"/>
      <c r="DO18" s="10"/>
      <c r="DP18" s="10"/>
      <c r="DQ18" s="10"/>
      <c r="DR18" s="10"/>
      <c r="DS18" s="10"/>
      <c r="DT18" s="13"/>
      <c r="DU18" s="34"/>
      <c r="DV18" s="34"/>
      <c r="DW18" s="34"/>
      <c r="DX18" s="14"/>
      <c r="DY18" s="13"/>
      <c r="DZ18" s="14"/>
      <c r="EA18" s="116"/>
      <c r="EB18" s="10"/>
      <c r="EC18" s="10"/>
      <c r="ED18" s="10"/>
      <c r="EE18" s="13"/>
      <c r="EF18" s="34"/>
      <c r="EG18" s="34"/>
      <c r="EH18" s="14"/>
      <c r="EI18" s="10"/>
      <c r="EJ18" s="10"/>
      <c r="EK18" s="10"/>
      <c r="EL18" s="10"/>
      <c r="EM18" s="10"/>
      <c r="EN18" s="13"/>
      <c r="EO18" s="34"/>
      <c r="EP18" s="34"/>
      <c r="EQ18" s="34"/>
      <c r="ER18" s="14"/>
      <c r="ES18" s="13"/>
      <c r="ET18" s="14"/>
      <c r="EU18" s="116"/>
      <c r="EV18" s="10">
        <f>'AX2'!SF15/1000/1000/1000</f>
        <v>16.744</v>
      </c>
      <c r="EW18" s="10">
        <f>'AX2'!SC15/1000/1000/1000</f>
        <v>18.459</v>
      </c>
      <c r="EX18" s="10">
        <f t="shared" ref="EX18:EX43" si="3">EW18-EV18</f>
        <v>1.7149999999999999</v>
      </c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Q18" s="12"/>
      <c r="FS18" s="69"/>
      <c r="FT18" s="45"/>
      <c r="FU18" s="45"/>
      <c r="FV18" s="45"/>
      <c r="FW18" s="15"/>
      <c r="GB18" s="69"/>
      <c r="GC18" s="45"/>
      <c r="GD18" s="45"/>
      <c r="GE18" s="45"/>
      <c r="GF18" s="814"/>
      <c r="GG18" s="45"/>
      <c r="GH18" s="45"/>
      <c r="GI18" s="45"/>
      <c r="GJ18" s="45"/>
      <c r="GK18" s="45"/>
      <c r="GL18" s="45"/>
      <c r="GM18" s="45"/>
      <c r="GN18" s="45"/>
      <c r="GO18" s="12"/>
    </row>
    <row r="19" spans="2:200" s="9" customFormat="1" ht="12.75" hidden="1">
      <c r="B19" s="15">
        <v>1970</v>
      </c>
      <c r="C19" s="34"/>
      <c r="D19" s="34"/>
      <c r="E19" s="34"/>
      <c r="F19" s="34"/>
      <c r="G19" s="125"/>
      <c r="H19" s="14"/>
      <c r="I19" s="13"/>
      <c r="J19" s="34"/>
      <c r="K19" s="34"/>
      <c r="L19" s="14"/>
      <c r="M19" s="13"/>
      <c r="N19" s="34"/>
      <c r="O19" s="34"/>
      <c r="P19" s="34"/>
      <c r="Q19" s="34"/>
      <c r="R19" s="34"/>
      <c r="S19" s="14"/>
      <c r="T19" s="13"/>
      <c r="U19" s="34"/>
      <c r="V19" s="34"/>
      <c r="W19" s="34"/>
      <c r="X19" s="13">
        <f>'AX2'!VG16/1000/1000/1000</f>
        <v>16.605</v>
      </c>
      <c r="Y19" s="34">
        <f t="shared" si="0"/>
        <v>1.63</v>
      </c>
      <c r="Z19" s="125">
        <f t="shared" si="1"/>
        <v>14.975000000000001</v>
      </c>
      <c r="AA19" s="34"/>
      <c r="AB19" s="34"/>
      <c r="AC19" s="34"/>
      <c r="AD19" s="34"/>
      <c r="AE19" s="14"/>
      <c r="AF19" s="10"/>
      <c r="AG19" s="10"/>
      <c r="AH19" s="10"/>
      <c r="AI19" s="789"/>
      <c r="AJ19" s="789"/>
      <c r="AK19" s="10"/>
      <c r="AL19" s="10"/>
      <c r="AM19" s="10"/>
      <c r="AN19" s="10"/>
      <c r="AO19" s="94"/>
      <c r="AP19" s="11"/>
      <c r="AQ19" s="11"/>
      <c r="AR19" s="11"/>
      <c r="AS19" s="149"/>
      <c r="AT19" s="153"/>
      <c r="AU19" s="102"/>
      <c r="AV19" s="102"/>
      <c r="AW19" s="102"/>
      <c r="AX19" s="103"/>
      <c r="AY19" s="11"/>
      <c r="AZ19" s="10"/>
      <c r="BA19" s="11"/>
      <c r="BB19" s="11"/>
      <c r="BC19" s="10"/>
      <c r="BD19" s="10"/>
      <c r="BE19" s="13"/>
      <c r="BF19" s="34"/>
      <c r="BG19" s="10"/>
      <c r="BH19" s="34"/>
      <c r="BI19" s="34"/>
      <c r="BJ19" s="102"/>
      <c r="BK19" s="103"/>
      <c r="BL19" s="10">
        <f>'AX2'!IF16/1000/1000/1000</f>
        <v>14.262</v>
      </c>
      <c r="BM19" s="11"/>
      <c r="BN19" s="11"/>
      <c r="BO19" s="12"/>
      <c r="BP19" s="10"/>
      <c r="BQ19" s="10"/>
      <c r="BR19" s="10"/>
      <c r="BS19" s="13"/>
      <c r="BT19" s="34"/>
      <c r="BU19" s="34"/>
      <c r="BV19" s="14"/>
      <c r="BW19" s="10"/>
      <c r="BX19" s="10"/>
      <c r="BY19" s="10"/>
      <c r="BZ19" s="10"/>
      <c r="CA19" s="10"/>
      <c r="CB19" s="10"/>
      <c r="CC19" s="13"/>
      <c r="CD19" s="34"/>
      <c r="CE19" s="34"/>
      <c r="CF19" s="34"/>
      <c r="CG19" s="34"/>
      <c r="CH19" s="34"/>
      <c r="CI19" s="34"/>
      <c r="CJ19" s="13">
        <f>'AX2'!KU16/1000/1000/1000</f>
        <v>1.63</v>
      </c>
      <c r="CK19" s="34"/>
      <c r="CL19" s="14"/>
      <c r="CM19" s="116"/>
      <c r="CN19" s="10"/>
      <c r="CO19" s="10"/>
      <c r="CP19" s="10"/>
      <c r="CQ19" s="13"/>
      <c r="CR19" s="34"/>
      <c r="CS19" s="125"/>
      <c r="CT19" s="14"/>
      <c r="CU19" s="10"/>
      <c r="CV19" s="10"/>
      <c r="CW19" s="10"/>
      <c r="CX19" s="10"/>
      <c r="CY19" s="10"/>
      <c r="CZ19" s="13"/>
      <c r="DA19" s="34"/>
      <c r="DB19" s="34"/>
      <c r="DC19" s="34"/>
      <c r="DD19" s="14"/>
      <c r="DE19" s="13"/>
      <c r="DF19" s="14"/>
      <c r="DG19" s="116"/>
      <c r="DH19" s="10"/>
      <c r="DI19" s="10"/>
      <c r="DJ19" s="10"/>
      <c r="DK19" s="13"/>
      <c r="DL19" s="34"/>
      <c r="DM19" s="34"/>
      <c r="DN19" s="14"/>
      <c r="DO19" s="10"/>
      <c r="DP19" s="10"/>
      <c r="DQ19" s="10"/>
      <c r="DR19" s="10"/>
      <c r="DS19" s="10"/>
      <c r="DT19" s="13"/>
      <c r="DU19" s="34"/>
      <c r="DV19" s="34"/>
      <c r="DW19" s="34"/>
      <c r="DX19" s="14"/>
      <c r="DY19" s="13"/>
      <c r="DZ19" s="14"/>
      <c r="EA19" s="116"/>
      <c r="EB19" s="10"/>
      <c r="EC19" s="10"/>
      <c r="ED19" s="10"/>
      <c r="EE19" s="13"/>
      <c r="EF19" s="34"/>
      <c r="EG19" s="34"/>
      <c r="EH19" s="14"/>
      <c r="EI19" s="10"/>
      <c r="EJ19" s="10"/>
      <c r="EK19" s="10"/>
      <c r="EL19" s="10"/>
      <c r="EM19" s="10"/>
      <c r="EN19" s="13"/>
      <c r="EO19" s="34"/>
      <c r="EP19" s="34"/>
      <c r="EQ19" s="34"/>
      <c r="ER19" s="14"/>
      <c r="ES19" s="13"/>
      <c r="ET19" s="14"/>
      <c r="EU19" s="116"/>
      <c r="EV19" s="10">
        <f>'AX2'!SF16/1000/1000/1000</f>
        <v>19.751999999999999</v>
      </c>
      <c r="EW19" s="10">
        <f>'AX2'!SC16/1000/1000/1000</f>
        <v>21.532</v>
      </c>
      <c r="EX19" s="10">
        <f t="shared" si="3"/>
        <v>1.7800000000000011</v>
      </c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Q19" s="12"/>
      <c r="FS19" s="69"/>
      <c r="FT19" s="45"/>
      <c r="FU19" s="45"/>
      <c r="FV19" s="45"/>
      <c r="FW19" s="15"/>
      <c r="GB19" s="69"/>
      <c r="GC19" s="45"/>
      <c r="GD19" s="45"/>
      <c r="GE19" s="45"/>
      <c r="GF19" s="814"/>
      <c r="GG19" s="45"/>
      <c r="GH19" s="45"/>
      <c r="GI19" s="45"/>
      <c r="GJ19" s="45"/>
      <c r="GK19" s="45"/>
      <c r="GL19" s="45"/>
      <c r="GM19" s="45"/>
      <c r="GN19" s="45"/>
      <c r="GO19" s="12"/>
    </row>
    <row r="20" spans="2:200" s="9" customFormat="1" ht="12.75" hidden="1">
      <c r="B20" s="15">
        <v>1971</v>
      </c>
      <c r="C20" s="34"/>
      <c r="D20" s="34"/>
      <c r="E20" s="34"/>
      <c r="F20" s="34"/>
      <c r="G20" s="125"/>
      <c r="H20" s="14"/>
      <c r="I20" s="13"/>
      <c r="J20" s="34"/>
      <c r="K20" s="34"/>
      <c r="L20" s="14"/>
      <c r="M20" s="13"/>
      <c r="N20" s="34"/>
      <c r="O20" s="34"/>
      <c r="P20" s="34"/>
      <c r="Q20" s="34"/>
      <c r="R20" s="34"/>
      <c r="S20" s="14"/>
      <c r="T20" s="13"/>
      <c r="U20" s="34"/>
      <c r="V20" s="34"/>
      <c r="W20" s="34"/>
      <c r="X20" s="13">
        <f>'AX2'!VG17/1000/1000/1000</f>
        <v>19.030999999999999</v>
      </c>
      <c r="Y20" s="34">
        <f t="shared" si="0"/>
        <v>1.7410000000000001</v>
      </c>
      <c r="Z20" s="125">
        <f t="shared" si="1"/>
        <v>17.29</v>
      </c>
      <c r="AA20" s="34"/>
      <c r="AB20" s="34"/>
      <c r="AC20" s="34"/>
      <c r="AD20" s="34"/>
      <c r="AE20" s="14"/>
      <c r="AF20" s="10"/>
      <c r="AG20" s="10"/>
      <c r="AH20" s="10"/>
      <c r="AI20" s="789"/>
      <c r="AJ20" s="789"/>
      <c r="AK20" s="10"/>
      <c r="AL20" s="10"/>
      <c r="AM20" s="10"/>
      <c r="AN20" s="10"/>
      <c r="AO20" s="94"/>
      <c r="AP20" s="11"/>
      <c r="AQ20" s="11"/>
      <c r="AR20" s="11"/>
      <c r="AS20" s="149"/>
      <c r="AT20" s="153"/>
      <c r="AU20" s="102"/>
      <c r="AV20" s="102"/>
      <c r="AW20" s="102"/>
      <c r="AX20" s="103"/>
      <c r="AY20" s="11"/>
      <c r="AZ20" s="10"/>
      <c r="BA20" s="11"/>
      <c r="BB20" s="11"/>
      <c r="BC20" s="10"/>
      <c r="BD20" s="10"/>
      <c r="BE20" s="13"/>
      <c r="BF20" s="34"/>
      <c r="BG20" s="10"/>
      <c r="BH20" s="34"/>
      <c r="BI20" s="34"/>
      <c r="BJ20" s="102"/>
      <c r="BK20" s="103"/>
      <c r="BL20" s="10">
        <f>'AX2'!IF17/1000/1000/1000</f>
        <v>16.47</v>
      </c>
      <c r="BM20" s="11"/>
      <c r="BN20" s="11"/>
      <c r="BO20" s="12"/>
      <c r="BP20" s="10"/>
      <c r="BQ20" s="10"/>
      <c r="BR20" s="10"/>
      <c r="BS20" s="13"/>
      <c r="BT20" s="34"/>
      <c r="BU20" s="34"/>
      <c r="BV20" s="14"/>
      <c r="BW20" s="10"/>
      <c r="BX20" s="10"/>
      <c r="BY20" s="10"/>
      <c r="BZ20" s="10"/>
      <c r="CA20" s="10"/>
      <c r="CB20" s="10"/>
      <c r="CC20" s="13"/>
      <c r="CD20" s="34"/>
      <c r="CE20" s="34"/>
      <c r="CF20" s="34"/>
      <c r="CG20" s="34"/>
      <c r="CH20" s="34"/>
      <c r="CI20" s="34"/>
      <c r="CJ20" s="13">
        <f>'AX2'!KU17/1000/1000/1000</f>
        <v>1.7410000000000001</v>
      </c>
      <c r="CK20" s="34"/>
      <c r="CL20" s="14"/>
      <c r="CM20" s="116"/>
      <c r="CN20" s="10"/>
      <c r="CO20" s="10"/>
      <c r="CP20" s="10"/>
      <c r="CQ20" s="13"/>
      <c r="CR20" s="34"/>
      <c r="CS20" s="125"/>
      <c r="CT20" s="14"/>
      <c r="CU20" s="10"/>
      <c r="CV20" s="10"/>
      <c r="CW20" s="10"/>
      <c r="CX20" s="10"/>
      <c r="CY20" s="10"/>
      <c r="CZ20" s="13"/>
      <c r="DA20" s="34"/>
      <c r="DB20" s="34"/>
      <c r="DC20" s="34"/>
      <c r="DD20" s="14"/>
      <c r="DE20" s="13"/>
      <c r="DF20" s="14"/>
      <c r="DG20" s="116"/>
      <c r="DH20" s="10"/>
      <c r="DI20" s="10"/>
      <c r="DJ20" s="10"/>
      <c r="DK20" s="13"/>
      <c r="DL20" s="34"/>
      <c r="DM20" s="34"/>
      <c r="DN20" s="14"/>
      <c r="DO20" s="10"/>
      <c r="DP20" s="10"/>
      <c r="DQ20" s="10"/>
      <c r="DR20" s="10"/>
      <c r="DS20" s="10"/>
      <c r="DT20" s="13"/>
      <c r="DU20" s="34"/>
      <c r="DV20" s="34"/>
      <c r="DW20" s="34"/>
      <c r="DX20" s="14"/>
      <c r="DY20" s="13"/>
      <c r="DZ20" s="14"/>
      <c r="EA20" s="116"/>
      <c r="EB20" s="10"/>
      <c r="EC20" s="10"/>
      <c r="ED20" s="10"/>
      <c r="EE20" s="13"/>
      <c r="EF20" s="34"/>
      <c r="EG20" s="34"/>
      <c r="EH20" s="14"/>
      <c r="EI20" s="10"/>
      <c r="EJ20" s="10"/>
      <c r="EK20" s="10"/>
      <c r="EL20" s="10"/>
      <c r="EM20" s="10"/>
      <c r="EN20" s="13"/>
      <c r="EO20" s="34"/>
      <c r="EP20" s="34"/>
      <c r="EQ20" s="34"/>
      <c r="ER20" s="14"/>
      <c r="ES20" s="13"/>
      <c r="ET20" s="14"/>
      <c r="EU20" s="116"/>
      <c r="EV20" s="10">
        <f>'AX2'!SF17/1000/1000/1000</f>
        <v>22.72</v>
      </c>
      <c r="EW20" s="10">
        <f>'AX2'!SC17/1000/1000/1000</f>
        <v>23.841000000000001</v>
      </c>
      <c r="EX20" s="10">
        <f t="shared" si="3"/>
        <v>1.1210000000000022</v>
      </c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Q20" s="12"/>
      <c r="FS20" s="69"/>
      <c r="FT20" s="45"/>
      <c r="FU20" s="45"/>
      <c r="FV20" s="45"/>
      <c r="FW20" s="15"/>
      <c r="GB20" s="69"/>
      <c r="GC20" s="45"/>
      <c r="GD20" s="45"/>
      <c r="GE20" s="45"/>
      <c r="GF20" s="814"/>
      <c r="GG20" s="45"/>
      <c r="GH20" s="45"/>
      <c r="GI20" s="45"/>
      <c r="GJ20" s="45"/>
      <c r="GK20" s="45"/>
      <c r="GL20" s="45"/>
      <c r="GM20" s="45"/>
      <c r="GN20" s="45"/>
      <c r="GO20" s="12"/>
    </row>
    <row r="21" spans="2:200" s="9" customFormat="1" ht="12.75" hidden="1">
      <c r="B21" s="15">
        <v>1972</v>
      </c>
      <c r="C21" s="34"/>
      <c r="D21" s="34"/>
      <c r="E21" s="34"/>
      <c r="F21" s="34"/>
      <c r="G21" s="125"/>
      <c r="H21" s="14"/>
      <c r="I21" s="13"/>
      <c r="J21" s="34"/>
      <c r="K21" s="34"/>
      <c r="L21" s="14"/>
      <c r="M21" s="13"/>
      <c r="N21" s="34"/>
      <c r="O21" s="34"/>
      <c r="P21" s="34"/>
      <c r="Q21" s="34"/>
      <c r="R21" s="34"/>
      <c r="S21" s="14"/>
      <c r="T21" s="13"/>
      <c r="U21" s="34"/>
      <c r="V21" s="34"/>
      <c r="W21" s="34"/>
      <c r="X21" s="13">
        <f>'AX2'!VG18/1000/1000/1000</f>
        <v>22.065000000000001</v>
      </c>
      <c r="Y21" s="34">
        <f t="shared" si="0"/>
        <v>2.0779999999999998</v>
      </c>
      <c r="Z21" s="125">
        <f t="shared" si="1"/>
        <v>19.987000000000002</v>
      </c>
      <c r="AA21" s="34"/>
      <c r="AB21" s="34"/>
      <c r="AC21" s="34"/>
      <c r="AD21" s="34"/>
      <c r="AE21" s="14"/>
      <c r="AF21" s="10"/>
      <c r="AG21" s="10"/>
      <c r="AH21" s="10"/>
      <c r="AI21" s="789"/>
      <c r="AJ21" s="789"/>
      <c r="AK21" s="10"/>
      <c r="AL21" s="10"/>
      <c r="AM21" s="10"/>
      <c r="AN21" s="10"/>
      <c r="AO21" s="94"/>
      <c r="AP21" s="11"/>
      <c r="AQ21" s="11"/>
      <c r="AR21" s="11"/>
      <c r="AS21" s="149"/>
      <c r="AT21" s="153"/>
      <c r="AU21" s="102"/>
      <c r="AV21" s="102"/>
      <c r="AW21" s="102"/>
      <c r="AX21" s="103"/>
      <c r="AY21" s="11"/>
      <c r="AZ21" s="10"/>
      <c r="BA21" s="11"/>
      <c r="BB21" s="11"/>
      <c r="BC21" s="10"/>
      <c r="BD21" s="10"/>
      <c r="BE21" s="13"/>
      <c r="BF21" s="34"/>
      <c r="BG21" s="10"/>
      <c r="BH21" s="34"/>
      <c r="BI21" s="34"/>
      <c r="BJ21" s="102"/>
      <c r="BK21" s="103"/>
      <c r="BL21" s="10">
        <f>'AX2'!IF18/1000/1000/1000</f>
        <v>18.969000000000001</v>
      </c>
      <c r="BM21" s="11"/>
      <c r="BN21" s="11"/>
      <c r="BO21" s="12"/>
      <c r="BP21" s="10"/>
      <c r="BQ21" s="10"/>
      <c r="BR21" s="10"/>
      <c r="BS21" s="13"/>
      <c r="BT21" s="34"/>
      <c r="BU21" s="34"/>
      <c r="BV21" s="14"/>
      <c r="BW21" s="10"/>
      <c r="BX21" s="10"/>
      <c r="BY21" s="10"/>
      <c r="BZ21" s="10"/>
      <c r="CA21" s="10"/>
      <c r="CB21" s="10"/>
      <c r="CC21" s="13"/>
      <c r="CD21" s="34"/>
      <c r="CE21" s="34"/>
      <c r="CF21" s="34"/>
      <c r="CG21" s="34"/>
      <c r="CH21" s="34"/>
      <c r="CI21" s="34"/>
      <c r="CJ21" s="13">
        <f>'AX2'!KU18/1000/1000/1000</f>
        <v>2.0779999999999998</v>
      </c>
      <c r="CK21" s="34"/>
      <c r="CL21" s="14"/>
      <c r="CM21" s="116"/>
      <c r="CN21" s="10"/>
      <c r="CO21" s="10"/>
      <c r="CP21" s="10"/>
      <c r="CQ21" s="13"/>
      <c r="CR21" s="34"/>
      <c r="CS21" s="125"/>
      <c r="CT21" s="14"/>
      <c r="CU21" s="10"/>
      <c r="CV21" s="10"/>
      <c r="CW21" s="10"/>
      <c r="CX21" s="10"/>
      <c r="CY21" s="10"/>
      <c r="CZ21" s="13"/>
      <c r="DA21" s="34"/>
      <c r="DB21" s="34"/>
      <c r="DC21" s="34"/>
      <c r="DD21" s="14"/>
      <c r="DE21" s="13"/>
      <c r="DF21" s="14"/>
      <c r="DG21" s="116"/>
      <c r="DH21" s="10"/>
      <c r="DI21" s="10"/>
      <c r="DJ21" s="10"/>
      <c r="DK21" s="13"/>
      <c r="DL21" s="34"/>
      <c r="DM21" s="34"/>
      <c r="DN21" s="14"/>
      <c r="DO21" s="10"/>
      <c r="DP21" s="10"/>
      <c r="DQ21" s="10"/>
      <c r="DR21" s="10"/>
      <c r="DS21" s="10"/>
      <c r="DT21" s="13"/>
      <c r="DU21" s="34"/>
      <c r="DV21" s="34"/>
      <c r="DW21" s="34"/>
      <c r="DX21" s="14"/>
      <c r="DY21" s="13"/>
      <c r="DZ21" s="14"/>
      <c r="EA21" s="116"/>
      <c r="EB21" s="10"/>
      <c r="EC21" s="10"/>
      <c r="ED21" s="10"/>
      <c r="EE21" s="13"/>
      <c r="EF21" s="34"/>
      <c r="EG21" s="34"/>
      <c r="EH21" s="14"/>
      <c r="EI21" s="10"/>
      <c r="EJ21" s="10"/>
      <c r="EK21" s="10"/>
      <c r="EL21" s="10"/>
      <c r="EM21" s="10"/>
      <c r="EN21" s="13"/>
      <c r="EO21" s="34"/>
      <c r="EP21" s="34"/>
      <c r="EQ21" s="34"/>
      <c r="ER21" s="14"/>
      <c r="ES21" s="13"/>
      <c r="ET21" s="14"/>
      <c r="EU21" s="116"/>
      <c r="EV21" s="10">
        <f>'AX2'!SF18/1000/1000/1000</f>
        <v>24.625</v>
      </c>
      <c r="EW21" s="10">
        <f>'AX2'!SC18/1000/1000/1000</f>
        <v>27.184000000000001</v>
      </c>
      <c r="EX21" s="10">
        <f t="shared" si="3"/>
        <v>2.5590000000000011</v>
      </c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Q21" s="12"/>
      <c r="FS21" s="69"/>
      <c r="FT21" s="45"/>
      <c r="FU21" s="45"/>
      <c r="FV21" s="45"/>
      <c r="FW21" s="15"/>
      <c r="GB21" s="69"/>
      <c r="GC21" s="45"/>
      <c r="GD21" s="45"/>
      <c r="GE21" s="45"/>
      <c r="GF21" s="814"/>
      <c r="GG21" s="45"/>
      <c r="GH21" s="45"/>
      <c r="GI21" s="45"/>
      <c r="GJ21" s="45"/>
      <c r="GK21" s="45"/>
      <c r="GL21" s="45"/>
      <c r="GM21" s="45"/>
      <c r="GN21" s="45"/>
      <c r="GO21" s="12"/>
    </row>
    <row r="22" spans="2:200" s="9" customFormat="1" ht="12.75" hidden="1">
      <c r="B22" s="15">
        <v>1973</v>
      </c>
      <c r="C22" s="34"/>
      <c r="D22" s="34"/>
      <c r="E22" s="34"/>
      <c r="F22" s="34"/>
      <c r="G22" s="125"/>
      <c r="H22" s="14"/>
      <c r="I22" s="13"/>
      <c r="J22" s="34"/>
      <c r="K22" s="34"/>
      <c r="L22" s="14"/>
      <c r="M22" s="13"/>
      <c r="N22" s="34"/>
      <c r="O22" s="34"/>
      <c r="P22" s="34"/>
      <c r="Q22" s="34"/>
      <c r="R22" s="34"/>
      <c r="S22" s="14"/>
      <c r="T22" s="13"/>
      <c r="U22" s="34"/>
      <c r="V22" s="34"/>
      <c r="W22" s="34"/>
      <c r="X22" s="13">
        <f>'AX2'!VG19/1000/1000/1000</f>
        <v>29.218</v>
      </c>
      <c r="Y22" s="34">
        <f t="shared" si="0"/>
        <v>2.5590000000000002</v>
      </c>
      <c r="Z22" s="125">
        <f t="shared" si="1"/>
        <v>26.658999999999999</v>
      </c>
      <c r="AA22" s="34"/>
      <c r="AB22" s="34"/>
      <c r="AC22" s="34"/>
      <c r="AD22" s="34"/>
      <c r="AE22" s="14"/>
      <c r="AF22" s="10"/>
      <c r="AG22" s="10"/>
      <c r="AH22" s="10"/>
      <c r="AI22" s="789"/>
      <c r="AJ22" s="789"/>
      <c r="AK22" s="10"/>
      <c r="AL22" s="10"/>
      <c r="AM22" s="10"/>
      <c r="AN22" s="10"/>
      <c r="AO22" s="94"/>
      <c r="AP22" s="11"/>
      <c r="AQ22" s="11"/>
      <c r="AR22" s="11"/>
      <c r="AS22" s="149"/>
      <c r="AT22" s="153"/>
      <c r="AU22" s="102"/>
      <c r="AV22" s="102"/>
      <c r="AW22" s="102"/>
      <c r="AX22" s="103"/>
      <c r="AY22" s="11"/>
      <c r="AZ22" s="10"/>
      <c r="BA22" s="11"/>
      <c r="BB22" s="11"/>
      <c r="BC22" s="10"/>
      <c r="BD22" s="10"/>
      <c r="BE22" s="13"/>
      <c r="BF22" s="34"/>
      <c r="BG22" s="10"/>
      <c r="BH22" s="34"/>
      <c r="BI22" s="34"/>
      <c r="BJ22" s="102"/>
      <c r="BK22" s="103"/>
      <c r="BL22" s="10">
        <f>'AX2'!IF19/1000/1000/1000</f>
        <v>25.332999999999998</v>
      </c>
      <c r="BM22" s="11"/>
      <c r="BN22" s="11"/>
      <c r="BO22" s="12"/>
      <c r="BP22" s="10"/>
      <c r="BQ22" s="10"/>
      <c r="BR22" s="10"/>
      <c r="BS22" s="13"/>
      <c r="BT22" s="34"/>
      <c r="BU22" s="34"/>
      <c r="BV22" s="14"/>
      <c r="BW22" s="10"/>
      <c r="BX22" s="10"/>
      <c r="BY22" s="10"/>
      <c r="BZ22" s="10"/>
      <c r="CA22" s="10"/>
      <c r="CB22" s="10"/>
      <c r="CC22" s="13"/>
      <c r="CD22" s="34"/>
      <c r="CE22" s="34"/>
      <c r="CF22" s="34"/>
      <c r="CG22" s="34"/>
      <c r="CH22" s="34"/>
      <c r="CI22" s="34"/>
      <c r="CJ22" s="13">
        <f>'AX2'!KU19/1000/1000/1000</f>
        <v>2.5590000000000002</v>
      </c>
      <c r="CK22" s="34"/>
      <c r="CL22" s="14"/>
      <c r="CM22" s="116"/>
      <c r="CN22" s="10"/>
      <c r="CO22" s="10"/>
      <c r="CP22" s="10"/>
      <c r="CQ22" s="13"/>
      <c r="CR22" s="34"/>
      <c r="CS22" s="125"/>
      <c r="CT22" s="14"/>
      <c r="CU22" s="10"/>
      <c r="CV22" s="10"/>
      <c r="CW22" s="10"/>
      <c r="CX22" s="10"/>
      <c r="CY22" s="10"/>
      <c r="CZ22" s="13"/>
      <c r="DA22" s="34"/>
      <c r="DB22" s="34"/>
      <c r="DC22" s="34"/>
      <c r="DD22" s="14"/>
      <c r="DE22" s="13"/>
      <c r="DF22" s="14"/>
      <c r="DG22" s="116"/>
      <c r="DH22" s="10"/>
      <c r="DI22" s="10"/>
      <c r="DJ22" s="10"/>
      <c r="DK22" s="13"/>
      <c r="DL22" s="34"/>
      <c r="DM22" s="34"/>
      <c r="DN22" s="14"/>
      <c r="DO22" s="10"/>
      <c r="DP22" s="10"/>
      <c r="DQ22" s="10"/>
      <c r="DR22" s="10"/>
      <c r="DS22" s="10"/>
      <c r="DT22" s="13"/>
      <c r="DU22" s="34"/>
      <c r="DV22" s="34"/>
      <c r="DW22" s="34"/>
      <c r="DX22" s="14"/>
      <c r="DY22" s="13"/>
      <c r="DZ22" s="14"/>
      <c r="EA22" s="116"/>
      <c r="EB22" s="10"/>
      <c r="EC22" s="10"/>
      <c r="ED22" s="10"/>
      <c r="EE22" s="13"/>
      <c r="EF22" s="34"/>
      <c r="EG22" s="34"/>
      <c r="EH22" s="14"/>
      <c r="EI22" s="10"/>
      <c r="EJ22" s="10"/>
      <c r="EK22" s="10"/>
      <c r="EL22" s="10"/>
      <c r="EM22" s="10"/>
      <c r="EN22" s="13"/>
      <c r="EO22" s="34"/>
      <c r="EP22" s="34"/>
      <c r="EQ22" s="34"/>
      <c r="ER22" s="14"/>
      <c r="ES22" s="13"/>
      <c r="ET22" s="14"/>
      <c r="EU22" s="116"/>
      <c r="EV22" s="10">
        <f>'AX2'!SF19/1000/1000/1000</f>
        <v>32.692999999999998</v>
      </c>
      <c r="EW22" s="10">
        <f>'AX2'!SC19/1000/1000/1000</f>
        <v>35.302</v>
      </c>
      <c r="EX22" s="10">
        <f t="shared" si="3"/>
        <v>2.6090000000000018</v>
      </c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Q22" s="12"/>
      <c r="FS22" s="69"/>
      <c r="FT22" s="45"/>
      <c r="FU22" s="45"/>
      <c r="FV22" s="45"/>
      <c r="FW22" s="15"/>
      <c r="GB22" s="69"/>
      <c r="GC22" s="45"/>
      <c r="GD22" s="45"/>
      <c r="GE22" s="45"/>
      <c r="GF22" s="814"/>
      <c r="GG22" s="45"/>
      <c r="GH22" s="45"/>
      <c r="GI22" s="45"/>
      <c r="GJ22" s="45"/>
      <c r="GK22" s="45"/>
      <c r="GL22" s="45"/>
      <c r="GM22" s="45"/>
      <c r="GN22" s="45"/>
      <c r="GO22" s="12"/>
    </row>
    <row r="23" spans="2:200" s="9" customFormat="1" ht="12.75" hidden="1">
      <c r="B23" s="15">
        <v>1974</v>
      </c>
      <c r="C23" s="34"/>
      <c r="D23" s="34"/>
      <c r="E23" s="34"/>
      <c r="F23" s="34"/>
      <c r="G23" s="125"/>
      <c r="H23" s="14"/>
      <c r="I23" s="13"/>
      <c r="J23" s="34"/>
      <c r="K23" s="34"/>
      <c r="L23" s="14"/>
      <c r="M23" s="13"/>
      <c r="N23" s="34"/>
      <c r="O23" s="34"/>
      <c r="P23" s="34"/>
      <c r="Q23" s="34"/>
      <c r="R23" s="34"/>
      <c r="S23" s="14"/>
      <c r="T23" s="13"/>
      <c r="U23" s="34"/>
      <c r="V23" s="34"/>
      <c r="W23" s="34"/>
      <c r="X23" s="13">
        <f>'AX2'!VG20/1000/1000/1000</f>
        <v>33.476999999999997</v>
      </c>
      <c r="Y23" s="34">
        <f t="shared" si="0"/>
        <v>3.1709999999999998</v>
      </c>
      <c r="Z23" s="125">
        <f t="shared" si="1"/>
        <v>30.305999999999997</v>
      </c>
      <c r="AA23" s="34"/>
      <c r="AB23" s="34"/>
      <c r="AC23" s="34"/>
      <c r="AD23" s="34"/>
      <c r="AE23" s="14"/>
      <c r="AF23" s="10"/>
      <c r="AG23" s="10"/>
      <c r="AH23" s="10"/>
      <c r="AI23" s="789"/>
      <c r="AJ23" s="789"/>
      <c r="AK23" s="10"/>
      <c r="AL23" s="10"/>
      <c r="AM23" s="10"/>
      <c r="AN23" s="10"/>
      <c r="AO23" s="94"/>
      <c r="AP23" s="11"/>
      <c r="AQ23" s="11"/>
      <c r="AR23" s="11"/>
      <c r="AS23" s="149"/>
      <c r="AT23" s="153"/>
      <c r="AU23" s="102"/>
      <c r="AV23" s="102"/>
      <c r="AW23" s="102"/>
      <c r="AX23" s="103"/>
      <c r="AY23" s="11"/>
      <c r="AZ23" s="10"/>
      <c r="BA23" s="11"/>
      <c r="BB23" s="11"/>
      <c r="BC23" s="10"/>
      <c r="BD23" s="10"/>
      <c r="BE23" s="13"/>
      <c r="BF23" s="34"/>
      <c r="BG23" s="10"/>
      <c r="BH23" s="34"/>
      <c r="BI23" s="34"/>
      <c r="BJ23" s="102"/>
      <c r="BK23" s="103"/>
      <c r="BL23" s="10">
        <f>'AX2'!IF20/1000/1000/1000</f>
        <v>28.713000000000001</v>
      </c>
      <c r="BM23" s="11"/>
      <c r="BN23" s="11"/>
      <c r="BO23" s="12"/>
      <c r="BP23" s="10"/>
      <c r="BQ23" s="10"/>
      <c r="BR23" s="10"/>
      <c r="BS23" s="13"/>
      <c r="BT23" s="34"/>
      <c r="BU23" s="34"/>
      <c r="BV23" s="14"/>
      <c r="BW23" s="10"/>
      <c r="BX23" s="10"/>
      <c r="BY23" s="10"/>
      <c r="BZ23" s="10"/>
      <c r="CA23" s="10"/>
      <c r="CB23" s="10"/>
      <c r="CC23" s="13"/>
      <c r="CD23" s="34"/>
      <c r="CE23" s="34"/>
      <c r="CF23" s="34"/>
      <c r="CG23" s="34"/>
      <c r="CH23" s="34"/>
      <c r="CI23" s="34"/>
      <c r="CJ23" s="13">
        <f>'AX2'!KU20/1000/1000/1000</f>
        <v>3.1709999999999998</v>
      </c>
      <c r="CK23" s="34"/>
      <c r="CL23" s="14"/>
      <c r="CM23" s="116"/>
      <c r="CN23" s="10"/>
      <c r="CO23" s="10"/>
      <c r="CP23" s="10"/>
      <c r="CQ23" s="13"/>
      <c r="CR23" s="34"/>
      <c r="CS23" s="125"/>
      <c r="CT23" s="14"/>
      <c r="CU23" s="10"/>
      <c r="CV23" s="10"/>
      <c r="CW23" s="10"/>
      <c r="CX23" s="10"/>
      <c r="CY23" s="10"/>
      <c r="CZ23" s="13"/>
      <c r="DA23" s="34"/>
      <c r="DB23" s="34"/>
      <c r="DC23" s="34"/>
      <c r="DD23" s="14"/>
      <c r="DE23" s="13"/>
      <c r="DF23" s="14"/>
      <c r="DG23" s="116"/>
      <c r="DH23" s="10"/>
      <c r="DI23" s="10"/>
      <c r="DJ23" s="10"/>
      <c r="DK23" s="13"/>
      <c r="DL23" s="34"/>
      <c r="DM23" s="34"/>
      <c r="DN23" s="14"/>
      <c r="DO23" s="10"/>
      <c r="DP23" s="10"/>
      <c r="DQ23" s="10"/>
      <c r="DR23" s="10"/>
      <c r="DS23" s="10"/>
      <c r="DT23" s="13"/>
      <c r="DU23" s="34"/>
      <c r="DV23" s="34"/>
      <c r="DW23" s="34"/>
      <c r="DX23" s="14"/>
      <c r="DY23" s="13"/>
      <c r="DZ23" s="14"/>
      <c r="EA23" s="116"/>
      <c r="EB23" s="10"/>
      <c r="EC23" s="10"/>
      <c r="ED23" s="10"/>
      <c r="EE23" s="13"/>
      <c r="EF23" s="34"/>
      <c r="EG23" s="34"/>
      <c r="EH23" s="14"/>
      <c r="EI23" s="10"/>
      <c r="EJ23" s="10"/>
      <c r="EK23" s="10"/>
      <c r="EL23" s="10"/>
      <c r="EM23" s="10"/>
      <c r="EN23" s="13"/>
      <c r="EO23" s="34"/>
      <c r="EP23" s="34"/>
      <c r="EQ23" s="34"/>
      <c r="ER23" s="14"/>
      <c r="ES23" s="13"/>
      <c r="ET23" s="14"/>
      <c r="EU23" s="116"/>
      <c r="EV23" s="10">
        <f>'AX2'!SF20/1000/1000/1000</f>
        <v>38.661999999999999</v>
      </c>
      <c r="EW23" s="10">
        <f>'AX2'!SC20/1000/1000/1000</f>
        <v>40.926000000000002</v>
      </c>
      <c r="EX23" s="10">
        <f t="shared" si="3"/>
        <v>2.2640000000000029</v>
      </c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Q23" s="12"/>
      <c r="FS23" s="69"/>
      <c r="FT23" s="45"/>
      <c r="FU23" s="45"/>
      <c r="FV23" s="45"/>
      <c r="FW23" s="15"/>
      <c r="GB23" s="69"/>
      <c r="GC23" s="45"/>
      <c r="GD23" s="45"/>
      <c r="GE23" s="45"/>
      <c r="GF23" s="814"/>
      <c r="GG23" s="45"/>
      <c r="GH23" s="45"/>
      <c r="GI23" s="45"/>
      <c r="GJ23" s="45"/>
      <c r="GK23" s="45"/>
      <c r="GL23" s="45"/>
      <c r="GM23" s="45"/>
      <c r="GN23" s="45"/>
      <c r="GO23" s="12"/>
    </row>
    <row r="24" spans="2:200" s="9" customFormat="1" ht="12.75" hidden="1">
      <c r="B24" s="15">
        <v>1975</v>
      </c>
      <c r="C24" s="34"/>
      <c r="D24" s="34"/>
      <c r="E24" s="34"/>
      <c r="F24" s="34"/>
      <c r="G24" s="125"/>
      <c r="H24" s="14"/>
      <c r="I24" s="13"/>
      <c r="J24" s="34"/>
      <c r="K24" s="34"/>
      <c r="L24" s="14"/>
      <c r="M24" s="13"/>
      <c r="N24" s="34"/>
      <c r="O24" s="34"/>
      <c r="P24" s="34"/>
      <c r="Q24" s="34"/>
      <c r="R24" s="34"/>
      <c r="S24" s="14"/>
      <c r="T24" s="13"/>
      <c r="U24" s="34"/>
      <c r="V24" s="34"/>
      <c r="W24" s="34"/>
      <c r="X24" s="13">
        <f>'AX2'!VG21/1000/1000/1000</f>
        <v>35.414999999999999</v>
      </c>
      <c r="Y24" s="34">
        <f t="shared" si="0"/>
        <v>3.4929999999999999</v>
      </c>
      <c r="Z24" s="125">
        <f t="shared" si="1"/>
        <v>31.922000000000001</v>
      </c>
      <c r="AA24" s="34"/>
      <c r="AB24" s="34"/>
      <c r="AC24" s="34"/>
      <c r="AD24" s="34"/>
      <c r="AE24" s="14"/>
      <c r="AF24" s="10"/>
      <c r="AG24" s="10"/>
      <c r="AH24" s="10"/>
      <c r="AI24" s="789"/>
      <c r="AJ24" s="789"/>
      <c r="AK24" s="10"/>
      <c r="AL24" s="10"/>
      <c r="AM24" s="10"/>
      <c r="AN24" s="10"/>
      <c r="AO24" s="94"/>
      <c r="AP24" s="11"/>
      <c r="AQ24" s="11"/>
      <c r="AR24" s="11"/>
      <c r="AS24" s="149"/>
      <c r="AT24" s="153"/>
      <c r="AU24" s="102"/>
      <c r="AV24" s="102"/>
      <c r="AW24" s="102"/>
      <c r="AX24" s="103"/>
      <c r="AY24" s="11"/>
      <c r="AZ24" s="10"/>
      <c r="BA24" s="11"/>
      <c r="BB24" s="11"/>
      <c r="BC24" s="10"/>
      <c r="BD24" s="10"/>
      <c r="BE24" s="13"/>
      <c r="BF24" s="34"/>
      <c r="BG24" s="10"/>
      <c r="BH24" s="34"/>
      <c r="BI24" s="34"/>
      <c r="BJ24" s="102"/>
      <c r="BK24" s="103"/>
      <c r="BL24" s="10">
        <f>'AX2'!IF21/1000/1000/1000</f>
        <v>30.1</v>
      </c>
      <c r="BM24" s="11"/>
      <c r="BN24" s="11"/>
      <c r="BO24" s="12"/>
      <c r="BP24" s="10"/>
      <c r="BQ24" s="10"/>
      <c r="BR24" s="10"/>
      <c r="BS24" s="13"/>
      <c r="BT24" s="34"/>
      <c r="BU24" s="34"/>
      <c r="BV24" s="14"/>
      <c r="BW24" s="10"/>
      <c r="BX24" s="10"/>
      <c r="BY24" s="10"/>
      <c r="BZ24" s="10"/>
      <c r="CA24" s="10"/>
      <c r="CB24" s="10"/>
      <c r="CC24" s="13"/>
      <c r="CD24" s="34"/>
      <c r="CE24" s="34"/>
      <c r="CF24" s="34"/>
      <c r="CG24" s="34"/>
      <c r="CH24" s="34"/>
      <c r="CI24" s="34"/>
      <c r="CJ24" s="13">
        <f>'AX2'!KU21/1000/1000/1000</f>
        <v>3.4929999999999999</v>
      </c>
      <c r="CK24" s="34"/>
      <c r="CL24" s="14"/>
      <c r="CM24" s="116"/>
      <c r="CN24" s="10"/>
      <c r="CO24" s="10"/>
      <c r="CP24" s="10"/>
      <c r="CQ24" s="13"/>
      <c r="CR24" s="34"/>
      <c r="CS24" s="125"/>
      <c r="CT24" s="14"/>
      <c r="CU24" s="10"/>
      <c r="CV24" s="10"/>
      <c r="CW24" s="10"/>
      <c r="CX24" s="10"/>
      <c r="CY24" s="10"/>
      <c r="CZ24" s="13"/>
      <c r="DA24" s="34"/>
      <c r="DB24" s="34"/>
      <c r="DC24" s="34"/>
      <c r="DD24" s="14"/>
      <c r="DE24" s="13"/>
      <c r="DF24" s="14"/>
      <c r="DG24" s="116"/>
      <c r="DH24" s="10"/>
      <c r="DI24" s="10"/>
      <c r="DJ24" s="10"/>
      <c r="DK24" s="13"/>
      <c r="DL24" s="34"/>
      <c r="DM24" s="34"/>
      <c r="DN24" s="14"/>
      <c r="DO24" s="10"/>
      <c r="DP24" s="10"/>
      <c r="DQ24" s="10"/>
      <c r="DR24" s="10"/>
      <c r="DS24" s="10"/>
      <c r="DT24" s="13"/>
      <c r="DU24" s="34"/>
      <c r="DV24" s="34"/>
      <c r="DW24" s="34"/>
      <c r="DX24" s="14"/>
      <c r="DY24" s="13"/>
      <c r="DZ24" s="14"/>
      <c r="EA24" s="116"/>
      <c r="EB24" s="10"/>
      <c r="EC24" s="10"/>
      <c r="ED24" s="10"/>
      <c r="EE24" s="13"/>
      <c r="EF24" s="34"/>
      <c r="EG24" s="34"/>
      <c r="EH24" s="14"/>
      <c r="EI24" s="10"/>
      <c r="EJ24" s="10"/>
      <c r="EK24" s="10"/>
      <c r="EL24" s="10"/>
      <c r="EM24" s="10"/>
      <c r="EN24" s="13"/>
      <c r="EO24" s="34"/>
      <c r="EP24" s="34"/>
      <c r="EQ24" s="34"/>
      <c r="ER24" s="14"/>
      <c r="ES24" s="13"/>
      <c r="ET24" s="14"/>
      <c r="EU24" s="116"/>
      <c r="EV24" s="10">
        <f>'AX2'!SF21/1000/1000/1000</f>
        <v>38.584000000000003</v>
      </c>
      <c r="EW24" s="10">
        <f>'AX2'!SC21/1000/1000/1000</f>
        <v>41.356999999999999</v>
      </c>
      <c r="EX24" s="10">
        <f t="shared" si="3"/>
        <v>2.7729999999999961</v>
      </c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Q24" s="12"/>
      <c r="FS24" s="69"/>
      <c r="FT24" s="45"/>
      <c r="FU24" s="45"/>
      <c r="FV24" s="45"/>
      <c r="FW24" s="15"/>
      <c r="GB24" s="69"/>
      <c r="GC24" s="45"/>
      <c r="GD24" s="45"/>
      <c r="GE24" s="45"/>
      <c r="GF24" s="814"/>
      <c r="GG24" s="45"/>
      <c r="GH24" s="45"/>
      <c r="GI24" s="45"/>
      <c r="GJ24" s="45"/>
      <c r="GK24" s="45"/>
      <c r="GL24" s="45"/>
      <c r="GM24" s="45"/>
      <c r="GN24" s="45"/>
      <c r="GO24" s="12"/>
    </row>
    <row r="25" spans="2:200" s="9" customFormat="1" ht="12.75" hidden="1">
      <c r="B25" s="15">
        <v>1976</v>
      </c>
      <c r="C25" s="34"/>
      <c r="D25" s="34"/>
      <c r="E25" s="34"/>
      <c r="F25" s="34"/>
      <c r="G25" s="125"/>
      <c r="H25" s="14"/>
      <c r="I25" s="13"/>
      <c r="J25" s="34"/>
      <c r="K25" s="34"/>
      <c r="L25" s="14"/>
      <c r="M25" s="13"/>
      <c r="N25" s="34"/>
      <c r="O25" s="34"/>
      <c r="P25" s="34"/>
      <c r="Q25" s="34"/>
      <c r="R25" s="34"/>
      <c r="S25" s="14"/>
      <c r="T25" s="13"/>
      <c r="U25" s="34"/>
      <c r="V25" s="34"/>
      <c r="W25" s="34"/>
      <c r="X25" s="13">
        <f>'AX2'!VG22/1000/1000/1000</f>
        <v>40.366</v>
      </c>
      <c r="Y25" s="34">
        <f t="shared" si="0"/>
        <v>4.008</v>
      </c>
      <c r="Z25" s="125">
        <f t="shared" si="1"/>
        <v>36.357999999999997</v>
      </c>
      <c r="AA25" s="34"/>
      <c r="AB25" s="34"/>
      <c r="AC25" s="34"/>
      <c r="AD25" s="34"/>
      <c r="AE25" s="14"/>
      <c r="AF25" s="10"/>
      <c r="AG25" s="10"/>
      <c r="AH25" s="10"/>
      <c r="AI25" s="789"/>
      <c r="AJ25" s="789"/>
      <c r="AK25" s="10"/>
      <c r="AL25" s="10"/>
      <c r="AM25" s="10"/>
      <c r="AN25" s="10"/>
      <c r="AO25" s="94"/>
      <c r="AP25" s="11"/>
      <c r="AQ25" s="11"/>
      <c r="AR25" s="11"/>
      <c r="AS25" s="149"/>
      <c r="AT25" s="153"/>
      <c r="AU25" s="102"/>
      <c r="AV25" s="102"/>
      <c r="AW25" s="102"/>
      <c r="AX25" s="103"/>
      <c r="AY25" s="11"/>
      <c r="AZ25" s="10"/>
      <c r="BA25" s="11"/>
      <c r="BB25" s="11"/>
      <c r="BC25" s="10"/>
      <c r="BD25" s="10"/>
      <c r="BE25" s="13"/>
      <c r="BF25" s="34"/>
      <c r="BG25" s="10"/>
      <c r="BH25" s="34"/>
      <c r="BI25" s="34"/>
      <c r="BJ25" s="102"/>
      <c r="BK25" s="103"/>
      <c r="BL25" s="10">
        <f>'AX2'!IF22/1000/1000/1000</f>
        <v>34.176000000000002</v>
      </c>
      <c r="BM25" s="11"/>
      <c r="BN25" s="11"/>
      <c r="BO25" s="12"/>
      <c r="BP25" s="10"/>
      <c r="BQ25" s="10"/>
      <c r="BR25" s="10"/>
      <c r="BS25" s="13"/>
      <c r="BT25" s="34"/>
      <c r="BU25" s="34"/>
      <c r="BV25" s="14"/>
      <c r="BW25" s="10"/>
      <c r="BX25" s="10"/>
      <c r="BY25" s="10"/>
      <c r="BZ25" s="10"/>
      <c r="CA25" s="10"/>
      <c r="CB25" s="10"/>
      <c r="CC25" s="13"/>
      <c r="CD25" s="34"/>
      <c r="CE25" s="34"/>
      <c r="CF25" s="34"/>
      <c r="CG25" s="34"/>
      <c r="CH25" s="34"/>
      <c r="CI25" s="34"/>
      <c r="CJ25" s="13">
        <f>'AX2'!KU22/1000/1000/1000</f>
        <v>4.008</v>
      </c>
      <c r="CK25" s="34"/>
      <c r="CL25" s="14"/>
      <c r="CM25" s="116"/>
      <c r="CN25" s="10"/>
      <c r="CO25" s="10"/>
      <c r="CP25" s="10"/>
      <c r="CQ25" s="13"/>
      <c r="CR25" s="34"/>
      <c r="CS25" s="125"/>
      <c r="CT25" s="14"/>
      <c r="CU25" s="10"/>
      <c r="CV25" s="10"/>
      <c r="CW25" s="10"/>
      <c r="CX25" s="10"/>
      <c r="CY25" s="10"/>
      <c r="CZ25" s="13"/>
      <c r="DA25" s="34"/>
      <c r="DB25" s="34"/>
      <c r="DC25" s="34"/>
      <c r="DD25" s="14"/>
      <c r="DE25" s="13"/>
      <c r="DF25" s="14"/>
      <c r="DG25" s="116"/>
      <c r="DH25" s="10"/>
      <c r="DI25" s="10"/>
      <c r="DJ25" s="10"/>
      <c r="DK25" s="13"/>
      <c r="DL25" s="34"/>
      <c r="DM25" s="34"/>
      <c r="DN25" s="14"/>
      <c r="DO25" s="10"/>
      <c r="DP25" s="10"/>
      <c r="DQ25" s="10"/>
      <c r="DR25" s="10"/>
      <c r="DS25" s="10"/>
      <c r="DT25" s="13"/>
      <c r="DU25" s="34"/>
      <c r="DV25" s="34"/>
      <c r="DW25" s="34"/>
      <c r="DX25" s="14"/>
      <c r="DY25" s="13"/>
      <c r="DZ25" s="14"/>
      <c r="EA25" s="116"/>
      <c r="EB25" s="10"/>
      <c r="EC25" s="10"/>
      <c r="ED25" s="10"/>
      <c r="EE25" s="13"/>
      <c r="EF25" s="34"/>
      <c r="EG25" s="34"/>
      <c r="EH25" s="14"/>
      <c r="EI25" s="10"/>
      <c r="EJ25" s="10"/>
      <c r="EK25" s="10"/>
      <c r="EL25" s="10"/>
      <c r="EM25" s="10"/>
      <c r="EN25" s="13"/>
      <c r="EO25" s="34"/>
      <c r="EP25" s="34"/>
      <c r="EQ25" s="34"/>
      <c r="ER25" s="14"/>
      <c r="ES25" s="13"/>
      <c r="ET25" s="14"/>
      <c r="EU25" s="116"/>
      <c r="EV25" s="10">
        <f>'AX2'!SF22/1000/1000/1000</f>
        <v>49.743000000000002</v>
      </c>
      <c r="EW25" s="10">
        <f>'AX2'!SC22/1000/1000/1000</f>
        <v>56.488</v>
      </c>
      <c r="EX25" s="10">
        <f t="shared" si="3"/>
        <v>6.7449999999999974</v>
      </c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Q25" s="12"/>
      <c r="FS25" s="69"/>
      <c r="FT25" s="45"/>
      <c r="FU25" s="45"/>
      <c r="FV25" s="45"/>
      <c r="FW25" s="15"/>
      <c r="GB25" s="69"/>
      <c r="GC25" s="45"/>
      <c r="GD25" s="45"/>
      <c r="GE25" s="45"/>
      <c r="GF25" s="814"/>
      <c r="GG25" s="45"/>
      <c r="GH25" s="45"/>
      <c r="GI25" s="45"/>
      <c r="GJ25" s="45"/>
      <c r="GK25" s="45"/>
      <c r="GL25" s="45"/>
      <c r="GM25" s="45"/>
      <c r="GN25" s="45"/>
      <c r="GO25" s="12"/>
    </row>
    <row r="26" spans="2:200" s="9" customFormat="1" ht="12.75" hidden="1">
      <c r="B26" s="15">
        <v>1977</v>
      </c>
      <c r="C26" s="34"/>
      <c r="D26" s="34"/>
      <c r="E26" s="34"/>
      <c r="F26" s="34"/>
      <c r="G26" s="125"/>
      <c r="H26" s="14"/>
      <c r="I26" s="13"/>
      <c r="J26" s="34"/>
      <c r="K26" s="34"/>
      <c r="L26" s="14"/>
      <c r="M26" s="13"/>
      <c r="N26" s="34"/>
      <c r="O26" s="34"/>
      <c r="P26" s="34"/>
      <c r="Q26" s="34"/>
      <c r="R26" s="34"/>
      <c r="S26" s="14"/>
      <c r="T26" s="13"/>
      <c r="U26" s="34"/>
      <c r="V26" s="34"/>
      <c r="W26" s="34"/>
      <c r="X26" s="13">
        <f>'AX2'!VG23/1000/1000/1000</f>
        <v>48.997999999999998</v>
      </c>
      <c r="Y26" s="34">
        <f t="shared" si="0"/>
        <v>4.6550000000000002</v>
      </c>
      <c r="Z26" s="125">
        <f t="shared" si="1"/>
        <v>44.342999999999996</v>
      </c>
      <c r="AA26" s="34"/>
      <c r="AB26" s="34"/>
      <c r="AC26" s="34"/>
      <c r="AD26" s="34"/>
      <c r="AE26" s="14"/>
      <c r="AF26" s="10"/>
      <c r="AG26" s="10"/>
      <c r="AH26" s="10"/>
      <c r="AI26" s="789"/>
      <c r="AJ26" s="789"/>
      <c r="AK26" s="10"/>
      <c r="AL26" s="10"/>
      <c r="AM26" s="10"/>
      <c r="AN26" s="10"/>
      <c r="AO26" s="94"/>
      <c r="AP26" s="11"/>
      <c r="AQ26" s="11"/>
      <c r="AR26" s="11"/>
      <c r="AS26" s="149"/>
      <c r="AT26" s="153"/>
      <c r="AU26" s="102"/>
      <c r="AV26" s="102"/>
      <c r="AW26" s="102"/>
      <c r="AX26" s="103"/>
      <c r="AY26" s="11"/>
      <c r="AZ26" s="10"/>
      <c r="BA26" s="11"/>
      <c r="BB26" s="11"/>
      <c r="BC26" s="10"/>
      <c r="BD26" s="10"/>
      <c r="BE26" s="13"/>
      <c r="BF26" s="34"/>
      <c r="BG26" s="10"/>
      <c r="BH26" s="34"/>
      <c r="BI26" s="34"/>
      <c r="BJ26" s="102"/>
      <c r="BK26" s="103"/>
      <c r="BL26" s="10">
        <f>'AX2'!IF23/1000/1000/1000</f>
        <v>41.795000000000002</v>
      </c>
      <c r="BM26" s="11"/>
      <c r="BN26" s="11"/>
      <c r="BO26" s="12"/>
      <c r="BP26" s="10"/>
      <c r="BQ26" s="10"/>
      <c r="BR26" s="10"/>
      <c r="BS26" s="13"/>
      <c r="BT26" s="34"/>
      <c r="BU26" s="34"/>
      <c r="BV26" s="14"/>
      <c r="BW26" s="10"/>
      <c r="BX26" s="10"/>
      <c r="BY26" s="10"/>
      <c r="BZ26" s="10"/>
      <c r="CA26" s="10"/>
      <c r="CB26" s="10"/>
      <c r="CC26" s="13"/>
      <c r="CD26" s="34"/>
      <c r="CE26" s="34"/>
      <c r="CF26" s="34"/>
      <c r="CG26" s="34"/>
      <c r="CH26" s="34"/>
      <c r="CI26" s="34"/>
      <c r="CJ26" s="13">
        <f>'AX2'!KU23/1000/1000/1000</f>
        <v>4.6550000000000002</v>
      </c>
      <c r="CK26" s="34"/>
      <c r="CL26" s="14"/>
      <c r="CM26" s="116"/>
      <c r="CN26" s="10"/>
      <c r="CO26" s="10"/>
      <c r="CP26" s="10"/>
      <c r="CQ26" s="13"/>
      <c r="CR26" s="34"/>
      <c r="CS26" s="125"/>
      <c r="CT26" s="14"/>
      <c r="CU26" s="10"/>
      <c r="CV26" s="10"/>
      <c r="CW26" s="10"/>
      <c r="CX26" s="10"/>
      <c r="CY26" s="10"/>
      <c r="CZ26" s="13"/>
      <c r="DA26" s="34"/>
      <c r="DB26" s="34"/>
      <c r="DC26" s="34"/>
      <c r="DD26" s="14"/>
      <c r="DE26" s="13"/>
      <c r="DF26" s="14"/>
      <c r="DG26" s="116"/>
      <c r="DH26" s="10"/>
      <c r="DI26" s="10"/>
      <c r="DJ26" s="10"/>
      <c r="DK26" s="13"/>
      <c r="DL26" s="34"/>
      <c r="DM26" s="34"/>
      <c r="DN26" s="14"/>
      <c r="DO26" s="10"/>
      <c r="DP26" s="10"/>
      <c r="DQ26" s="10"/>
      <c r="DR26" s="10"/>
      <c r="DS26" s="10"/>
      <c r="DT26" s="13"/>
      <c r="DU26" s="34"/>
      <c r="DV26" s="34"/>
      <c r="DW26" s="34"/>
      <c r="DX26" s="14"/>
      <c r="DY26" s="13"/>
      <c r="DZ26" s="14"/>
      <c r="EA26" s="116"/>
      <c r="EB26" s="10"/>
      <c r="EC26" s="10"/>
      <c r="ED26" s="10"/>
      <c r="EE26" s="13"/>
      <c r="EF26" s="34"/>
      <c r="EG26" s="34"/>
      <c r="EH26" s="14"/>
      <c r="EI26" s="10"/>
      <c r="EJ26" s="10"/>
      <c r="EK26" s="10"/>
      <c r="EL26" s="10"/>
      <c r="EM26" s="10"/>
      <c r="EN26" s="13"/>
      <c r="EO26" s="34"/>
      <c r="EP26" s="34"/>
      <c r="EQ26" s="34"/>
      <c r="ER26" s="14"/>
      <c r="ES26" s="13"/>
      <c r="ET26" s="14"/>
      <c r="EU26" s="116"/>
      <c r="EV26" s="10">
        <f>'AX2'!SF23/1000/1000/1000</f>
        <v>56.302999999999997</v>
      </c>
      <c r="EW26" s="10">
        <f>'AX2'!SC23/1000/1000/1000</f>
        <v>61.091000000000001</v>
      </c>
      <c r="EX26" s="10">
        <f t="shared" si="3"/>
        <v>4.7880000000000038</v>
      </c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Q26" s="12"/>
      <c r="FS26" s="69"/>
      <c r="FT26" s="45"/>
      <c r="FU26" s="45"/>
      <c r="FV26" s="45"/>
      <c r="FW26" s="15"/>
      <c r="GB26" s="69"/>
      <c r="GC26" s="45"/>
      <c r="GD26" s="45"/>
      <c r="GE26" s="45"/>
      <c r="GF26" s="814"/>
      <c r="GG26" s="45"/>
      <c r="GH26" s="45"/>
      <c r="GI26" s="45"/>
      <c r="GJ26" s="45"/>
      <c r="GK26" s="45"/>
      <c r="GL26" s="45"/>
      <c r="GM26" s="45"/>
      <c r="GN26" s="45"/>
      <c r="GO26" s="12"/>
    </row>
    <row r="27" spans="2:200" s="9" customFormat="1" ht="12.75" hidden="1">
      <c r="B27" s="15">
        <v>1978</v>
      </c>
      <c r="C27" s="34"/>
      <c r="D27" s="34"/>
      <c r="E27" s="34"/>
      <c r="F27" s="34"/>
      <c r="G27" s="125"/>
      <c r="H27" s="14"/>
      <c r="I27" s="13"/>
      <c r="J27" s="34"/>
      <c r="K27" s="34"/>
      <c r="L27" s="14"/>
      <c r="M27" s="13"/>
      <c r="N27" s="34"/>
      <c r="O27" s="34"/>
      <c r="P27" s="34"/>
      <c r="Q27" s="34"/>
      <c r="R27" s="34"/>
      <c r="S27" s="14"/>
      <c r="T27" s="13"/>
      <c r="U27" s="34"/>
      <c r="V27" s="34"/>
      <c r="W27" s="34"/>
      <c r="X27" s="13">
        <f>'AX2'!VG24/1000/1000/1000</f>
        <v>60.183</v>
      </c>
      <c r="Y27" s="34">
        <f t="shared" si="0"/>
        <v>5.4359999999999999</v>
      </c>
      <c r="Z27" s="125">
        <f t="shared" si="1"/>
        <v>54.747</v>
      </c>
      <c r="AA27" s="34"/>
      <c r="AB27" s="34"/>
      <c r="AC27" s="34"/>
      <c r="AD27" s="34"/>
      <c r="AE27" s="14"/>
      <c r="AF27" s="10"/>
      <c r="AG27" s="10"/>
      <c r="AH27" s="10"/>
      <c r="AI27" s="789"/>
      <c r="AJ27" s="789"/>
      <c r="AK27" s="10"/>
      <c r="AL27" s="10"/>
      <c r="AM27" s="10"/>
      <c r="AN27" s="10"/>
      <c r="AO27" s="94"/>
      <c r="AP27" s="11"/>
      <c r="AQ27" s="11"/>
      <c r="AR27" s="11"/>
      <c r="AS27" s="149"/>
      <c r="AT27" s="153"/>
      <c r="AU27" s="102"/>
      <c r="AV27" s="102"/>
      <c r="AW27" s="102"/>
      <c r="AX27" s="103"/>
      <c r="AY27" s="11"/>
      <c r="AZ27" s="10"/>
      <c r="BA27" s="11"/>
      <c r="BB27" s="11"/>
      <c r="BC27" s="10"/>
      <c r="BD27" s="10"/>
      <c r="BE27" s="13"/>
      <c r="BF27" s="34"/>
      <c r="BG27" s="10"/>
      <c r="BH27" s="34"/>
      <c r="BI27" s="34"/>
      <c r="BJ27" s="102"/>
      <c r="BK27" s="103"/>
      <c r="BL27" s="10">
        <f>'AX2'!IF24/1000/1000/1000</f>
        <v>51.853000000000002</v>
      </c>
      <c r="BM27" s="11"/>
      <c r="BN27" s="11"/>
      <c r="BO27" s="12"/>
      <c r="BP27" s="10"/>
      <c r="BQ27" s="10"/>
      <c r="BR27" s="10"/>
      <c r="BS27" s="13"/>
      <c r="BT27" s="34"/>
      <c r="BU27" s="34"/>
      <c r="BV27" s="14"/>
      <c r="BW27" s="10"/>
      <c r="BX27" s="10"/>
      <c r="BY27" s="10"/>
      <c r="BZ27" s="10"/>
      <c r="CA27" s="10"/>
      <c r="CB27" s="10"/>
      <c r="CC27" s="13"/>
      <c r="CD27" s="34"/>
      <c r="CE27" s="34"/>
      <c r="CF27" s="34"/>
      <c r="CG27" s="34"/>
      <c r="CH27" s="34"/>
      <c r="CI27" s="34"/>
      <c r="CJ27" s="13">
        <f>'AX2'!KU24/1000/1000/1000</f>
        <v>5.4359999999999999</v>
      </c>
      <c r="CK27" s="34"/>
      <c r="CL27" s="14"/>
      <c r="CM27" s="116"/>
      <c r="CN27" s="10"/>
      <c r="CO27" s="10"/>
      <c r="CP27" s="10"/>
      <c r="CQ27" s="13"/>
      <c r="CR27" s="34"/>
      <c r="CS27" s="125"/>
      <c r="CT27" s="14"/>
      <c r="CU27" s="10"/>
      <c r="CV27" s="10"/>
      <c r="CW27" s="10"/>
      <c r="CX27" s="10"/>
      <c r="CY27" s="10"/>
      <c r="CZ27" s="13"/>
      <c r="DA27" s="34"/>
      <c r="DB27" s="34"/>
      <c r="DC27" s="34"/>
      <c r="DD27" s="14"/>
      <c r="DE27" s="13"/>
      <c r="DF27" s="14"/>
      <c r="DG27" s="116"/>
      <c r="DH27" s="10"/>
      <c r="DI27" s="10"/>
      <c r="DJ27" s="10"/>
      <c r="DK27" s="13"/>
      <c r="DL27" s="34"/>
      <c r="DM27" s="34"/>
      <c r="DN27" s="14"/>
      <c r="DO27" s="10"/>
      <c r="DP27" s="10"/>
      <c r="DQ27" s="10"/>
      <c r="DR27" s="10"/>
      <c r="DS27" s="10"/>
      <c r="DT27" s="13"/>
      <c r="DU27" s="34"/>
      <c r="DV27" s="34"/>
      <c r="DW27" s="34"/>
      <c r="DX27" s="14"/>
      <c r="DY27" s="13"/>
      <c r="DZ27" s="14"/>
      <c r="EA27" s="116"/>
      <c r="EB27" s="10"/>
      <c r="EC27" s="10"/>
      <c r="ED27" s="10"/>
      <c r="EE27" s="13"/>
      <c r="EF27" s="34"/>
      <c r="EG27" s="34"/>
      <c r="EH27" s="14"/>
      <c r="EI27" s="10"/>
      <c r="EJ27" s="10"/>
      <c r="EK27" s="10"/>
      <c r="EL27" s="10"/>
      <c r="EM27" s="10"/>
      <c r="EN27" s="13"/>
      <c r="EO27" s="34"/>
      <c r="EP27" s="34"/>
      <c r="EQ27" s="34"/>
      <c r="ER27" s="14"/>
      <c r="ES27" s="13"/>
      <c r="ET27" s="14"/>
      <c r="EU27" s="116"/>
      <c r="EV27" s="10">
        <f>'AX2'!SF24/1000/1000/1000</f>
        <v>72.546000000000006</v>
      </c>
      <c r="EW27" s="10">
        <f>'AX2'!SC24/1000/1000/1000</f>
        <v>73.415999999999997</v>
      </c>
      <c r="EX27" s="10">
        <f t="shared" si="3"/>
        <v>0.86999999999999034</v>
      </c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Q27" s="12"/>
      <c r="FS27" s="69"/>
      <c r="FT27" s="45"/>
      <c r="FU27" s="45"/>
      <c r="FV27" s="45"/>
      <c r="FW27" s="15"/>
      <c r="GB27" s="69"/>
      <c r="GC27" s="45"/>
      <c r="GD27" s="45"/>
      <c r="GE27" s="45"/>
      <c r="GF27" s="814"/>
      <c r="GG27" s="45"/>
      <c r="GH27" s="45"/>
      <c r="GI27" s="45"/>
      <c r="GJ27" s="45"/>
      <c r="GK27" s="45"/>
      <c r="GL27" s="45"/>
      <c r="GM27" s="45"/>
      <c r="GN27" s="45"/>
      <c r="GO27" s="12"/>
    </row>
    <row r="28" spans="2:200" s="9" customFormat="1" ht="12.75" hidden="1">
      <c r="B28" s="15">
        <v>1979</v>
      </c>
      <c r="C28" s="34"/>
      <c r="D28" s="34"/>
      <c r="E28" s="34"/>
      <c r="F28" s="34"/>
      <c r="G28" s="125"/>
      <c r="H28" s="14"/>
      <c r="I28" s="13"/>
      <c r="J28" s="34"/>
      <c r="K28" s="34"/>
      <c r="L28" s="14"/>
      <c r="M28" s="13"/>
      <c r="N28" s="34"/>
      <c r="O28" s="34"/>
      <c r="P28" s="34"/>
      <c r="Q28" s="34"/>
      <c r="R28" s="34"/>
      <c r="S28" s="14"/>
      <c r="T28" s="13"/>
      <c r="U28" s="34"/>
      <c r="V28" s="34"/>
      <c r="W28" s="34"/>
      <c r="X28" s="13">
        <f>'AX2'!VG25/1000/1000/1000</f>
        <v>74.299000000000007</v>
      </c>
      <c r="Y28" s="34">
        <f t="shared" si="0"/>
        <v>6.7549999999999999</v>
      </c>
      <c r="Z28" s="125">
        <f t="shared" si="1"/>
        <v>67.544000000000011</v>
      </c>
      <c r="AA28" s="34"/>
      <c r="AB28" s="34"/>
      <c r="AC28" s="34"/>
      <c r="AD28" s="34"/>
      <c r="AE28" s="14"/>
      <c r="AF28" s="10"/>
      <c r="AG28" s="10"/>
      <c r="AH28" s="10"/>
      <c r="AI28" s="789"/>
      <c r="AJ28" s="789"/>
      <c r="AK28" s="10"/>
      <c r="AL28" s="10"/>
      <c r="AM28" s="10"/>
      <c r="AN28" s="10"/>
      <c r="AO28" s="94"/>
      <c r="AP28" s="11"/>
      <c r="AQ28" s="11"/>
      <c r="AR28" s="11"/>
      <c r="AS28" s="149"/>
      <c r="AT28" s="153"/>
      <c r="AU28" s="102"/>
      <c r="AV28" s="102"/>
      <c r="AW28" s="102"/>
      <c r="AX28" s="103"/>
      <c r="AY28" s="11"/>
      <c r="AZ28" s="10"/>
      <c r="BA28" s="11"/>
      <c r="BB28" s="11"/>
      <c r="BC28" s="10"/>
      <c r="BD28" s="10"/>
      <c r="BE28" s="13"/>
      <c r="BF28" s="34"/>
      <c r="BG28" s="10"/>
      <c r="BH28" s="34"/>
      <c r="BI28" s="34"/>
      <c r="BJ28" s="102"/>
      <c r="BK28" s="103"/>
      <c r="BL28" s="10">
        <f>'AX2'!IF25/1000/1000/1000</f>
        <v>64.302000000000007</v>
      </c>
      <c r="BM28" s="11"/>
      <c r="BN28" s="11"/>
      <c r="BO28" s="12"/>
      <c r="BP28" s="10"/>
      <c r="BQ28" s="10"/>
      <c r="BR28" s="10"/>
      <c r="BS28" s="13"/>
      <c r="BT28" s="34"/>
      <c r="BU28" s="34"/>
      <c r="BV28" s="14"/>
      <c r="BW28" s="10"/>
      <c r="BX28" s="10"/>
      <c r="BY28" s="10"/>
      <c r="BZ28" s="10"/>
      <c r="CA28" s="10"/>
      <c r="CB28" s="10"/>
      <c r="CC28" s="13"/>
      <c r="CD28" s="34"/>
      <c r="CE28" s="34"/>
      <c r="CF28" s="34"/>
      <c r="CG28" s="34"/>
      <c r="CH28" s="34"/>
      <c r="CI28" s="34"/>
      <c r="CJ28" s="13">
        <f>'AX2'!KU25/1000/1000/1000</f>
        <v>6.7549999999999999</v>
      </c>
      <c r="CK28" s="34"/>
      <c r="CL28" s="14"/>
      <c r="CM28" s="116"/>
      <c r="CN28" s="10"/>
      <c r="CO28" s="10"/>
      <c r="CP28" s="10"/>
      <c r="CQ28" s="13"/>
      <c r="CR28" s="34"/>
      <c r="CS28" s="125"/>
      <c r="CT28" s="14"/>
      <c r="CU28" s="10"/>
      <c r="CV28" s="10"/>
      <c r="CW28" s="10"/>
      <c r="CX28" s="10"/>
      <c r="CY28" s="10"/>
      <c r="CZ28" s="13"/>
      <c r="DA28" s="34"/>
      <c r="DB28" s="34"/>
      <c r="DC28" s="34"/>
      <c r="DD28" s="14"/>
      <c r="DE28" s="13"/>
      <c r="DF28" s="14"/>
      <c r="DG28" s="116"/>
      <c r="DH28" s="10"/>
      <c r="DI28" s="10"/>
      <c r="DJ28" s="10"/>
      <c r="DK28" s="13"/>
      <c r="DL28" s="34"/>
      <c r="DM28" s="34"/>
      <c r="DN28" s="14"/>
      <c r="DO28" s="10"/>
      <c r="DP28" s="10"/>
      <c r="DQ28" s="10"/>
      <c r="DR28" s="10"/>
      <c r="DS28" s="10"/>
      <c r="DT28" s="13"/>
      <c r="DU28" s="34"/>
      <c r="DV28" s="34"/>
      <c r="DW28" s="34"/>
      <c r="DX28" s="14"/>
      <c r="DY28" s="13"/>
      <c r="DZ28" s="14"/>
      <c r="EA28" s="116"/>
      <c r="EB28" s="10"/>
      <c r="EC28" s="10"/>
      <c r="ED28" s="10"/>
      <c r="EE28" s="13"/>
      <c r="EF28" s="34"/>
      <c r="EG28" s="34"/>
      <c r="EH28" s="14"/>
      <c r="EI28" s="10"/>
      <c r="EJ28" s="10"/>
      <c r="EK28" s="10"/>
      <c r="EL28" s="10"/>
      <c r="EM28" s="10"/>
      <c r="EN28" s="13"/>
      <c r="EO28" s="34"/>
      <c r="EP28" s="34"/>
      <c r="EQ28" s="34"/>
      <c r="ER28" s="14"/>
      <c r="ES28" s="13"/>
      <c r="ET28" s="14"/>
      <c r="EU28" s="116"/>
      <c r="EV28" s="10">
        <f>'AX2'!SF25/1000/1000/1000</f>
        <v>99.55</v>
      </c>
      <c r="EW28" s="10">
        <f>'AX2'!SC25/1000/1000/1000</f>
        <v>101.00700000000001</v>
      </c>
      <c r="EX28" s="10">
        <f t="shared" si="3"/>
        <v>1.4570000000000078</v>
      </c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Q28" s="12"/>
      <c r="FS28" s="69"/>
      <c r="FT28" s="45"/>
      <c r="FU28" s="45"/>
      <c r="FV28" s="45"/>
      <c r="FW28" s="15"/>
      <c r="GB28" s="69"/>
      <c r="GC28" s="45"/>
      <c r="GD28" s="45"/>
      <c r="GE28" s="45"/>
      <c r="GF28" s="814"/>
      <c r="GG28" s="45"/>
      <c r="GH28" s="45"/>
      <c r="GI28" s="45"/>
      <c r="GJ28" s="45"/>
      <c r="GK28" s="45"/>
      <c r="GL28" s="45"/>
      <c r="GM28" s="45"/>
      <c r="GN28" s="45"/>
      <c r="GO28" s="12"/>
    </row>
    <row r="29" spans="2:200" s="9" customFormat="1" ht="12.75">
      <c r="B29" s="15">
        <v>1980</v>
      </c>
      <c r="C29" s="34">
        <f>'AX2'!VC26/1000/1000/1000</f>
        <v>287.80900000000003</v>
      </c>
      <c r="D29" s="34">
        <f>'AX2'!VD26/1000/1000/1000</f>
        <v>151.572</v>
      </c>
      <c r="E29" s="34">
        <f t="shared" ref="E29:E48" si="4">C29-D29</f>
        <v>136.23700000000002</v>
      </c>
      <c r="F29" s="54">
        <v>18.281849659937699</v>
      </c>
      <c r="G29" s="631">
        <f t="shared" ref="G29:G65" si="5">F29/M29</f>
        <v>0.1341915166947136</v>
      </c>
      <c r="H29" s="14">
        <f t="shared" ref="H29:H48" si="6">E29-F29</f>
        <v>117.95515034006232</v>
      </c>
      <c r="I29" s="13">
        <f>'AX2'!SY26/1000/1000/1000</f>
        <v>65.534999999999997</v>
      </c>
      <c r="J29" s="54">
        <f t="shared" ref="J29:J49" si="7">1.7%*D29</f>
        <v>2.576724</v>
      </c>
      <c r="K29" s="34">
        <f t="shared" ref="K29:K65" si="8">E29-I29-J29</f>
        <v>68.125276000000028</v>
      </c>
      <c r="L29" s="14">
        <f t="shared" ref="L29:L65" si="9">H29-I29-J29</f>
        <v>49.843426340062322</v>
      </c>
      <c r="M29" s="13">
        <f t="shared" ref="M29:M65" si="10">O29+Q29+R29+S29</f>
        <v>136.23700000000002</v>
      </c>
      <c r="N29" s="34">
        <f t="shared" ref="N29:N69" si="11">M29-F29</f>
        <v>117.95515034006232</v>
      </c>
      <c r="O29" s="34">
        <f t="shared" ref="O29:O68" si="12">K29</f>
        <v>68.125276000000028</v>
      </c>
      <c r="P29" s="34">
        <f t="shared" ref="P29:P68" si="13">O29-F29</f>
        <v>49.843426340062329</v>
      </c>
      <c r="Q29" s="34">
        <f>'AX2'!SX26/1000/1000/1000</f>
        <v>65.534999999999997</v>
      </c>
      <c r="R29" s="34">
        <f>J29</f>
        <v>2.576724</v>
      </c>
      <c r="S29" s="14">
        <f>('AX2'!TS26-'AX2'!TT26)/1000/1000/1000</f>
        <v>0</v>
      </c>
      <c r="T29" s="13">
        <f>('AX2'!UA26)/1000/1000/1000</f>
        <v>0</v>
      </c>
      <c r="U29" s="34">
        <f>'AX2'!UB26/1000/1000/1000</f>
        <v>0</v>
      </c>
      <c r="V29" s="34">
        <f t="shared" ref="V29:V65" si="14">M29+T29-U29</f>
        <v>136.23700000000002</v>
      </c>
      <c r="W29" s="34">
        <f t="shared" ref="W29:W65" si="15">N29+T29-U29</f>
        <v>117.95515034006232</v>
      </c>
      <c r="X29" s="13">
        <f>'AX2'!VG26/1000/1000/1000</f>
        <v>94.117000000000004</v>
      </c>
      <c r="Y29" s="34">
        <f t="shared" ref="Y29:Y48" si="16">CJ29</f>
        <v>8.7059999999999995</v>
      </c>
      <c r="Z29" s="125">
        <f t="shared" ref="Z29:Z48" si="17">X29-Y29</f>
        <v>85.411000000000001</v>
      </c>
      <c r="AA29" s="34">
        <f t="shared" ref="AA29:AA48" si="18">V29-X29</f>
        <v>42.120000000000019</v>
      </c>
      <c r="AB29" s="34">
        <f t="shared" ref="AB29:AB48" si="19">W29-X29</f>
        <v>23.838150340062313</v>
      </c>
      <c r="AC29" s="34"/>
      <c r="AD29" s="34"/>
      <c r="AE29" s="14"/>
      <c r="AF29" s="10">
        <f>'AX2'!UE26</f>
        <v>0</v>
      </c>
      <c r="AG29" s="10">
        <f t="shared" ref="AG29:AG65" si="20">AH29+AK29</f>
        <v>50.055999999999997</v>
      </c>
      <c r="AH29" s="10">
        <v>46.311</v>
      </c>
      <c r="AI29" s="790">
        <v>39.417999999999999</v>
      </c>
      <c r="AJ29" s="790">
        <v>6.8929999999999998</v>
      </c>
      <c r="AK29" s="10">
        <f>'AX2'!VI26/1000/1000/1000</f>
        <v>3.7450000000000001</v>
      </c>
      <c r="AL29" s="10">
        <f>'AX2'!VA26/1000/1000/1000</f>
        <v>0</v>
      </c>
      <c r="AM29" s="10">
        <f>'AX2'!VL26/1000/1000/1000</f>
        <v>0</v>
      </c>
      <c r="AN29" s="10">
        <f t="shared" ref="AN29:AN65" si="21">AA29-AG29-AL29-AM29</f>
        <v>-7.9359999999999786</v>
      </c>
      <c r="AO29" s="94"/>
      <c r="AP29" s="11"/>
      <c r="AQ29" s="11"/>
      <c r="AR29" s="11"/>
      <c r="AS29" s="149"/>
      <c r="AT29" s="153"/>
      <c r="AU29" s="102"/>
      <c r="AV29" s="102"/>
      <c r="AW29" s="102"/>
      <c r="AX29" s="103"/>
      <c r="AY29" s="11"/>
      <c r="AZ29" s="10"/>
      <c r="BA29" s="11"/>
      <c r="BB29" s="11"/>
      <c r="BC29" s="10"/>
      <c r="BD29" s="10"/>
      <c r="BE29" s="13"/>
      <c r="BF29" s="34"/>
      <c r="BG29" s="10"/>
      <c r="BH29" s="34"/>
      <c r="BI29" s="34"/>
      <c r="BJ29" s="102"/>
      <c r="BK29" s="103"/>
      <c r="BL29" s="10">
        <f>'AX2'!IF26/1000/1000/1000</f>
        <v>81.057000000000002</v>
      </c>
      <c r="BM29" s="11"/>
      <c r="BN29" s="11"/>
      <c r="BO29" s="12"/>
      <c r="BP29" s="10"/>
      <c r="BQ29" s="10"/>
      <c r="BR29" s="10"/>
      <c r="BS29" s="13"/>
      <c r="BT29" s="34"/>
      <c r="BU29" s="34"/>
      <c r="BV29" s="14"/>
      <c r="BW29" s="10"/>
      <c r="BX29" s="10"/>
      <c r="BY29" s="10"/>
      <c r="BZ29" s="10"/>
      <c r="CA29" s="10"/>
      <c r="CB29" s="10"/>
      <c r="CC29" s="13"/>
      <c r="CD29" s="34"/>
      <c r="CE29" s="34"/>
      <c r="CF29" s="34"/>
      <c r="CG29" s="34"/>
      <c r="CH29" s="34"/>
      <c r="CI29" s="34"/>
      <c r="CJ29" s="13">
        <f>'AX2'!KU26/1000/1000/1000</f>
        <v>8.7059999999999995</v>
      </c>
      <c r="CK29" s="34"/>
      <c r="CL29" s="14"/>
      <c r="CM29" s="116"/>
      <c r="CN29" s="10"/>
      <c r="CO29" s="10"/>
      <c r="CP29" s="10"/>
      <c r="CQ29" s="13"/>
      <c r="CR29" s="34"/>
      <c r="CS29" s="125"/>
      <c r="CT29" s="14"/>
      <c r="CU29" s="10"/>
      <c r="CV29" s="10"/>
      <c r="CW29" s="10"/>
      <c r="CX29" s="10"/>
      <c r="CY29" s="10"/>
      <c r="CZ29" s="13"/>
      <c r="DA29" s="34"/>
      <c r="DB29" s="34"/>
      <c r="DC29" s="34"/>
      <c r="DD29" s="14"/>
      <c r="DE29" s="13"/>
      <c r="DF29" s="14"/>
      <c r="DG29" s="116"/>
      <c r="DH29" s="10"/>
      <c r="DI29" s="10"/>
      <c r="DJ29" s="10"/>
      <c r="DK29" s="13"/>
      <c r="DL29" s="34"/>
      <c r="DM29" s="34"/>
      <c r="DN29" s="14"/>
      <c r="DO29" s="10"/>
      <c r="DP29" s="10"/>
      <c r="DQ29" s="10"/>
      <c r="DR29" s="10"/>
      <c r="DS29" s="10"/>
      <c r="DT29" s="13"/>
      <c r="DU29" s="34"/>
      <c r="DV29" s="34"/>
      <c r="DW29" s="34"/>
      <c r="DX29" s="14"/>
      <c r="DY29" s="13"/>
      <c r="DZ29" s="14"/>
      <c r="EA29" s="116"/>
      <c r="EB29" s="10"/>
      <c r="EC29" s="10"/>
      <c r="ED29" s="10"/>
      <c r="EE29" s="13"/>
      <c r="EF29" s="34"/>
      <c r="EG29" s="34"/>
      <c r="EH29" s="14"/>
      <c r="EI29" s="10"/>
      <c r="EJ29" s="10"/>
      <c r="EK29" s="10"/>
      <c r="EL29" s="10"/>
      <c r="EM29" s="10"/>
      <c r="EN29" s="13"/>
      <c r="EO29" s="34"/>
      <c r="EP29" s="34"/>
      <c r="EQ29" s="34"/>
      <c r="ER29" s="14"/>
      <c r="ES29" s="13"/>
      <c r="ET29" s="14"/>
      <c r="EU29" s="116"/>
      <c r="EV29" s="10">
        <f>'AX2'!SF26/1000/1000/1000</f>
        <v>128.167</v>
      </c>
      <c r="EW29" s="10">
        <f>'AX2'!SC26/1000/1000/1000</f>
        <v>127.48099999999999</v>
      </c>
      <c r="EX29" s="10">
        <f t="shared" si="3"/>
        <v>-0.68600000000000705</v>
      </c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Q29" s="12"/>
      <c r="FR29" s="259">
        <v>5.13</v>
      </c>
      <c r="FS29" s="69">
        <v>21.8</v>
      </c>
      <c r="FT29" s="45"/>
      <c r="FU29" s="780">
        <f>FS29/FS$65</f>
        <v>0.21001926782273606</v>
      </c>
      <c r="FV29" s="780">
        <v>1</v>
      </c>
      <c r="FW29" s="781"/>
      <c r="FX29" s="9">
        <v>19.899999999999999</v>
      </c>
      <c r="FY29" s="161">
        <f t="shared" ref="FY29:FY64" si="22">FX29/FX$65</f>
        <v>6.9556099265990906E-2</v>
      </c>
      <c r="FZ29" s="161">
        <f t="shared" ref="FZ29:FZ66" si="23">FY29/FU29</f>
        <v>0.33118913320228693</v>
      </c>
      <c r="GA29" s="161"/>
      <c r="GB29" s="637">
        <v>1</v>
      </c>
      <c r="GC29" s="475">
        <f t="shared" ref="GC29:GC64" si="24">GB29/GB$65</f>
        <v>0.22727272727272729</v>
      </c>
      <c r="GD29" s="806">
        <f t="shared" ref="GD29:GD65" si="25">GC29/FU29</f>
        <v>1.0821517931609674</v>
      </c>
      <c r="GE29" s="780">
        <f>1</f>
        <v>1</v>
      </c>
      <c r="GF29" s="815"/>
      <c r="GG29" s="780"/>
      <c r="GH29" s="780"/>
      <c r="GI29" s="780"/>
      <c r="GJ29" s="780"/>
      <c r="GK29" s="806"/>
      <c r="GL29" s="806"/>
      <c r="GM29" s="806"/>
      <c r="GN29" s="806"/>
      <c r="GO29" s="12"/>
    </row>
    <row r="30" spans="2:200" s="9" customFormat="1" ht="12.75">
      <c r="B30" s="15">
        <v>1981</v>
      </c>
      <c r="C30" s="34">
        <f>'AX2'!VC27/1000/1000/1000</f>
        <v>356.113</v>
      </c>
      <c r="D30" s="34">
        <f>'AX2'!VD27/1000/1000/1000</f>
        <v>188.93100000000001</v>
      </c>
      <c r="E30" s="34">
        <f t="shared" si="4"/>
        <v>167.18199999999999</v>
      </c>
      <c r="F30" s="54">
        <v>21.990590353703098</v>
      </c>
      <c r="G30" s="631">
        <f t="shared" si="5"/>
        <v>0.13153683024310692</v>
      </c>
      <c r="H30" s="14">
        <f t="shared" si="6"/>
        <v>145.1914096462969</v>
      </c>
      <c r="I30" s="13">
        <f>'AX2'!SY27/1000/1000/1000</f>
        <v>80.284000000000006</v>
      </c>
      <c r="J30" s="54">
        <f t="shared" si="7"/>
        <v>3.2118270000000004</v>
      </c>
      <c r="K30" s="34">
        <f t="shared" si="8"/>
        <v>83.686172999999982</v>
      </c>
      <c r="L30" s="14">
        <f t="shared" si="9"/>
        <v>61.695582646296899</v>
      </c>
      <c r="M30" s="13">
        <f t="shared" si="10"/>
        <v>167.18199999999999</v>
      </c>
      <c r="N30" s="34">
        <f t="shared" si="11"/>
        <v>145.1914096462969</v>
      </c>
      <c r="O30" s="34">
        <f t="shared" si="12"/>
        <v>83.686172999999982</v>
      </c>
      <c r="P30" s="34">
        <f t="shared" si="13"/>
        <v>61.695582646296884</v>
      </c>
      <c r="Q30" s="34">
        <f>'AX2'!SX27/1000/1000/1000</f>
        <v>80.284000000000006</v>
      </c>
      <c r="R30" s="34">
        <f t="shared" ref="R30:R68" si="26">J30</f>
        <v>3.2118270000000004</v>
      </c>
      <c r="S30" s="14">
        <f>('AX2'!TS27-'AX2'!TT27)/1000/1000/1000</f>
        <v>0</v>
      </c>
      <c r="T30" s="13">
        <f>('AX2'!UA27)/1000/1000/1000</f>
        <v>0</v>
      </c>
      <c r="U30" s="34">
        <f>'AX2'!UB27/1000/1000/1000</f>
        <v>0</v>
      </c>
      <c r="V30" s="34">
        <f t="shared" si="14"/>
        <v>167.18199999999999</v>
      </c>
      <c r="W30" s="34">
        <f t="shared" si="15"/>
        <v>145.1914096462969</v>
      </c>
      <c r="X30" s="13">
        <f>'AX2'!VG27/1000/1000/1000</f>
        <v>114.999</v>
      </c>
      <c r="Y30" s="34">
        <f t="shared" si="16"/>
        <v>12.211</v>
      </c>
      <c r="Z30" s="125">
        <f t="shared" si="17"/>
        <v>102.788</v>
      </c>
      <c r="AA30" s="34">
        <f t="shared" si="18"/>
        <v>52.182999999999993</v>
      </c>
      <c r="AB30" s="34">
        <f t="shared" si="19"/>
        <v>30.192409646296909</v>
      </c>
      <c r="AC30" s="34"/>
      <c r="AD30" s="34"/>
      <c r="AE30" s="14"/>
      <c r="AF30" s="10">
        <f>'AX2'!UE27</f>
        <v>0</v>
      </c>
      <c r="AG30" s="10">
        <f t="shared" si="20"/>
        <v>60.647000000000006</v>
      </c>
      <c r="AH30" s="10">
        <v>56.694000000000003</v>
      </c>
      <c r="AI30" s="790">
        <v>48.241999999999997</v>
      </c>
      <c r="AJ30" s="790">
        <v>8.452</v>
      </c>
      <c r="AK30" s="10">
        <f>'AX2'!VI27/1000/1000/1000</f>
        <v>3.9529999999999998</v>
      </c>
      <c r="AL30" s="10">
        <f>'AX2'!VA27/1000/1000/1000</f>
        <v>0</v>
      </c>
      <c r="AM30" s="10">
        <f>'AX2'!VL27/1000/1000/1000</f>
        <v>0</v>
      </c>
      <c r="AN30" s="10">
        <f t="shared" si="21"/>
        <v>-8.4640000000000128</v>
      </c>
      <c r="AO30" s="94"/>
      <c r="AP30" s="11"/>
      <c r="AQ30" s="11"/>
      <c r="AR30" s="11"/>
      <c r="AS30" s="149"/>
      <c r="AT30" s="153"/>
      <c r="AU30" s="102"/>
      <c r="AV30" s="102"/>
      <c r="AW30" s="102"/>
      <c r="AX30" s="103"/>
      <c r="AY30" s="11"/>
      <c r="AZ30" s="10"/>
      <c r="BA30" s="11"/>
      <c r="BB30" s="11"/>
      <c r="BC30" s="10"/>
      <c r="BD30" s="10"/>
      <c r="BE30" s="13"/>
      <c r="BF30" s="34"/>
      <c r="BG30" s="10"/>
      <c r="BH30" s="34"/>
      <c r="BI30" s="34"/>
      <c r="BJ30" s="102"/>
      <c r="BK30" s="103"/>
      <c r="BL30" s="10">
        <f>'AX2'!IF27/1000/1000/1000</f>
        <v>97.275000000000006</v>
      </c>
      <c r="BM30" s="11"/>
      <c r="BN30" s="11"/>
      <c r="BO30" s="12"/>
      <c r="BP30" s="10"/>
      <c r="BQ30" s="10"/>
      <c r="BR30" s="10"/>
      <c r="BS30" s="13"/>
      <c r="BT30" s="34"/>
      <c r="BU30" s="34"/>
      <c r="BV30" s="14"/>
      <c r="BW30" s="10"/>
      <c r="BX30" s="10"/>
      <c r="BY30" s="10"/>
      <c r="BZ30" s="10"/>
      <c r="CA30" s="10"/>
      <c r="CB30" s="10"/>
      <c r="CC30" s="13"/>
      <c r="CD30" s="34"/>
      <c r="CE30" s="34"/>
      <c r="CF30" s="34"/>
      <c r="CG30" s="34"/>
      <c r="CH30" s="34"/>
      <c r="CI30" s="34"/>
      <c r="CJ30" s="13">
        <f>'AX2'!KU27/1000/1000/1000</f>
        <v>12.211</v>
      </c>
      <c r="CK30" s="34"/>
      <c r="CL30" s="14"/>
      <c r="CM30" s="116"/>
      <c r="CN30" s="10"/>
      <c r="CO30" s="10"/>
      <c r="CP30" s="10"/>
      <c r="CQ30" s="13"/>
      <c r="CR30" s="34"/>
      <c r="CS30" s="125"/>
      <c r="CT30" s="14"/>
      <c r="CU30" s="10"/>
      <c r="CV30" s="10"/>
      <c r="CW30" s="10"/>
      <c r="CX30" s="10"/>
      <c r="CY30" s="10"/>
      <c r="CZ30" s="13"/>
      <c r="DA30" s="34"/>
      <c r="DB30" s="34"/>
      <c r="DC30" s="34"/>
      <c r="DD30" s="14"/>
      <c r="DE30" s="13"/>
      <c r="DF30" s="14"/>
      <c r="DG30" s="116"/>
      <c r="DH30" s="10"/>
      <c r="DI30" s="10"/>
      <c r="DJ30" s="10"/>
      <c r="DK30" s="13"/>
      <c r="DL30" s="34"/>
      <c r="DM30" s="34"/>
      <c r="DN30" s="14"/>
      <c r="DO30" s="10"/>
      <c r="DP30" s="10"/>
      <c r="DQ30" s="10"/>
      <c r="DR30" s="10"/>
      <c r="DS30" s="10"/>
      <c r="DT30" s="13"/>
      <c r="DU30" s="34"/>
      <c r="DV30" s="34"/>
      <c r="DW30" s="34"/>
      <c r="DX30" s="14"/>
      <c r="DY30" s="13"/>
      <c r="DZ30" s="14"/>
      <c r="EA30" s="116"/>
      <c r="EB30" s="10"/>
      <c r="EC30" s="10"/>
      <c r="ED30" s="10"/>
      <c r="EE30" s="13"/>
      <c r="EF30" s="34"/>
      <c r="EG30" s="34"/>
      <c r="EH30" s="14"/>
      <c r="EI30" s="10"/>
      <c r="EJ30" s="10"/>
      <c r="EK30" s="10"/>
      <c r="EL30" s="10"/>
      <c r="EM30" s="10"/>
      <c r="EN30" s="13"/>
      <c r="EO30" s="34"/>
      <c r="EP30" s="34"/>
      <c r="EQ30" s="34"/>
      <c r="ER30" s="14"/>
      <c r="ES30" s="13"/>
      <c r="ET30" s="14"/>
      <c r="EU30" s="116"/>
      <c r="EV30" s="10">
        <f>'AX2'!SF27/1000/1000/1000</f>
        <v>160.387</v>
      </c>
      <c r="EW30" s="10">
        <f>'AX2'!SC27/1000/1000/1000</f>
        <v>157.81800000000001</v>
      </c>
      <c r="EX30" s="10">
        <f t="shared" si="3"/>
        <v>-2.5689999999999884</v>
      </c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Q30" s="12"/>
      <c r="FR30" s="259">
        <v>5.6749999999999998</v>
      </c>
      <c r="FS30" s="69">
        <v>24.7</v>
      </c>
      <c r="FT30" s="780">
        <f>FS30/FS29-1</f>
        <v>0.1330275229357798</v>
      </c>
      <c r="FU30" s="780">
        <f t="shared" ref="FU30:FU68" si="27">FS30/FS$65</f>
        <v>0.23795761078998073</v>
      </c>
      <c r="FV30" s="780">
        <f>FU30/FU$29</f>
        <v>1.1330275229357798</v>
      </c>
      <c r="FW30" s="781">
        <f>FV30/FV29</f>
        <v>1.1330275229357798</v>
      </c>
      <c r="FX30" s="9">
        <v>24.4</v>
      </c>
      <c r="FY30" s="161">
        <f t="shared" si="22"/>
        <v>8.5284865431667231E-2</v>
      </c>
      <c r="FZ30" s="161">
        <f t="shared" si="23"/>
        <v>0.35840360452660158</v>
      </c>
      <c r="GA30" s="643">
        <f>1</f>
        <v>1</v>
      </c>
      <c r="GB30" s="637">
        <v>1.0265060240963855</v>
      </c>
      <c r="GC30" s="475">
        <f t="shared" si="24"/>
        <v>0.23329682365826945</v>
      </c>
      <c r="GD30" s="806">
        <f t="shared" si="25"/>
        <v>0.98041337229669512</v>
      </c>
      <c r="GE30" s="806">
        <f>GD30/GD$29</f>
        <v>0.90598507389883431</v>
      </c>
      <c r="GF30" s="814">
        <v>1403</v>
      </c>
      <c r="GG30" s="820">
        <f t="shared" ref="GG30:GG68" si="28">GF30/FS30</f>
        <v>56.801619433198383</v>
      </c>
      <c r="GH30" s="806">
        <f>1</f>
        <v>1</v>
      </c>
      <c r="GI30" s="806"/>
      <c r="GJ30" s="806">
        <v>0.1386</v>
      </c>
      <c r="GK30" s="806">
        <v>0.17</v>
      </c>
      <c r="GL30" s="806"/>
      <c r="GM30" s="806"/>
      <c r="GN30" s="806">
        <v>1</v>
      </c>
      <c r="GO30" s="12"/>
      <c r="GP30" s="716"/>
    </row>
    <row r="31" spans="2:200" s="9" customFormat="1" ht="12.75">
      <c r="B31" s="15">
        <v>1982</v>
      </c>
      <c r="C31" s="34">
        <f>'AX2'!VC28/1000/1000/1000</f>
        <v>385.15</v>
      </c>
      <c r="D31" s="34">
        <f>'AX2'!VD28/1000/1000/1000</f>
        <v>198.703</v>
      </c>
      <c r="E31" s="34">
        <f t="shared" si="4"/>
        <v>186.44699999999997</v>
      </c>
      <c r="F31" s="54">
        <v>25.984920064164601</v>
      </c>
      <c r="G31" s="631">
        <f t="shared" si="5"/>
        <v>0.13936893628840691</v>
      </c>
      <c r="H31" s="14">
        <f t="shared" si="6"/>
        <v>160.46207993583536</v>
      </c>
      <c r="I31" s="13">
        <f>'AX2'!SY28/1000/1000/1000</f>
        <v>93.497</v>
      </c>
      <c r="J31" s="54">
        <f t="shared" si="7"/>
        <v>3.3779510000000004</v>
      </c>
      <c r="K31" s="34">
        <f t="shared" si="8"/>
        <v>89.572048999999978</v>
      </c>
      <c r="L31" s="14">
        <f t="shared" si="9"/>
        <v>63.587128935835359</v>
      </c>
      <c r="M31" s="13">
        <f t="shared" si="10"/>
        <v>186.44699999999997</v>
      </c>
      <c r="N31" s="34">
        <f t="shared" si="11"/>
        <v>160.46207993583536</v>
      </c>
      <c r="O31" s="34">
        <f t="shared" si="12"/>
        <v>89.572048999999978</v>
      </c>
      <c r="P31" s="34">
        <f t="shared" si="13"/>
        <v>63.587128935835381</v>
      </c>
      <c r="Q31" s="34">
        <f t="shared" ref="Q31:Q68" si="29">I31+EZ31-EY31</f>
        <v>93.497</v>
      </c>
      <c r="R31" s="34">
        <f t="shared" si="26"/>
        <v>3.3779510000000004</v>
      </c>
      <c r="S31" s="14">
        <f>('AX2'!TS28-'AX2'!TT28)/1000/1000/1000</f>
        <v>0</v>
      </c>
      <c r="T31" s="13">
        <f>('AX2'!UA28)/1000/1000/1000</f>
        <v>0</v>
      </c>
      <c r="U31" s="34">
        <f>'AX2'!UB28/1000/1000/1000</f>
        <v>0</v>
      </c>
      <c r="V31" s="34">
        <f t="shared" si="14"/>
        <v>186.44699999999997</v>
      </c>
      <c r="W31" s="34">
        <f t="shared" si="15"/>
        <v>160.46207993583536</v>
      </c>
      <c r="X31" s="13">
        <f>'AX2'!VG28/1000/1000/1000</f>
        <v>133.63800000000001</v>
      </c>
      <c r="Y31" s="34">
        <f t="shared" si="16"/>
        <v>14.547000000000001</v>
      </c>
      <c r="Z31" s="125">
        <f t="shared" si="17"/>
        <v>119.09100000000001</v>
      </c>
      <c r="AA31" s="34">
        <f t="shared" si="18"/>
        <v>52.808999999999969</v>
      </c>
      <c r="AB31" s="34">
        <f t="shared" si="19"/>
        <v>26.824079935835357</v>
      </c>
      <c r="AC31" s="34"/>
      <c r="AD31" s="34"/>
      <c r="AE31" s="14"/>
      <c r="AF31" s="10">
        <f>'AX2'!UE28</f>
        <v>0</v>
      </c>
      <c r="AG31" s="10">
        <f t="shared" si="20"/>
        <v>60.728999999999999</v>
      </c>
      <c r="AH31" s="10">
        <v>59.326000000000001</v>
      </c>
      <c r="AI31" s="790">
        <v>47.374000000000002</v>
      </c>
      <c r="AJ31" s="790">
        <v>11.952</v>
      </c>
      <c r="AK31" s="10">
        <f>'AX2'!VI28/1000/1000/1000</f>
        <v>1.403</v>
      </c>
      <c r="AL31" s="10">
        <f>'AX2'!VA28/1000/1000/1000</f>
        <v>0</v>
      </c>
      <c r="AM31" s="10">
        <f>'AX2'!VL28/1000/1000/1000</f>
        <v>0</v>
      </c>
      <c r="AN31" s="10">
        <f t="shared" si="21"/>
        <v>-7.9200000000000301</v>
      </c>
      <c r="AO31" s="94"/>
      <c r="AP31" s="11"/>
      <c r="AQ31" s="11"/>
      <c r="AR31" s="11"/>
      <c r="AS31" s="149"/>
      <c r="AT31" s="153"/>
      <c r="AU31" s="102"/>
      <c r="AV31" s="102"/>
      <c r="AW31" s="102"/>
      <c r="AX31" s="103"/>
      <c r="AY31" s="11"/>
      <c r="AZ31" s="10"/>
      <c r="BA31" s="11"/>
      <c r="BB31" s="11"/>
      <c r="BC31" s="10"/>
      <c r="BD31" s="10"/>
      <c r="BE31" s="13"/>
      <c r="BF31" s="34"/>
      <c r="BG31" s="10"/>
      <c r="BH31" s="34"/>
      <c r="BI31" s="34"/>
      <c r="BJ31" s="102"/>
      <c r="BK31" s="103"/>
      <c r="BL31" s="10">
        <f>'AX2'!IF28/1000/1000/1000</f>
        <v>112.12</v>
      </c>
      <c r="BM31" s="11"/>
      <c r="BN31" s="11"/>
      <c r="BO31" s="12"/>
      <c r="BP31" s="10"/>
      <c r="BQ31" s="10"/>
      <c r="BR31" s="10"/>
      <c r="BS31" s="13"/>
      <c r="BT31" s="34"/>
      <c r="BU31" s="34"/>
      <c r="BV31" s="14"/>
      <c r="BW31" s="10"/>
      <c r="BX31" s="10"/>
      <c r="BY31" s="10"/>
      <c r="BZ31" s="10"/>
      <c r="CA31" s="10"/>
      <c r="CB31" s="10"/>
      <c r="CC31" s="13"/>
      <c r="CD31" s="34"/>
      <c r="CE31" s="34"/>
      <c r="CF31" s="34"/>
      <c r="CG31" s="34"/>
      <c r="CH31" s="34"/>
      <c r="CI31" s="34"/>
      <c r="CJ31" s="13">
        <f>'AX2'!KU28/1000/1000/1000</f>
        <v>14.547000000000001</v>
      </c>
      <c r="CK31" s="34"/>
      <c r="CL31" s="14"/>
      <c r="CM31" s="116"/>
      <c r="CN31" s="10"/>
      <c r="CO31" s="10"/>
      <c r="CP31" s="10"/>
      <c r="CQ31" s="13"/>
      <c r="CR31" s="34"/>
      <c r="CS31" s="125"/>
      <c r="CT31" s="14"/>
      <c r="CU31" s="10"/>
      <c r="CV31" s="10"/>
      <c r="CW31" s="10"/>
      <c r="CX31" s="10"/>
      <c r="CY31" s="10"/>
      <c r="CZ31" s="13"/>
      <c r="DA31" s="34"/>
      <c r="DB31" s="34"/>
      <c r="DC31" s="34"/>
      <c r="DD31" s="14"/>
      <c r="DE31" s="13"/>
      <c r="DF31" s="14"/>
      <c r="DG31" s="116"/>
      <c r="DH31" s="10"/>
      <c r="DI31" s="10"/>
      <c r="DJ31" s="10"/>
      <c r="DK31" s="13"/>
      <c r="DL31" s="34"/>
      <c r="DM31" s="34"/>
      <c r="DN31" s="14"/>
      <c r="DO31" s="10"/>
      <c r="DP31" s="10"/>
      <c r="DQ31" s="10"/>
      <c r="DR31" s="10"/>
      <c r="DS31" s="10"/>
      <c r="DT31" s="13"/>
      <c r="DU31" s="34"/>
      <c r="DV31" s="34"/>
      <c r="DW31" s="34"/>
      <c r="DX31" s="14"/>
      <c r="DY31" s="13"/>
      <c r="DZ31" s="14"/>
      <c r="EA31" s="116"/>
      <c r="EB31" s="10"/>
      <c r="EC31" s="10"/>
      <c r="ED31" s="10"/>
      <c r="EE31" s="13"/>
      <c r="EF31" s="34"/>
      <c r="EG31" s="34"/>
      <c r="EH31" s="14"/>
      <c r="EI31" s="10"/>
      <c r="EJ31" s="10"/>
      <c r="EK31" s="10"/>
      <c r="EL31" s="10"/>
      <c r="EM31" s="10"/>
      <c r="EN31" s="13"/>
      <c r="EO31" s="34"/>
      <c r="EP31" s="34"/>
      <c r="EQ31" s="34"/>
      <c r="ER31" s="14"/>
      <c r="ES31" s="13"/>
      <c r="ET31" s="14"/>
      <c r="EU31" s="116"/>
      <c r="EV31" s="10">
        <f>'AX2'!SF28/1000/1000/1000</f>
        <v>166.93600000000001</v>
      </c>
      <c r="EW31" s="10">
        <f>'AX2'!SC28/1000/1000/1000</f>
        <v>168.12100000000001</v>
      </c>
      <c r="EX31" s="10">
        <f t="shared" si="3"/>
        <v>1.1850000000000023</v>
      </c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Q31" s="12"/>
      <c r="FR31" s="259">
        <v>6.4950000000000001</v>
      </c>
      <c r="FS31" s="69">
        <v>27.3</v>
      </c>
      <c r="FT31" s="780">
        <f t="shared" ref="FT31:FT68" si="30">FS31/FS30-1</f>
        <v>0.10526315789473695</v>
      </c>
      <c r="FU31" s="780">
        <f t="shared" si="27"/>
        <v>0.26300578034682082</v>
      </c>
      <c r="FV31" s="780">
        <f t="shared" ref="FV31:FV69" si="31">FU31/FU$29</f>
        <v>1.2522935779816513</v>
      </c>
      <c r="FW31" s="781">
        <f t="shared" ref="FW31:FW69" si="32">FV31/FV30</f>
        <v>1.1052631578947367</v>
      </c>
      <c r="FX31" s="9">
        <v>21.1</v>
      </c>
      <c r="FY31" s="161">
        <f t="shared" si="22"/>
        <v>7.3750436910171274E-2</v>
      </c>
      <c r="FZ31" s="161">
        <f t="shared" si="23"/>
        <v>0.28041374913098088</v>
      </c>
      <c r="GA31" s="625">
        <f>FZ31/FZ$30</f>
        <v>0.78239656518345058</v>
      </c>
      <c r="GB31" s="637">
        <v>0.93975903614457834</v>
      </c>
      <c r="GC31" s="475">
        <f t="shared" si="24"/>
        <v>0.21358159912376784</v>
      </c>
      <c r="GD31" s="806">
        <f t="shared" si="25"/>
        <v>0.81207948677828212</v>
      </c>
      <c r="GE31" s="806">
        <f t="shared" ref="GE31:GE65" si="33">GD31/GD$29</f>
        <v>0.75043029259896743</v>
      </c>
      <c r="GF31" s="814">
        <v>790</v>
      </c>
      <c r="GG31" s="820">
        <f t="shared" si="28"/>
        <v>28.937728937728938</v>
      </c>
      <c r="GH31" s="806">
        <f>GG31/GG$30</f>
        <v>0.50945253368631838</v>
      </c>
      <c r="GI31" s="806"/>
      <c r="GJ31" s="806">
        <v>0.12</v>
      </c>
      <c r="GK31" s="806">
        <v>0.16</v>
      </c>
      <c r="GL31" s="806">
        <f>FT31</f>
        <v>0.10526315789473695</v>
      </c>
      <c r="GM31" s="806">
        <f t="shared" ref="GM31:GM66" si="34">(1+GK31)/FW31-1</f>
        <v>4.9523809523809526E-2</v>
      </c>
      <c r="GN31" s="806">
        <f>GN30*(GM31+1)</f>
        <v>1.0495238095238095</v>
      </c>
      <c r="GO31" s="12"/>
      <c r="GP31" s="716"/>
      <c r="GQ31" s="825"/>
      <c r="GR31" s="825"/>
    </row>
    <row r="32" spans="2:200" s="9" customFormat="1" ht="12.75">
      <c r="B32" s="15">
        <v>1983</v>
      </c>
      <c r="C32" s="34">
        <f>'AX2'!VC29/1000/1000/1000</f>
        <v>444.88</v>
      </c>
      <c r="D32" s="34">
        <f>'AX2'!VD29/1000/1000/1000</f>
        <v>239.339</v>
      </c>
      <c r="E32" s="34">
        <f t="shared" si="4"/>
        <v>205.541</v>
      </c>
      <c r="F32" s="54">
        <v>29.194023727959699</v>
      </c>
      <c r="G32" s="631">
        <f t="shared" si="5"/>
        <v>0.14203503791438057</v>
      </c>
      <c r="H32" s="14">
        <f t="shared" si="6"/>
        <v>176.34697627204031</v>
      </c>
      <c r="I32" s="13">
        <f>'AX2'!SY29/1000/1000/1000</f>
        <v>105.503</v>
      </c>
      <c r="J32" s="54">
        <f t="shared" si="7"/>
        <v>4.0687630000000006</v>
      </c>
      <c r="K32" s="34">
        <f t="shared" si="8"/>
        <v>95.969236999999993</v>
      </c>
      <c r="L32" s="14">
        <f t="shared" si="9"/>
        <v>66.775213272040304</v>
      </c>
      <c r="M32" s="13">
        <f t="shared" si="10"/>
        <v>205.541</v>
      </c>
      <c r="N32" s="34">
        <f t="shared" si="11"/>
        <v>176.34697627204031</v>
      </c>
      <c r="O32" s="34">
        <f t="shared" si="12"/>
        <v>95.969236999999993</v>
      </c>
      <c r="P32" s="34">
        <f t="shared" si="13"/>
        <v>66.77521327204029</v>
      </c>
      <c r="Q32" s="34">
        <f t="shared" si="29"/>
        <v>105.503</v>
      </c>
      <c r="R32" s="34">
        <f t="shared" si="26"/>
        <v>4.0687630000000006</v>
      </c>
      <c r="S32" s="14">
        <f>('AX2'!TS29-'AX2'!TT29)/1000/1000/1000</f>
        <v>0</v>
      </c>
      <c r="T32" s="13">
        <f>('AX2'!UA29)/1000/1000/1000</f>
        <v>0</v>
      </c>
      <c r="U32" s="34">
        <f>'AX2'!UB29/1000/1000/1000</f>
        <v>0</v>
      </c>
      <c r="V32" s="34">
        <f t="shared" si="14"/>
        <v>205.541</v>
      </c>
      <c r="W32" s="34">
        <f t="shared" si="15"/>
        <v>176.34697627204031</v>
      </c>
      <c r="X32" s="13">
        <f>'AX2'!VG29/1000/1000/1000</f>
        <v>154.60400000000001</v>
      </c>
      <c r="Y32" s="34">
        <f t="shared" si="16"/>
        <v>16.335999999999999</v>
      </c>
      <c r="Z32" s="125">
        <f t="shared" si="17"/>
        <v>138.26800000000003</v>
      </c>
      <c r="AA32" s="34">
        <f t="shared" si="18"/>
        <v>50.936999999999983</v>
      </c>
      <c r="AB32" s="34">
        <f t="shared" si="19"/>
        <v>21.742976272040295</v>
      </c>
      <c r="AC32" s="34"/>
      <c r="AD32" s="34"/>
      <c r="AE32" s="14"/>
      <c r="AF32" s="10">
        <f>'AX2'!UE29</f>
        <v>0</v>
      </c>
      <c r="AG32" s="10">
        <f t="shared" si="20"/>
        <v>57.948</v>
      </c>
      <c r="AH32" s="10">
        <v>53.619</v>
      </c>
      <c r="AI32" s="790">
        <v>40.984999999999999</v>
      </c>
      <c r="AJ32" s="790">
        <v>12.634</v>
      </c>
      <c r="AK32" s="10">
        <f>'AX2'!VI29/1000/1000/1000</f>
        <v>4.3289999999999997</v>
      </c>
      <c r="AL32" s="10">
        <f>'AX2'!VA29/1000/1000/1000</f>
        <v>0</v>
      </c>
      <c r="AM32" s="10">
        <f>'AX2'!VL29/1000/1000/1000</f>
        <v>0</v>
      </c>
      <c r="AN32" s="10">
        <f t="shared" si="21"/>
        <v>-7.011000000000017</v>
      </c>
      <c r="AO32" s="94"/>
      <c r="AP32" s="11"/>
      <c r="AQ32" s="11"/>
      <c r="AR32" s="11"/>
      <c r="AS32" s="149"/>
      <c r="AT32" s="153"/>
      <c r="AU32" s="102"/>
      <c r="AV32" s="102"/>
      <c r="AW32" s="102"/>
      <c r="AX32" s="103"/>
      <c r="AY32" s="11"/>
      <c r="AZ32" s="10"/>
      <c r="BA32" s="11"/>
      <c r="BB32" s="11"/>
      <c r="BC32" s="10"/>
      <c r="BD32" s="10"/>
      <c r="BE32" s="13"/>
      <c r="BF32" s="34"/>
      <c r="BG32" s="10"/>
      <c r="BH32" s="34"/>
      <c r="BI32" s="34"/>
      <c r="BJ32" s="102"/>
      <c r="BK32" s="103"/>
      <c r="BL32" s="10">
        <f>'AX2'!IF29/1000/1000/1000</f>
        <v>130.24299999999999</v>
      </c>
      <c r="BM32" s="11"/>
      <c r="BN32" s="11"/>
      <c r="BO32" s="12"/>
      <c r="BP32" s="10"/>
      <c r="BQ32" s="10"/>
      <c r="BR32" s="10"/>
      <c r="BS32" s="13"/>
      <c r="BT32" s="34"/>
      <c r="BU32" s="34"/>
      <c r="BV32" s="14"/>
      <c r="BW32" s="10"/>
      <c r="BX32" s="10"/>
      <c r="BY32" s="10"/>
      <c r="BZ32" s="10"/>
      <c r="CA32" s="10"/>
      <c r="CB32" s="10"/>
      <c r="CC32" s="13"/>
      <c r="CD32" s="34"/>
      <c r="CE32" s="34"/>
      <c r="CF32" s="34"/>
      <c r="CG32" s="34"/>
      <c r="CH32" s="34"/>
      <c r="CI32" s="34"/>
      <c r="CJ32" s="13">
        <f>'AX2'!KU29/1000/1000/1000</f>
        <v>16.335999999999999</v>
      </c>
      <c r="CK32" s="34"/>
      <c r="CL32" s="14"/>
      <c r="CM32" s="116"/>
      <c r="CN32" s="10"/>
      <c r="CO32" s="10"/>
      <c r="CP32" s="10"/>
      <c r="CQ32" s="13"/>
      <c r="CR32" s="34"/>
      <c r="CS32" s="125"/>
      <c r="CT32" s="14"/>
      <c r="CU32" s="10"/>
      <c r="CV32" s="10"/>
      <c r="CW32" s="10"/>
      <c r="CX32" s="10"/>
      <c r="CY32" s="10"/>
      <c r="CZ32" s="13"/>
      <c r="DA32" s="34"/>
      <c r="DB32" s="34"/>
      <c r="DC32" s="34"/>
      <c r="DD32" s="14"/>
      <c r="DE32" s="13"/>
      <c r="DF32" s="14"/>
      <c r="DG32" s="116"/>
      <c r="DH32" s="10"/>
      <c r="DI32" s="10"/>
      <c r="DJ32" s="10"/>
      <c r="DK32" s="13"/>
      <c r="DL32" s="34"/>
      <c r="DM32" s="34"/>
      <c r="DN32" s="14"/>
      <c r="DO32" s="10"/>
      <c r="DP32" s="10"/>
      <c r="DQ32" s="10"/>
      <c r="DR32" s="10"/>
      <c r="DS32" s="10"/>
      <c r="DT32" s="13"/>
      <c r="DU32" s="34"/>
      <c r="DV32" s="34"/>
      <c r="DW32" s="34"/>
      <c r="DX32" s="14"/>
      <c r="DY32" s="13"/>
      <c r="DZ32" s="14"/>
      <c r="EA32" s="116"/>
      <c r="EB32" s="10"/>
      <c r="EC32" s="10"/>
      <c r="ED32" s="10"/>
      <c r="EE32" s="13"/>
      <c r="EF32" s="34"/>
      <c r="EG32" s="34"/>
      <c r="EH32" s="14"/>
      <c r="EI32" s="10"/>
      <c r="EJ32" s="10"/>
      <c r="EK32" s="10"/>
      <c r="EL32" s="10"/>
      <c r="EM32" s="10"/>
      <c r="EN32" s="13"/>
      <c r="EO32" s="34"/>
      <c r="EP32" s="34"/>
      <c r="EQ32" s="34"/>
      <c r="ER32" s="14"/>
      <c r="ES32" s="13"/>
      <c r="ET32" s="14"/>
      <c r="EU32" s="116"/>
      <c r="EV32" s="10">
        <f>'AX2'!SF29/1000/1000/1000</f>
        <v>204.01400000000001</v>
      </c>
      <c r="EW32" s="10">
        <f>'AX2'!SC29/1000/1000/1000</f>
        <v>208.02600000000001</v>
      </c>
      <c r="EX32" s="10">
        <f t="shared" si="3"/>
        <v>4.0120000000000005</v>
      </c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Q32" s="12"/>
      <c r="FR32" s="259">
        <v>7.78</v>
      </c>
      <c r="FS32" s="69">
        <v>30.2</v>
      </c>
      <c r="FT32" s="780">
        <f t="shared" si="30"/>
        <v>0.10622710622710607</v>
      </c>
      <c r="FU32" s="780">
        <f t="shared" si="27"/>
        <v>0.29094412331406549</v>
      </c>
      <c r="FV32" s="780">
        <f t="shared" si="31"/>
        <v>1.3853211009174309</v>
      </c>
      <c r="FW32" s="781">
        <f t="shared" si="32"/>
        <v>1.1062271062271061</v>
      </c>
      <c r="FX32" s="9">
        <v>18</v>
      </c>
      <c r="FY32" s="161">
        <f t="shared" si="22"/>
        <v>6.2915064662705342E-2</v>
      </c>
      <c r="FZ32" s="161">
        <f t="shared" si="23"/>
        <v>0.21624449377446406</v>
      </c>
      <c r="GA32" s="625">
        <f t="shared" ref="GA32:GA66" si="35">FZ32/FZ$30</f>
        <v>0.60335468461621977</v>
      </c>
      <c r="GB32" s="637">
        <v>0.89397590361445789</v>
      </c>
      <c r="GC32" s="475">
        <f t="shared" si="24"/>
        <v>0.20317634173055862</v>
      </c>
      <c r="GD32" s="806">
        <f t="shared" si="25"/>
        <v>0.69833457853086045</v>
      </c>
      <c r="GE32" s="806">
        <f t="shared" si="33"/>
        <v>0.64532035426474121</v>
      </c>
      <c r="GF32" s="814">
        <v>877</v>
      </c>
      <c r="GG32" s="820">
        <f t="shared" si="28"/>
        <v>29.039735099337751</v>
      </c>
      <c r="GH32" s="806">
        <f t="shared" ref="GH32:GH68" si="36">GG32/GG$30</f>
        <v>0.5112483656120046</v>
      </c>
      <c r="GI32" s="806"/>
      <c r="GJ32" s="806">
        <v>0.08</v>
      </c>
      <c r="GK32" s="806">
        <v>0.105</v>
      </c>
      <c r="GL32" s="806">
        <f t="shared" ref="GL32:GL68" si="37">FT32</f>
        <v>0.10622710622710607</v>
      </c>
      <c r="GM32" s="806">
        <f t="shared" si="34"/>
        <v>-1.1092715231786343E-3</v>
      </c>
      <c r="GN32" s="806">
        <f>GN31*(GM32+1)</f>
        <v>1.0483596026490067</v>
      </c>
      <c r="GO32" s="12"/>
      <c r="GP32" s="716"/>
      <c r="GQ32" s="825"/>
    </row>
    <row r="33" spans="2:200" s="9" customFormat="1" ht="12.75">
      <c r="B33" s="15">
        <v>1984</v>
      </c>
      <c r="C33" s="34">
        <f>'AX2'!VC30/1000/1000/1000</f>
        <v>529.73</v>
      </c>
      <c r="D33" s="34">
        <f>'AX2'!VD30/1000/1000/1000</f>
        <v>285.36</v>
      </c>
      <c r="E33" s="34">
        <f t="shared" si="4"/>
        <v>244.37</v>
      </c>
      <c r="F33" s="54">
        <v>34.431513529335199</v>
      </c>
      <c r="G33" s="631">
        <f t="shared" si="5"/>
        <v>0.14089910189194743</v>
      </c>
      <c r="H33" s="14">
        <f t="shared" si="6"/>
        <v>209.9384864706648</v>
      </c>
      <c r="I33" s="13">
        <f>'AX2'!SY30/1000/1000/1000</f>
        <v>124.21299999999999</v>
      </c>
      <c r="J33" s="54">
        <f t="shared" si="7"/>
        <v>4.8511200000000008</v>
      </c>
      <c r="K33" s="34">
        <f t="shared" si="8"/>
        <v>115.30588000000002</v>
      </c>
      <c r="L33" s="14">
        <f t="shared" si="9"/>
        <v>80.87436647066481</v>
      </c>
      <c r="M33" s="13">
        <f t="shared" si="10"/>
        <v>244.37000000000003</v>
      </c>
      <c r="N33" s="34">
        <f t="shared" si="11"/>
        <v>209.93848647066483</v>
      </c>
      <c r="O33" s="34">
        <f t="shared" si="12"/>
        <v>115.30588000000002</v>
      </c>
      <c r="P33" s="34">
        <f t="shared" si="13"/>
        <v>80.874366470664825</v>
      </c>
      <c r="Q33" s="34">
        <f t="shared" si="29"/>
        <v>124.21299999999999</v>
      </c>
      <c r="R33" s="34">
        <f t="shared" si="26"/>
        <v>4.8511200000000008</v>
      </c>
      <c r="S33" s="14">
        <f>('AX2'!TS30-'AX2'!TT30)/1000/1000/1000</f>
        <v>0</v>
      </c>
      <c r="T33" s="13">
        <f>('AX2'!UA30)/1000/1000/1000</f>
        <v>0</v>
      </c>
      <c r="U33" s="34">
        <f>'AX2'!UB30/1000/1000/1000</f>
        <v>0</v>
      </c>
      <c r="V33" s="34">
        <f t="shared" si="14"/>
        <v>244.37000000000003</v>
      </c>
      <c r="W33" s="34">
        <f t="shared" si="15"/>
        <v>209.93848647066483</v>
      </c>
      <c r="X33" s="13">
        <f>'AX2'!VG30/1000/1000/1000</f>
        <v>175.87</v>
      </c>
      <c r="Y33" s="34">
        <f t="shared" si="16"/>
        <v>18.027000000000001</v>
      </c>
      <c r="Z33" s="125">
        <f t="shared" si="17"/>
        <v>157.84300000000002</v>
      </c>
      <c r="AA33" s="34">
        <f t="shared" si="18"/>
        <v>68.500000000000028</v>
      </c>
      <c r="AB33" s="34">
        <f t="shared" si="19"/>
        <v>34.068486470664823</v>
      </c>
      <c r="AC33" s="34"/>
      <c r="AD33" s="34"/>
      <c r="AE33" s="14"/>
      <c r="AF33" s="10">
        <f>'AX2'!UE30</f>
        <v>0</v>
      </c>
      <c r="AG33" s="10">
        <f t="shared" si="20"/>
        <v>63.972999999999999</v>
      </c>
      <c r="AH33" s="10">
        <v>58.17</v>
      </c>
      <c r="AI33" s="790">
        <v>46.618000000000002</v>
      </c>
      <c r="AJ33" s="790">
        <v>11.552</v>
      </c>
      <c r="AK33" s="10">
        <f>'AX2'!VI30/1000/1000/1000</f>
        <v>5.8029999999999999</v>
      </c>
      <c r="AL33" s="10">
        <f>'AX2'!VA30/1000/1000/1000</f>
        <v>0</v>
      </c>
      <c r="AM33" s="10">
        <f>'AX2'!VL30/1000/1000/1000</f>
        <v>0</v>
      </c>
      <c r="AN33" s="10">
        <f t="shared" si="21"/>
        <v>4.5270000000000294</v>
      </c>
      <c r="AO33" s="94"/>
      <c r="AP33" s="11"/>
      <c r="AQ33" s="11"/>
      <c r="AR33" s="11"/>
      <c r="AS33" s="149"/>
      <c r="AT33" s="153"/>
      <c r="AU33" s="102"/>
      <c r="AV33" s="102"/>
      <c r="AW33" s="102"/>
      <c r="AX33" s="103"/>
      <c r="AY33" s="11"/>
      <c r="AZ33" s="10"/>
      <c r="BA33" s="11"/>
      <c r="BB33" s="11"/>
      <c r="BC33" s="10"/>
      <c r="BD33" s="10"/>
      <c r="BE33" s="13"/>
      <c r="BF33" s="34"/>
      <c r="BG33" s="10"/>
      <c r="BH33" s="34"/>
      <c r="BI33" s="34"/>
      <c r="BJ33" s="102"/>
      <c r="BK33" s="103"/>
      <c r="BL33" s="10">
        <f>'AX2'!IF30/1000/1000/1000</f>
        <v>148.76</v>
      </c>
      <c r="BM33" s="11"/>
      <c r="BN33" s="11"/>
      <c r="BO33" s="12"/>
      <c r="BP33" s="10"/>
      <c r="BQ33" s="10"/>
      <c r="BR33" s="10"/>
      <c r="BS33" s="13"/>
      <c r="BT33" s="34"/>
      <c r="BU33" s="34"/>
      <c r="BV33" s="14"/>
      <c r="BW33" s="10"/>
      <c r="BX33" s="10"/>
      <c r="BY33" s="10"/>
      <c r="BZ33" s="10"/>
      <c r="CA33" s="10"/>
      <c r="CB33" s="10"/>
      <c r="CC33" s="13"/>
      <c r="CD33" s="34"/>
      <c r="CE33" s="34"/>
      <c r="CF33" s="34"/>
      <c r="CG33" s="34"/>
      <c r="CH33" s="34"/>
      <c r="CI33" s="34"/>
      <c r="CJ33" s="13">
        <f>'AX2'!KU30/1000/1000/1000</f>
        <v>18.027000000000001</v>
      </c>
      <c r="CK33" s="34"/>
      <c r="CL33" s="14"/>
      <c r="CM33" s="116"/>
      <c r="CN33" s="10"/>
      <c r="CO33" s="10"/>
      <c r="CP33" s="10"/>
      <c r="CQ33" s="13"/>
      <c r="CR33" s="34"/>
      <c r="CS33" s="125"/>
      <c r="CT33" s="14"/>
      <c r="CU33" s="10"/>
      <c r="CV33" s="10"/>
      <c r="CW33" s="10"/>
      <c r="CX33" s="10"/>
      <c r="CY33" s="10"/>
      <c r="CZ33" s="13"/>
      <c r="DA33" s="34"/>
      <c r="DB33" s="34"/>
      <c r="DC33" s="34"/>
      <c r="DD33" s="14"/>
      <c r="DE33" s="13"/>
      <c r="DF33" s="14"/>
      <c r="DG33" s="116"/>
      <c r="DH33" s="10"/>
      <c r="DI33" s="10"/>
      <c r="DJ33" s="10"/>
      <c r="DK33" s="13"/>
      <c r="DL33" s="34"/>
      <c r="DM33" s="34"/>
      <c r="DN33" s="14"/>
      <c r="DO33" s="10"/>
      <c r="DP33" s="10"/>
      <c r="DQ33" s="10"/>
      <c r="DR33" s="10"/>
      <c r="DS33" s="10"/>
      <c r="DT33" s="13"/>
      <c r="DU33" s="34"/>
      <c r="DV33" s="34"/>
      <c r="DW33" s="34"/>
      <c r="DX33" s="14"/>
      <c r="DY33" s="13"/>
      <c r="DZ33" s="14"/>
      <c r="EA33" s="116"/>
      <c r="EB33" s="10"/>
      <c r="EC33" s="10"/>
      <c r="ED33" s="10"/>
      <c r="EE33" s="13"/>
      <c r="EF33" s="34"/>
      <c r="EG33" s="34"/>
      <c r="EH33" s="14"/>
      <c r="EI33" s="10"/>
      <c r="EJ33" s="10"/>
      <c r="EK33" s="10"/>
      <c r="EL33" s="10"/>
      <c r="EM33" s="10"/>
      <c r="EN33" s="13"/>
      <c r="EO33" s="34"/>
      <c r="EP33" s="34"/>
      <c r="EQ33" s="34"/>
      <c r="ER33" s="14"/>
      <c r="ES33" s="13"/>
      <c r="ET33" s="14"/>
      <c r="EU33" s="116"/>
      <c r="EV33" s="10">
        <f>'AX2'!SF30/1000/1000/1000</f>
        <v>257.69299999999998</v>
      </c>
      <c r="EW33" s="10">
        <f>'AX2'!SC30/1000/1000/1000</f>
        <v>278.83699999999999</v>
      </c>
      <c r="EX33" s="10">
        <f t="shared" si="3"/>
        <v>21.144000000000005</v>
      </c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Q33" s="12"/>
      <c r="FR33" s="259">
        <v>7.8230000000000004</v>
      </c>
      <c r="FS33" s="69">
        <v>31.8</v>
      </c>
      <c r="FT33" s="780">
        <f t="shared" si="30"/>
        <v>5.2980132450331174E-2</v>
      </c>
      <c r="FU33" s="780">
        <f t="shared" si="27"/>
        <v>0.30635838150289019</v>
      </c>
      <c r="FV33" s="780">
        <f t="shared" si="31"/>
        <v>1.4587155963302751</v>
      </c>
      <c r="FW33" s="781">
        <f t="shared" si="32"/>
        <v>1.0529801324503314</v>
      </c>
      <c r="FX33" s="9">
        <v>17.2</v>
      </c>
      <c r="FY33" s="161">
        <f t="shared" si="22"/>
        <v>6.0118839566585106E-2</v>
      </c>
      <c r="FZ33" s="161">
        <f t="shared" si="23"/>
        <v>0.19623696688715514</v>
      </c>
      <c r="GA33" s="625">
        <f t="shared" si="35"/>
        <v>0.54753067326528504</v>
      </c>
      <c r="GB33" s="637">
        <v>0.94939759036144578</v>
      </c>
      <c r="GC33" s="475">
        <f t="shared" si="24"/>
        <v>0.21577217962760134</v>
      </c>
      <c r="GD33" s="806">
        <f t="shared" si="25"/>
        <v>0.70431296369009488</v>
      </c>
      <c r="GE33" s="806">
        <f t="shared" si="33"/>
        <v>0.65084488898992199</v>
      </c>
      <c r="GF33" s="814">
        <v>1140</v>
      </c>
      <c r="GG33" s="820">
        <f t="shared" si="28"/>
        <v>35.849056603773583</v>
      </c>
      <c r="GH33" s="806">
        <f t="shared" si="36"/>
        <v>0.63112736857676943</v>
      </c>
      <c r="GI33" s="806"/>
      <c r="GJ33" s="806">
        <v>8.2299999999999998E-2</v>
      </c>
      <c r="GK33" s="806">
        <v>0.13150000000000001</v>
      </c>
      <c r="GL33" s="806">
        <f t="shared" si="37"/>
        <v>5.2980132450331174E-2</v>
      </c>
      <c r="GM33" s="806">
        <f t="shared" si="34"/>
        <v>7.4569182389936817E-2</v>
      </c>
      <c r="GN33" s="806">
        <f t="shared" ref="GN33:GN68" si="38">GN32*(GM33+1)</f>
        <v>1.1265349210691822</v>
      </c>
      <c r="GO33" s="12"/>
      <c r="GP33" s="716"/>
      <c r="GQ33" s="825"/>
    </row>
    <row r="34" spans="2:200" s="9" customFormat="1" ht="12.75">
      <c r="B34" s="15">
        <v>1985</v>
      </c>
      <c r="C34" s="34">
        <f>'AX2'!VC31/1000/1000/1000</f>
        <v>547.46500000000003</v>
      </c>
      <c r="D34" s="34">
        <f>'AX2'!VD31/1000/1000/1000</f>
        <v>288.11099999999999</v>
      </c>
      <c r="E34" s="34">
        <f t="shared" si="4"/>
        <v>259.35400000000004</v>
      </c>
      <c r="F34" s="54">
        <v>39.135086642609394</v>
      </c>
      <c r="G34" s="631">
        <f t="shared" si="5"/>
        <v>0.15089447875340031</v>
      </c>
      <c r="H34" s="14">
        <f t="shared" si="6"/>
        <v>220.21891335739065</v>
      </c>
      <c r="I34" s="13">
        <f>'AX2'!SY31/1000/1000/1000</f>
        <v>137.62799999999999</v>
      </c>
      <c r="J34" s="54">
        <f t="shared" si="7"/>
        <v>4.8978869999999999</v>
      </c>
      <c r="K34" s="34">
        <f t="shared" si="8"/>
        <v>116.82811300000006</v>
      </c>
      <c r="L34" s="14">
        <f t="shared" si="9"/>
        <v>77.693026357390664</v>
      </c>
      <c r="M34" s="13">
        <f t="shared" si="10"/>
        <v>259.35400000000004</v>
      </c>
      <c r="N34" s="34">
        <f t="shared" si="11"/>
        <v>220.21891335739065</v>
      </c>
      <c r="O34" s="34">
        <f t="shared" si="12"/>
        <v>116.82811300000006</v>
      </c>
      <c r="P34" s="34">
        <f t="shared" si="13"/>
        <v>77.693026357390664</v>
      </c>
      <c r="Q34" s="34">
        <f t="shared" si="29"/>
        <v>137.62799999999999</v>
      </c>
      <c r="R34" s="34">
        <f t="shared" si="26"/>
        <v>4.8978869999999999</v>
      </c>
      <c r="S34" s="14">
        <f>('AX2'!TS31-'AX2'!TT31)/1000/1000/1000</f>
        <v>0</v>
      </c>
      <c r="T34" s="13">
        <f>('AX2'!UA31)/1000/1000/1000</f>
        <v>0</v>
      </c>
      <c r="U34" s="34">
        <f>'AX2'!UB31/1000/1000/1000</f>
        <v>0</v>
      </c>
      <c r="V34" s="34">
        <f t="shared" si="14"/>
        <v>259.35400000000004</v>
      </c>
      <c r="W34" s="34">
        <f t="shared" si="15"/>
        <v>220.21891335739065</v>
      </c>
      <c r="X34" s="13">
        <f>'AX2'!VG31/1000/1000/1000</f>
        <v>189.13800000000001</v>
      </c>
      <c r="Y34" s="34">
        <f t="shared" si="16"/>
        <v>19.751000000000001</v>
      </c>
      <c r="Z34" s="125">
        <f t="shared" si="17"/>
        <v>169.387</v>
      </c>
      <c r="AA34" s="34">
        <f t="shared" si="18"/>
        <v>70.216000000000037</v>
      </c>
      <c r="AB34" s="34">
        <f t="shared" si="19"/>
        <v>31.080913357390642</v>
      </c>
      <c r="AC34" s="34"/>
      <c r="AD34" s="34"/>
      <c r="AE34" s="14"/>
      <c r="AF34" s="10">
        <f>'AX2'!UE31</f>
        <v>0</v>
      </c>
      <c r="AG34" s="10">
        <f t="shared" si="20"/>
        <v>59.798000000000002</v>
      </c>
      <c r="AH34" s="10">
        <v>58.329000000000001</v>
      </c>
      <c r="AI34" s="790">
        <v>49.363</v>
      </c>
      <c r="AJ34" s="790">
        <v>8.9659999999999993</v>
      </c>
      <c r="AK34" s="10">
        <f>'AX2'!VI31/1000/1000/1000</f>
        <v>1.4690000000000001</v>
      </c>
      <c r="AL34" s="10">
        <f>'AX2'!VA31/1000/1000/1000</f>
        <v>0</v>
      </c>
      <c r="AM34" s="10">
        <f>'AX2'!VL31/1000/1000/1000</f>
        <v>0</v>
      </c>
      <c r="AN34" s="10">
        <f t="shared" si="21"/>
        <v>10.418000000000035</v>
      </c>
      <c r="AO34" s="94"/>
      <c r="AP34" s="11"/>
      <c r="AQ34" s="11"/>
      <c r="AR34" s="11"/>
      <c r="AS34" s="149"/>
      <c r="AT34" s="153"/>
      <c r="AU34" s="102"/>
      <c r="AV34" s="102"/>
      <c r="AW34" s="102"/>
      <c r="AX34" s="103"/>
      <c r="AY34" s="11"/>
      <c r="AZ34" s="10"/>
      <c r="BA34" s="11"/>
      <c r="BB34" s="11"/>
      <c r="BC34" s="10"/>
      <c r="BD34" s="10"/>
      <c r="BE34" s="13"/>
      <c r="BF34" s="34"/>
      <c r="BG34" s="10"/>
      <c r="BH34" s="34"/>
      <c r="BI34" s="34"/>
      <c r="BJ34" s="102"/>
      <c r="BK34" s="103"/>
      <c r="BL34" s="10">
        <f>'AX2'!IF31/1000/1000/1000</f>
        <v>159.125</v>
      </c>
      <c r="BM34" s="11"/>
      <c r="BN34" s="11"/>
      <c r="BO34" s="12"/>
      <c r="BP34" s="10"/>
      <c r="BQ34" s="10"/>
      <c r="BR34" s="10"/>
      <c r="BS34" s="13"/>
      <c r="BT34" s="34"/>
      <c r="BU34" s="34"/>
      <c r="BV34" s="14"/>
      <c r="BW34" s="10"/>
      <c r="BX34" s="10"/>
      <c r="BY34" s="10"/>
      <c r="BZ34" s="10"/>
      <c r="CA34" s="10"/>
      <c r="CB34" s="10"/>
      <c r="CC34" s="13"/>
      <c r="CD34" s="34"/>
      <c r="CE34" s="34"/>
      <c r="CF34" s="34"/>
      <c r="CG34" s="34"/>
      <c r="CH34" s="34"/>
      <c r="CI34" s="34"/>
      <c r="CJ34" s="13">
        <f>'AX2'!KU31/1000/1000/1000</f>
        <v>19.751000000000001</v>
      </c>
      <c r="CK34" s="34"/>
      <c r="CL34" s="14"/>
      <c r="CM34" s="116"/>
      <c r="CN34" s="10"/>
      <c r="CO34" s="10"/>
      <c r="CP34" s="10"/>
      <c r="CQ34" s="13"/>
      <c r="CR34" s="34"/>
      <c r="CS34" s="125"/>
      <c r="CT34" s="14"/>
      <c r="CU34" s="10"/>
      <c r="CV34" s="10"/>
      <c r="CW34" s="10"/>
      <c r="CX34" s="10"/>
      <c r="CY34" s="10"/>
      <c r="CZ34" s="13"/>
      <c r="DA34" s="34"/>
      <c r="DB34" s="34"/>
      <c r="DC34" s="34"/>
      <c r="DD34" s="14"/>
      <c r="DE34" s="13"/>
      <c r="DF34" s="14"/>
      <c r="DG34" s="116"/>
      <c r="DH34" s="10"/>
      <c r="DI34" s="10"/>
      <c r="DJ34" s="10"/>
      <c r="DK34" s="13"/>
      <c r="DL34" s="34"/>
      <c r="DM34" s="34"/>
      <c r="DN34" s="14"/>
      <c r="DO34" s="10"/>
      <c r="DP34" s="10"/>
      <c r="DQ34" s="10"/>
      <c r="DR34" s="10"/>
      <c r="DS34" s="10"/>
      <c r="DT34" s="13"/>
      <c r="DU34" s="34"/>
      <c r="DV34" s="34"/>
      <c r="DW34" s="34"/>
      <c r="DX34" s="14"/>
      <c r="DY34" s="13"/>
      <c r="DZ34" s="14"/>
      <c r="EA34" s="116"/>
      <c r="EB34" s="10"/>
      <c r="EC34" s="10"/>
      <c r="ED34" s="10"/>
      <c r="EE34" s="13"/>
      <c r="EF34" s="34"/>
      <c r="EG34" s="34"/>
      <c r="EH34" s="14"/>
      <c r="EI34" s="10"/>
      <c r="EJ34" s="10"/>
      <c r="EK34" s="10"/>
      <c r="EL34" s="10"/>
      <c r="EM34" s="10"/>
      <c r="EN34" s="13"/>
      <c r="EO34" s="34"/>
      <c r="EP34" s="34"/>
      <c r="EQ34" s="34"/>
      <c r="ER34" s="14"/>
      <c r="ES34" s="13"/>
      <c r="ET34" s="14"/>
      <c r="EU34" s="116"/>
      <c r="EV34" s="10">
        <f>'AX2'!SF31/1000/1000/1000</f>
        <v>269.57299999999998</v>
      </c>
      <c r="EW34" s="10">
        <f>'AX2'!SC31/1000/1000/1000</f>
        <v>297.71600000000001</v>
      </c>
      <c r="EX34" s="10">
        <f t="shared" si="3"/>
        <v>28.143000000000029</v>
      </c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Q34" s="12"/>
      <c r="FR34" s="259">
        <v>7.8109999999999999</v>
      </c>
      <c r="FS34" s="69">
        <v>32.799999999999997</v>
      </c>
      <c r="FT34" s="780">
        <f t="shared" si="30"/>
        <v>3.1446540880503138E-2</v>
      </c>
      <c r="FU34" s="780">
        <f t="shared" si="27"/>
        <v>0.31599229287090558</v>
      </c>
      <c r="FV34" s="780">
        <f t="shared" si="31"/>
        <v>1.5045871559633026</v>
      </c>
      <c r="FW34" s="781">
        <f t="shared" si="32"/>
        <v>1.0314465408805031</v>
      </c>
      <c r="FX34" s="9">
        <v>19</v>
      </c>
      <c r="FY34" s="161">
        <f t="shared" si="22"/>
        <v>6.6410346032855644E-2</v>
      </c>
      <c r="FZ34" s="161">
        <f t="shared" si="23"/>
        <v>0.21016444872592732</v>
      </c>
      <c r="GA34" s="625">
        <f t="shared" si="35"/>
        <v>0.58639044382247107</v>
      </c>
      <c r="GB34" s="637">
        <v>1.0289156626506024</v>
      </c>
      <c r="GC34" s="475">
        <f t="shared" si="24"/>
        <v>0.23384446878422785</v>
      </c>
      <c r="GD34" s="806">
        <f t="shared" si="25"/>
        <v>0.74003219084764793</v>
      </c>
      <c r="GE34" s="806">
        <f t="shared" si="33"/>
        <v>0.68385248310314439</v>
      </c>
      <c r="GF34" s="814">
        <v>1714</v>
      </c>
      <c r="GG34" s="820">
        <f t="shared" si="28"/>
        <v>52.256097560975611</v>
      </c>
      <c r="GH34" s="806">
        <f t="shared" si="36"/>
        <v>0.91997548806564333</v>
      </c>
      <c r="GI34" s="806"/>
      <c r="GJ34" s="806">
        <v>6.5799999999999997E-2</v>
      </c>
      <c r="GK34" s="806">
        <v>0.1065</v>
      </c>
      <c r="GL34" s="806">
        <f t="shared" si="37"/>
        <v>3.1446540880503138E-2</v>
      </c>
      <c r="GM34" s="806">
        <f t="shared" si="34"/>
        <v>7.2765243902439103E-2</v>
      </c>
      <c r="GN34" s="806">
        <f t="shared" si="38"/>
        <v>1.2085075093653963</v>
      </c>
      <c r="GO34" s="12"/>
      <c r="GP34" s="716"/>
      <c r="GQ34" s="825"/>
    </row>
    <row r="35" spans="2:200" s="9" customFormat="1" ht="12.75">
      <c r="B35" s="15">
        <v>1986</v>
      </c>
      <c r="C35" s="34">
        <f>'AX2'!VC32/1000/1000/1000</f>
        <v>643.86</v>
      </c>
      <c r="D35" s="34">
        <f>'AX2'!VD32/1000/1000/1000</f>
        <v>340.89800000000002</v>
      </c>
      <c r="E35" s="34">
        <f t="shared" si="4"/>
        <v>302.96199999999999</v>
      </c>
      <c r="F35" s="54">
        <v>44.106391628828597</v>
      </c>
      <c r="G35" s="631">
        <f t="shared" si="5"/>
        <v>0.14558390698776938</v>
      </c>
      <c r="H35" s="14">
        <f t="shared" si="6"/>
        <v>258.8556083711714</v>
      </c>
      <c r="I35" s="13">
        <f>'AX2'!SY32/1000/1000/1000</f>
        <v>155.95400000000001</v>
      </c>
      <c r="J35" s="54">
        <f t="shared" si="7"/>
        <v>5.7952660000000007</v>
      </c>
      <c r="K35" s="34">
        <f t="shared" si="8"/>
        <v>141.21273399999998</v>
      </c>
      <c r="L35" s="14">
        <f t="shared" si="9"/>
        <v>97.106342371171394</v>
      </c>
      <c r="M35" s="13">
        <f t="shared" si="10"/>
        <v>302.96200000000005</v>
      </c>
      <c r="N35" s="34">
        <f t="shared" si="11"/>
        <v>258.85560837117146</v>
      </c>
      <c r="O35" s="34">
        <f t="shared" si="12"/>
        <v>141.21273399999998</v>
      </c>
      <c r="P35" s="34">
        <f t="shared" si="13"/>
        <v>97.106342371171394</v>
      </c>
      <c r="Q35" s="34">
        <f t="shared" si="29"/>
        <v>155.95400000000001</v>
      </c>
      <c r="R35" s="34">
        <f t="shared" si="26"/>
        <v>5.7952660000000007</v>
      </c>
      <c r="S35" s="14">
        <f>('AX2'!TS32-'AX2'!TT32)/1000/1000/1000</f>
        <v>0</v>
      </c>
      <c r="T35" s="13">
        <f>('AX2'!UA32)/1000/1000/1000</f>
        <v>0</v>
      </c>
      <c r="U35" s="34">
        <f>'AX2'!UB32/1000/1000/1000</f>
        <v>0</v>
      </c>
      <c r="V35" s="34">
        <f t="shared" si="14"/>
        <v>302.96200000000005</v>
      </c>
      <c r="W35" s="34">
        <f t="shared" si="15"/>
        <v>258.85560837117146</v>
      </c>
      <c r="X35" s="13">
        <f>'AX2'!VG32/1000/1000/1000</f>
        <v>214.98599999999999</v>
      </c>
      <c r="Y35" s="34">
        <f t="shared" si="16"/>
        <v>22.843</v>
      </c>
      <c r="Z35" s="125">
        <f t="shared" si="17"/>
        <v>192.143</v>
      </c>
      <c r="AA35" s="34">
        <f t="shared" si="18"/>
        <v>87.976000000000056</v>
      </c>
      <c r="AB35" s="34">
        <f t="shared" si="19"/>
        <v>43.869608371171466</v>
      </c>
      <c r="AC35" s="34"/>
      <c r="AD35" s="34"/>
      <c r="AE35" s="14"/>
      <c r="AF35" s="10">
        <f>'AX2'!UE32</f>
        <v>0</v>
      </c>
      <c r="AG35" s="10">
        <f t="shared" si="20"/>
        <v>75.106999999999999</v>
      </c>
      <c r="AH35" s="10">
        <v>68.924000000000007</v>
      </c>
      <c r="AI35" s="790">
        <v>60.005000000000003</v>
      </c>
      <c r="AJ35" s="790">
        <v>8.9190000000000005</v>
      </c>
      <c r="AK35" s="10">
        <f>'AX2'!VI32/1000/1000/1000</f>
        <v>6.1829999999999998</v>
      </c>
      <c r="AL35" s="10">
        <f>'AX2'!VA32/1000/1000/1000</f>
        <v>0</v>
      </c>
      <c r="AM35" s="10">
        <f>'AX2'!VL32/1000/1000/1000</f>
        <v>0</v>
      </c>
      <c r="AN35" s="10">
        <f t="shared" si="21"/>
        <v>12.869000000000057</v>
      </c>
      <c r="AO35" s="94"/>
      <c r="AP35" s="11"/>
      <c r="AQ35" s="11"/>
      <c r="AR35" s="11"/>
      <c r="AS35" s="149"/>
      <c r="AT35" s="153"/>
      <c r="AU35" s="102"/>
      <c r="AV35" s="102"/>
      <c r="AW35" s="102"/>
      <c r="AX35" s="103"/>
      <c r="AY35" s="11"/>
      <c r="AZ35" s="10"/>
      <c r="BA35" s="11"/>
      <c r="BB35" s="11"/>
      <c r="BC35" s="10"/>
      <c r="BD35" s="10"/>
      <c r="BE35" s="13"/>
      <c r="BF35" s="34"/>
      <c r="BG35" s="10"/>
      <c r="BH35" s="34"/>
      <c r="BI35" s="34"/>
      <c r="BJ35" s="102"/>
      <c r="BK35" s="103"/>
      <c r="BL35" s="10">
        <f>'AX2'!IF32/1000/1000/1000</f>
        <v>180.06899999999999</v>
      </c>
      <c r="BM35" s="11"/>
      <c r="BN35" s="11"/>
      <c r="BO35" s="12"/>
      <c r="BP35" s="10"/>
      <c r="BQ35" s="10"/>
      <c r="BR35" s="10"/>
      <c r="BS35" s="13"/>
      <c r="BT35" s="34"/>
      <c r="BU35" s="34"/>
      <c r="BV35" s="14"/>
      <c r="BW35" s="10"/>
      <c r="BX35" s="10"/>
      <c r="BY35" s="10"/>
      <c r="BZ35" s="10"/>
      <c r="CA35" s="10"/>
      <c r="CB35" s="10"/>
      <c r="CC35" s="13"/>
      <c r="CD35" s="34"/>
      <c r="CE35" s="34"/>
      <c r="CF35" s="34"/>
      <c r="CG35" s="34"/>
      <c r="CH35" s="34"/>
      <c r="CI35" s="34"/>
      <c r="CJ35" s="13">
        <f>'AX2'!KU32/1000/1000/1000</f>
        <v>22.843</v>
      </c>
      <c r="CK35" s="34"/>
      <c r="CL35" s="14"/>
      <c r="CM35" s="116"/>
      <c r="CN35" s="10"/>
      <c r="CO35" s="10"/>
      <c r="CP35" s="10"/>
      <c r="CQ35" s="13"/>
      <c r="CR35" s="34"/>
      <c r="CS35" s="125"/>
      <c r="CT35" s="14"/>
      <c r="CU35" s="10"/>
      <c r="CV35" s="10"/>
      <c r="CW35" s="10"/>
      <c r="CX35" s="10"/>
      <c r="CY35" s="10"/>
      <c r="CZ35" s="13"/>
      <c r="DA35" s="34"/>
      <c r="DB35" s="34"/>
      <c r="DC35" s="34"/>
      <c r="DD35" s="14"/>
      <c r="DE35" s="13"/>
      <c r="DF35" s="14"/>
      <c r="DG35" s="116"/>
      <c r="DH35" s="10"/>
      <c r="DI35" s="10"/>
      <c r="DJ35" s="10"/>
      <c r="DK35" s="13"/>
      <c r="DL35" s="34"/>
      <c r="DM35" s="34"/>
      <c r="DN35" s="14"/>
      <c r="DO35" s="10"/>
      <c r="DP35" s="10"/>
      <c r="DQ35" s="10"/>
      <c r="DR35" s="10"/>
      <c r="DS35" s="10"/>
      <c r="DT35" s="13"/>
      <c r="DU35" s="34"/>
      <c r="DV35" s="34"/>
      <c r="DW35" s="34"/>
      <c r="DX35" s="14"/>
      <c r="DY35" s="13"/>
      <c r="DZ35" s="14"/>
      <c r="EA35" s="116"/>
      <c r="EB35" s="10"/>
      <c r="EC35" s="10"/>
      <c r="ED35" s="10"/>
      <c r="EE35" s="13"/>
      <c r="EF35" s="34"/>
      <c r="EG35" s="34"/>
      <c r="EH35" s="14"/>
      <c r="EI35" s="10"/>
      <c r="EJ35" s="10"/>
      <c r="EK35" s="10"/>
      <c r="EL35" s="10"/>
      <c r="EM35" s="10"/>
      <c r="EN35" s="13"/>
      <c r="EO35" s="34"/>
      <c r="EP35" s="34"/>
      <c r="EQ35" s="34"/>
      <c r="ER35" s="14"/>
      <c r="ES35" s="13"/>
      <c r="ET35" s="14"/>
      <c r="EU35" s="116"/>
      <c r="EV35" s="10">
        <f>'AX2'!SF32/1000/1000/1000</f>
        <v>320.54500000000002</v>
      </c>
      <c r="EW35" s="10">
        <f>'AX2'!SC32/1000/1000/1000</f>
        <v>350.012</v>
      </c>
      <c r="EX35" s="10">
        <f t="shared" si="3"/>
        <v>29.466999999999985</v>
      </c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Q35" s="12"/>
      <c r="FR35" s="259">
        <v>7.7949999999999999</v>
      </c>
      <c r="FS35" s="69">
        <v>34.200000000000003</v>
      </c>
      <c r="FT35" s="780">
        <f t="shared" si="30"/>
        <v>4.2682926829268553E-2</v>
      </c>
      <c r="FU35" s="780">
        <f t="shared" si="27"/>
        <v>0.32947976878612723</v>
      </c>
      <c r="FV35" s="780">
        <f t="shared" si="31"/>
        <v>1.5688073394495414</v>
      </c>
      <c r="FW35" s="781">
        <f t="shared" si="32"/>
        <v>1.0426829268292686</v>
      </c>
      <c r="FX35" s="9">
        <v>21.3</v>
      </c>
      <c r="FY35" s="161">
        <f t="shared" si="22"/>
        <v>7.4449493184201326E-2</v>
      </c>
      <c r="FZ35" s="161">
        <f t="shared" si="23"/>
        <v>0.22596074247134784</v>
      </c>
      <c r="GA35" s="625">
        <f t="shared" si="35"/>
        <v>0.63046448087431695</v>
      </c>
      <c r="GB35" s="637">
        <v>1.1325301204819278</v>
      </c>
      <c r="GC35" s="475">
        <f t="shared" si="24"/>
        <v>0.25739320920043818</v>
      </c>
      <c r="GD35" s="806">
        <f t="shared" si="25"/>
        <v>0.78121096827501402</v>
      </c>
      <c r="GE35" s="806">
        <f t="shared" si="33"/>
        <v>0.72190516451772013</v>
      </c>
      <c r="GF35" s="814">
        <v>2391</v>
      </c>
      <c r="GG35" s="820">
        <f t="shared" si="28"/>
        <v>69.912280701754383</v>
      </c>
      <c r="GH35" s="806">
        <f t="shared" si="36"/>
        <v>1.230814920408648</v>
      </c>
      <c r="GI35" s="806"/>
      <c r="GJ35" s="806">
        <v>0.04</v>
      </c>
      <c r="GK35" s="806">
        <v>7.0000000000000007E-2</v>
      </c>
      <c r="GL35" s="806">
        <f t="shared" si="37"/>
        <v>4.2682926829268553E-2</v>
      </c>
      <c r="GM35" s="806">
        <f t="shared" si="34"/>
        <v>2.6198830409356555E-2</v>
      </c>
      <c r="GN35" s="806">
        <f t="shared" si="38"/>
        <v>1.2401689926516941</v>
      </c>
      <c r="GO35" s="12"/>
      <c r="GP35" s="716"/>
      <c r="GQ35" s="825"/>
    </row>
    <row r="36" spans="2:200" s="9" customFormat="1" ht="12.75">
      <c r="B36" s="15">
        <v>1987</v>
      </c>
      <c r="C36" s="34">
        <f>'AX2'!VC33/1000/1000/1000</f>
        <v>795.76199999999994</v>
      </c>
      <c r="D36" s="34">
        <f>'AX2'!VD33/1000/1000/1000</f>
        <v>419.702</v>
      </c>
      <c r="E36" s="34">
        <f t="shared" si="4"/>
        <v>376.05999999999995</v>
      </c>
      <c r="F36" s="54">
        <v>52.117412682346398</v>
      </c>
      <c r="G36" s="631">
        <f t="shared" si="5"/>
        <v>0.13858802500225073</v>
      </c>
      <c r="H36" s="14">
        <f t="shared" si="6"/>
        <v>323.94258731765353</v>
      </c>
      <c r="I36" s="13">
        <f>'AX2'!SY33/1000/1000/1000</f>
        <v>184.56899999999999</v>
      </c>
      <c r="J36" s="54">
        <f t="shared" si="7"/>
        <v>7.1349340000000003</v>
      </c>
      <c r="K36" s="34">
        <f t="shared" si="8"/>
        <v>184.35606599999997</v>
      </c>
      <c r="L36" s="14">
        <f t="shared" si="9"/>
        <v>132.23865331765356</v>
      </c>
      <c r="M36" s="13">
        <f t="shared" si="10"/>
        <v>376.05999999999995</v>
      </c>
      <c r="N36" s="34">
        <f t="shared" si="11"/>
        <v>323.94258731765353</v>
      </c>
      <c r="O36" s="34">
        <f t="shared" si="12"/>
        <v>184.35606599999997</v>
      </c>
      <c r="P36" s="34">
        <f t="shared" si="13"/>
        <v>132.23865331765359</v>
      </c>
      <c r="Q36" s="34">
        <f t="shared" si="29"/>
        <v>184.56899999999999</v>
      </c>
      <c r="R36" s="34">
        <f t="shared" si="26"/>
        <v>7.1349340000000003</v>
      </c>
      <c r="S36" s="14">
        <f>('AX2'!TS33-'AX2'!TT33)/1000/1000/1000</f>
        <v>0</v>
      </c>
      <c r="T36" s="13">
        <f>('AX2'!UA33)/1000/1000/1000</f>
        <v>0</v>
      </c>
      <c r="U36" s="34">
        <f>'AX2'!UB33/1000/1000/1000</f>
        <v>0</v>
      </c>
      <c r="V36" s="34">
        <f t="shared" si="14"/>
        <v>376.05999999999995</v>
      </c>
      <c r="W36" s="34">
        <f t="shared" si="15"/>
        <v>323.94258731765353</v>
      </c>
      <c r="X36" s="13">
        <f>'AX2'!VG33/1000/1000/1000</f>
        <v>249.69200000000001</v>
      </c>
      <c r="Y36" s="34">
        <f t="shared" si="16"/>
        <v>25.672000000000001</v>
      </c>
      <c r="Z36" s="125">
        <f t="shared" si="17"/>
        <v>224.02</v>
      </c>
      <c r="AA36" s="34">
        <f t="shared" si="18"/>
        <v>126.36799999999994</v>
      </c>
      <c r="AB36" s="34">
        <f t="shared" si="19"/>
        <v>74.250587317653526</v>
      </c>
      <c r="AC36" s="34"/>
      <c r="AD36" s="34"/>
      <c r="AE36" s="14"/>
      <c r="AF36" s="10">
        <f>'AX2'!UE33</f>
        <v>0</v>
      </c>
      <c r="AG36" s="10">
        <f t="shared" si="20"/>
        <v>102.908</v>
      </c>
      <c r="AH36" s="10">
        <v>93.162000000000006</v>
      </c>
      <c r="AI36" s="790">
        <v>81.959000000000003</v>
      </c>
      <c r="AJ36" s="790">
        <v>11.202999999999999</v>
      </c>
      <c r="AK36" s="10">
        <f>'AX2'!VI33/1000/1000/1000</f>
        <v>9.7460000000000004</v>
      </c>
      <c r="AL36" s="10">
        <f>'AX2'!VA33/1000/1000/1000</f>
        <v>0</v>
      </c>
      <c r="AM36" s="10">
        <f>'AX2'!VL33/1000/1000/1000</f>
        <v>0</v>
      </c>
      <c r="AN36" s="10">
        <f t="shared" si="21"/>
        <v>23.459999999999937</v>
      </c>
      <c r="AO36" s="94"/>
      <c r="AP36" s="11"/>
      <c r="AQ36" s="11"/>
      <c r="AR36" s="11"/>
      <c r="AS36" s="149"/>
      <c r="AT36" s="153"/>
      <c r="AU36" s="102"/>
      <c r="AV36" s="102"/>
      <c r="AW36" s="102"/>
      <c r="AX36" s="103"/>
      <c r="AY36" s="11"/>
      <c r="AZ36" s="10"/>
      <c r="BA36" s="11"/>
      <c r="BB36" s="11"/>
      <c r="BC36" s="10"/>
      <c r="BD36" s="10"/>
      <c r="BE36" s="13"/>
      <c r="BF36" s="34"/>
      <c r="BG36" s="10"/>
      <c r="BH36" s="34"/>
      <c r="BI36" s="34"/>
      <c r="BJ36" s="102"/>
      <c r="BK36" s="103"/>
      <c r="BL36" s="10">
        <f>'AX2'!IF33/1000/1000/1000</f>
        <v>210.316</v>
      </c>
      <c r="BM36" s="11"/>
      <c r="BN36" s="11"/>
      <c r="BO36" s="12"/>
      <c r="BP36" s="10"/>
      <c r="BQ36" s="10"/>
      <c r="BR36" s="10"/>
      <c r="BS36" s="13"/>
      <c r="BT36" s="34"/>
      <c r="BU36" s="34"/>
      <c r="BV36" s="14"/>
      <c r="BW36" s="10"/>
      <c r="BX36" s="10"/>
      <c r="BY36" s="10"/>
      <c r="BZ36" s="10"/>
      <c r="CA36" s="10"/>
      <c r="CB36" s="10"/>
      <c r="CC36" s="13"/>
      <c r="CD36" s="34"/>
      <c r="CE36" s="34"/>
      <c r="CF36" s="34"/>
      <c r="CG36" s="34"/>
      <c r="CH36" s="34"/>
      <c r="CI36" s="34"/>
      <c r="CJ36" s="13">
        <f>'AX2'!KU33/1000/1000/1000</f>
        <v>25.672000000000001</v>
      </c>
      <c r="CK36" s="34"/>
      <c r="CL36" s="14"/>
      <c r="CM36" s="116"/>
      <c r="CN36" s="10"/>
      <c r="CO36" s="10"/>
      <c r="CP36" s="10"/>
      <c r="CQ36" s="13"/>
      <c r="CR36" s="34"/>
      <c r="CS36" s="125"/>
      <c r="CT36" s="14"/>
      <c r="CU36" s="10"/>
      <c r="CV36" s="10"/>
      <c r="CW36" s="10"/>
      <c r="CX36" s="10"/>
      <c r="CY36" s="10"/>
      <c r="CZ36" s="13"/>
      <c r="DA36" s="34"/>
      <c r="DB36" s="34"/>
      <c r="DC36" s="34"/>
      <c r="DD36" s="14"/>
      <c r="DE36" s="13"/>
      <c r="DF36" s="14"/>
      <c r="DG36" s="116"/>
      <c r="DH36" s="10"/>
      <c r="DI36" s="10"/>
      <c r="DJ36" s="10"/>
      <c r="DK36" s="13"/>
      <c r="DL36" s="34"/>
      <c r="DM36" s="34"/>
      <c r="DN36" s="14"/>
      <c r="DO36" s="10"/>
      <c r="DP36" s="10"/>
      <c r="DQ36" s="10"/>
      <c r="DR36" s="10"/>
      <c r="DS36" s="10"/>
      <c r="DT36" s="13"/>
      <c r="DU36" s="34"/>
      <c r="DV36" s="34"/>
      <c r="DW36" s="34"/>
      <c r="DX36" s="14"/>
      <c r="DY36" s="13"/>
      <c r="DZ36" s="14"/>
      <c r="EA36" s="116"/>
      <c r="EB36" s="10"/>
      <c r="EC36" s="10"/>
      <c r="ED36" s="10"/>
      <c r="EE36" s="13"/>
      <c r="EF36" s="34"/>
      <c r="EG36" s="34"/>
      <c r="EH36" s="14"/>
      <c r="EI36" s="10"/>
      <c r="EJ36" s="10"/>
      <c r="EK36" s="10"/>
      <c r="EL36" s="10"/>
      <c r="EM36" s="10"/>
      <c r="EN36" s="13"/>
      <c r="EO36" s="34"/>
      <c r="EP36" s="34"/>
      <c r="EQ36" s="34"/>
      <c r="ER36" s="14"/>
      <c r="ES36" s="13"/>
      <c r="ET36" s="14"/>
      <c r="EU36" s="116"/>
      <c r="EV36" s="10">
        <f>'AX2'!SF33/1000/1000/1000</f>
        <v>430.98200000000003</v>
      </c>
      <c r="EW36" s="10">
        <f>'AX2'!SC33/1000/1000/1000</f>
        <v>472.358</v>
      </c>
      <c r="EX36" s="10">
        <f t="shared" si="3"/>
        <v>41.375999999999976</v>
      </c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Q36" s="12"/>
      <c r="FR36" s="259">
        <v>7.76</v>
      </c>
      <c r="FS36" s="69">
        <v>36.799999999999997</v>
      </c>
      <c r="FT36" s="780">
        <f t="shared" si="30"/>
        <v>7.6023391812865215E-2</v>
      </c>
      <c r="FU36" s="780">
        <f t="shared" si="27"/>
        <v>0.35452793834296725</v>
      </c>
      <c r="FV36" s="780">
        <f t="shared" si="31"/>
        <v>1.6880733944954127</v>
      </c>
      <c r="FW36" s="781">
        <f t="shared" si="32"/>
        <v>1.0760233918128652</v>
      </c>
      <c r="FX36" s="9">
        <v>26.3</v>
      </c>
      <c r="FY36" s="161">
        <f t="shared" si="22"/>
        <v>9.1925900034952809E-2</v>
      </c>
      <c r="FZ36" s="161">
        <f t="shared" si="23"/>
        <v>0.25929098977250276</v>
      </c>
      <c r="GA36" s="625">
        <f t="shared" si="35"/>
        <v>0.7234608873841768</v>
      </c>
      <c r="GB36" s="637">
        <v>1.3204819277108433</v>
      </c>
      <c r="GC36" s="475">
        <f t="shared" si="24"/>
        <v>0.30010952902519167</v>
      </c>
      <c r="GD36" s="806">
        <f t="shared" si="25"/>
        <v>0.84650459545692647</v>
      </c>
      <c r="GE36" s="806">
        <f t="shared" si="33"/>
        <v>0.78224201152435824</v>
      </c>
      <c r="GF36" s="814">
        <v>2302</v>
      </c>
      <c r="GG36" s="820">
        <f t="shared" si="28"/>
        <v>62.554347826086961</v>
      </c>
      <c r="GH36" s="806">
        <f t="shared" si="36"/>
        <v>1.1012775419132914</v>
      </c>
      <c r="GI36" s="806"/>
      <c r="GJ36" s="806">
        <v>3.73E-2</v>
      </c>
      <c r="GK36" s="806">
        <v>5.6799999999999996E-2</v>
      </c>
      <c r="GL36" s="806">
        <f t="shared" si="37"/>
        <v>7.6023391812865215E-2</v>
      </c>
      <c r="GM36" s="806">
        <f t="shared" si="34"/>
        <v>-1.7865217391304089E-2</v>
      </c>
      <c r="GN36" s="806">
        <f t="shared" si="38"/>
        <v>1.2180131039960169</v>
      </c>
      <c r="GO36" s="12"/>
      <c r="GP36" s="716"/>
      <c r="GQ36" s="825"/>
    </row>
    <row r="37" spans="2:200" s="9" customFormat="1" ht="12.75">
      <c r="B37" s="15">
        <v>1988</v>
      </c>
      <c r="C37" s="34">
        <f>'AX2'!VC34/1000/1000/1000</f>
        <v>946.95500000000004</v>
      </c>
      <c r="D37" s="34">
        <f>'AX2'!VD34/1000/1000/1000</f>
        <v>498.108</v>
      </c>
      <c r="E37" s="34">
        <f t="shared" si="4"/>
        <v>448.84700000000004</v>
      </c>
      <c r="F37" s="54">
        <v>61.272358824169899</v>
      </c>
      <c r="G37" s="631">
        <f t="shared" si="5"/>
        <v>0.13651056779742293</v>
      </c>
      <c r="H37" s="14">
        <f t="shared" si="6"/>
        <v>387.57464117583015</v>
      </c>
      <c r="I37" s="13">
        <f>'AX2'!SY34/1000/1000/1000</f>
        <v>216.828</v>
      </c>
      <c r="J37" s="54">
        <f t="shared" si="7"/>
        <v>8.4678360000000001</v>
      </c>
      <c r="K37" s="34">
        <f t="shared" si="8"/>
        <v>223.55116400000003</v>
      </c>
      <c r="L37" s="14">
        <f t="shared" si="9"/>
        <v>162.27880517583014</v>
      </c>
      <c r="M37" s="13">
        <f t="shared" si="10"/>
        <v>448.84700000000004</v>
      </c>
      <c r="N37" s="34">
        <f t="shared" si="11"/>
        <v>387.57464117583015</v>
      </c>
      <c r="O37" s="34">
        <f t="shared" si="12"/>
        <v>223.55116400000003</v>
      </c>
      <c r="P37" s="34">
        <f t="shared" si="13"/>
        <v>162.27880517583014</v>
      </c>
      <c r="Q37" s="34">
        <f t="shared" si="29"/>
        <v>216.828</v>
      </c>
      <c r="R37" s="34">
        <f t="shared" si="26"/>
        <v>8.4678360000000001</v>
      </c>
      <c r="S37" s="14">
        <f>('AX2'!TS34-'AX2'!TT34)/1000/1000/1000</f>
        <v>0</v>
      </c>
      <c r="T37" s="13">
        <f>('AX2'!UA34)/1000/1000/1000</f>
        <v>0</v>
      </c>
      <c r="U37" s="34">
        <f>'AX2'!UB34/1000/1000/1000</f>
        <v>0</v>
      </c>
      <c r="V37" s="34">
        <f t="shared" si="14"/>
        <v>448.84700000000004</v>
      </c>
      <c r="W37" s="34">
        <f t="shared" si="15"/>
        <v>387.57464117583015</v>
      </c>
      <c r="X37" s="13">
        <f>'AX2'!VG34/1000/1000/1000</f>
        <v>291.697</v>
      </c>
      <c r="Y37" s="34">
        <f t="shared" si="16"/>
        <v>29.943000000000001</v>
      </c>
      <c r="Z37" s="125">
        <f t="shared" si="17"/>
        <v>261.75400000000002</v>
      </c>
      <c r="AA37" s="34">
        <f t="shared" si="18"/>
        <v>157.15000000000003</v>
      </c>
      <c r="AB37" s="34">
        <f t="shared" si="19"/>
        <v>95.877641175830149</v>
      </c>
      <c r="AC37" s="34"/>
      <c r="AD37" s="34"/>
      <c r="AE37" s="14"/>
      <c r="AF37" s="10">
        <f>'AX2'!UE34</f>
        <v>0</v>
      </c>
      <c r="AG37" s="10">
        <f t="shared" si="20"/>
        <v>132.142</v>
      </c>
      <c r="AH37" s="10">
        <v>118.01</v>
      </c>
      <c r="AI37" s="790">
        <v>104.274</v>
      </c>
      <c r="AJ37" s="790">
        <v>13.736000000000001</v>
      </c>
      <c r="AK37" s="10">
        <f>'AX2'!VI34/1000/1000/1000</f>
        <v>14.132</v>
      </c>
      <c r="AL37" s="10">
        <f>'AX2'!VA34/1000/1000/1000</f>
        <v>0</v>
      </c>
      <c r="AM37" s="10">
        <f>'AX2'!VL34/1000/1000/1000</f>
        <v>0</v>
      </c>
      <c r="AN37" s="10">
        <f t="shared" si="21"/>
        <v>25.008000000000038</v>
      </c>
      <c r="AO37" s="94"/>
      <c r="AP37" s="11"/>
      <c r="AQ37" s="11"/>
      <c r="AR37" s="11"/>
      <c r="AS37" s="149"/>
      <c r="AT37" s="153"/>
      <c r="AU37" s="102"/>
      <c r="AV37" s="102"/>
      <c r="AW37" s="102"/>
      <c r="AX37" s="103"/>
      <c r="AY37" s="11"/>
      <c r="AZ37" s="10"/>
      <c r="BA37" s="11"/>
      <c r="BB37" s="11"/>
      <c r="BC37" s="10"/>
      <c r="BD37" s="10"/>
      <c r="BE37" s="13"/>
      <c r="BF37" s="34"/>
      <c r="BG37" s="10"/>
      <c r="BH37" s="34"/>
      <c r="BI37" s="34"/>
      <c r="BJ37" s="102"/>
      <c r="BK37" s="103"/>
      <c r="BL37" s="10">
        <f>'AX2'!IF34/1000/1000/1000</f>
        <v>245.48099999999999</v>
      </c>
      <c r="BM37" s="11"/>
      <c r="BN37" s="11"/>
      <c r="BO37" s="12"/>
      <c r="BP37" s="10"/>
      <c r="BQ37" s="10"/>
      <c r="BR37" s="10"/>
      <c r="BS37" s="13"/>
      <c r="BT37" s="34"/>
      <c r="BU37" s="34"/>
      <c r="BV37" s="14"/>
      <c r="BW37" s="10"/>
      <c r="BX37" s="10"/>
      <c r="BY37" s="10"/>
      <c r="BZ37" s="10"/>
      <c r="CA37" s="10"/>
      <c r="CB37" s="10"/>
      <c r="CC37" s="13"/>
      <c r="CD37" s="34"/>
      <c r="CE37" s="34"/>
      <c r="CF37" s="34"/>
      <c r="CG37" s="34"/>
      <c r="CH37" s="34"/>
      <c r="CI37" s="34"/>
      <c r="CJ37" s="13">
        <f>'AX2'!KU34/1000/1000/1000</f>
        <v>29.943000000000001</v>
      </c>
      <c r="CK37" s="34"/>
      <c r="CL37" s="14"/>
      <c r="CM37" s="116"/>
      <c r="CN37" s="10"/>
      <c r="CO37" s="10"/>
      <c r="CP37" s="10"/>
      <c r="CQ37" s="13"/>
      <c r="CR37" s="34"/>
      <c r="CS37" s="125"/>
      <c r="CT37" s="14"/>
      <c r="CU37" s="10"/>
      <c r="CV37" s="10"/>
      <c r="CW37" s="10"/>
      <c r="CX37" s="10"/>
      <c r="CY37" s="10"/>
      <c r="CZ37" s="13"/>
      <c r="DA37" s="34"/>
      <c r="DB37" s="34"/>
      <c r="DC37" s="34"/>
      <c r="DD37" s="14"/>
      <c r="DE37" s="13"/>
      <c r="DF37" s="14"/>
      <c r="DG37" s="116"/>
      <c r="DH37" s="10"/>
      <c r="DI37" s="10"/>
      <c r="DJ37" s="10"/>
      <c r="DK37" s="13"/>
      <c r="DL37" s="34"/>
      <c r="DM37" s="34"/>
      <c r="DN37" s="14"/>
      <c r="DO37" s="10"/>
      <c r="DP37" s="10"/>
      <c r="DQ37" s="10"/>
      <c r="DR37" s="10"/>
      <c r="DS37" s="10"/>
      <c r="DT37" s="13"/>
      <c r="DU37" s="34"/>
      <c r="DV37" s="34"/>
      <c r="DW37" s="34"/>
      <c r="DX37" s="14"/>
      <c r="DY37" s="13"/>
      <c r="DZ37" s="14"/>
      <c r="EA37" s="116"/>
      <c r="EB37" s="10"/>
      <c r="EC37" s="10"/>
      <c r="ED37" s="10"/>
      <c r="EE37" s="13"/>
      <c r="EF37" s="34"/>
      <c r="EG37" s="34"/>
      <c r="EH37" s="14"/>
      <c r="EI37" s="10"/>
      <c r="EJ37" s="10"/>
      <c r="EK37" s="10"/>
      <c r="EL37" s="10"/>
      <c r="EM37" s="10"/>
      <c r="EN37" s="13"/>
      <c r="EO37" s="34"/>
      <c r="EP37" s="34"/>
      <c r="EQ37" s="34"/>
      <c r="ER37" s="14"/>
      <c r="ES37" s="13"/>
      <c r="ET37" s="14"/>
      <c r="EU37" s="116"/>
      <c r="EV37" s="10">
        <f>'AX2'!SF34/1000/1000/1000</f>
        <v>562.39599999999996</v>
      </c>
      <c r="EW37" s="10">
        <f>'AX2'!SC34/1000/1000/1000</f>
        <v>604.37400000000002</v>
      </c>
      <c r="EX37" s="10">
        <f t="shared" si="3"/>
        <v>41.978000000000065</v>
      </c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Q37" s="12"/>
      <c r="FR37" s="259">
        <v>7.8079999999999998</v>
      </c>
      <c r="FS37" s="69">
        <v>39.799999999999997</v>
      </c>
      <c r="FT37" s="780">
        <f t="shared" si="30"/>
        <v>8.1521739130434812E-2</v>
      </c>
      <c r="FU37" s="780">
        <f t="shared" si="27"/>
        <v>0.38342967244701348</v>
      </c>
      <c r="FV37" s="780">
        <f t="shared" si="31"/>
        <v>1.8256880733944951</v>
      </c>
      <c r="FW37" s="781">
        <f t="shared" si="32"/>
        <v>1.0815217391304346</v>
      </c>
      <c r="FX37" s="9">
        <v>31.9</v>
      </c>
      <c r="FY37" s="161">
        <f t="shared" si="22"/>
        <v>0.11149947570779446</v>
      </c>
      <c r="FZ37" s="161">
        <f t="shared" si="23"/>
        <v>0.29079511503691119</v>
      </c>
      <c r="GA37" s="625">
        <f t="shared" si="35"/>
        <v>0.81136213856166084</v>
      </c>
      <c r="GB37" s="637">
        <v>1.6722891566265061</v>
      </c>
      <c r="GC37" s="475">
        <f t="shared" si="24"/>
        <v>0.38006571741511508</v>
      </c>
      <c r="GD37" s="806">
        <f t="shared" si="25"/>
        <v>0.99122667004243581</v>
      </c>
      <c r="GE37" s="806">
        <f t="shared" si="33"/>
        <v>0.915977477750197</v>
      </c>
      <c r="GF37" s="814">
        <v>2657</v>
      </c>
      <c r="GG37" s="820">
        <f t="shared" si="28"/>
        <v>66.758793969849251</v>
      </c>
      <c r="GH37" s="806">
        <f t="shared" si="36"/>
        <v>1.1752973706737537</v>
      </c>
      <c r="GI37" s="806"/>
      <c r="GJ37" s="806">
        <v>2.75E-2</v>
      </c>
      <c r="GK37" s="806">
        <v>5.33E-2</v>
      </c>
      <c r="GL37" s="806">
        <f t="shared" si="37"/>
        <v>8.1521739130434812E-2</v>
      </c>
      <c r="GM37" s="806">
        <f t="shared" si="34"/>
        <v>-2.6094472361808951E-2</v>
      </c>
      <c r="GN37" s="806">
        <f t="shared" si="38"/>
        <v>1.1862296947174717</v>
      </c>
      <c r="GO37" s="12"/>
      <c r="GP37" s="716"/>
      <c r="GQ37" s="825"/>
    </row>
    <row r="38" spans="2:200" s="9" customFormat="1" ht="12.75">
      <c r="B38" s="15">
        <v>1989</v>
      </c>
      <c r="C38" s="34">
        <f>'AX2'!VC35/1000/1000/1000</f>
        <v>1062.1880000000001</v>
      </c>
      <c r="D38" s="34">
        <f>'AX2'!VD35/1000/1000/1000</f>
        <v>550.77300000000002</v>
      </c>
      <c r="E38" s="34">
        <f t="shared" si="4"/>
        <v>511.41500000000008</v>
      </c>
      <c r="F38" s="54">
        <v>73.785656023796889</v>
      </c>
      <c r="G38" s="631">
        <f t="shared" si="5"/>
        <v>0.14427745768856387</v>
      </c>
      <c r="H38" s="14">
        <f t="shared" si="6"/>
        <v>437.62934397620319</v>
      </c>
      <c r="I38" s="13">
        <f>'AX2'!SY35/1000/1000/1000</f>
        <v>252.49799999999999</v>
      </c>
      <c r="J38" s="54">
        <f t="shared" si="7"/>
        <v>9.3631410000000006</v>
      </c>
      <c r="K38" s="34">
        <f t="shared" si="8"/>
        <v>249.55385900000007</v>
      </c>
      <c r="L38" s="14">
        <f t="shared" si="9"/>
        <v>175.76820297620318</v>
      </c>
      <c r="M38" s="13">
        <f t="shared" si="10"/>
        <v>511.41500000000002</v>
      </c>
      <c r="N38" s="34">
        <f t="shared" si="11"/>
        <v>437.62934397620313</v>
      </c>
      <c r="O38" s="34">
        <f t="shared" si="12"/>
        <v>249.55385900000007</v>
      </c>
      <c r="P38" s="34">
        <f t="shared" si="13"/>
        <v>175.76820297620318</v>
      </c>
      <c r="Q38" s="34">
        <f t="shared" si="29"/>
        <v>252.49799999999999</v>
      </c>
      <c r="R38" s="34">
        <f t="shared" si="26"/>
        <v>9.3631410000000006</v>
      </c>
      <c r="S38" s="14">
        <f>('AX2'!TS35-'AX2'!TT35)/1000/1000/1000</f>
        <v>0</v>
      </c>
      <c r="T38" s="13">
        <f>('AX2'!UA35)/1000/1000/1000</f>
        <v>0</v>
      </c>
      <c r="U38" s="34">
        <f>'AX2'!UB35/1000/1000/1000</f>
        <v>0</v>
      </c>
      <c r="V38" s="34">
        <f t="shared" si="14"/>
        <v>511.41500000000002</v>
      </c>
      <c r="W38" s="34">
        <f t="shared" si="15"/>
        <v>437.62934397620313</v>
      </c>
      <c r="X38" s="13">
        <f>'AX2'!VG35/1000/1000/1000</f>
        <v>332.77100000000002</v>
      </c>
      <c r="Y38" s="34">
        <f t="shared" si="16"/>
        <v>36.167999999999999</v>
      </c>
      <c r="Z38" s="125">
        <f t="shared" si="17"/>
        <v>296.60300000000001</v>
      </c>
      <c r="AA38" s="34">
        <f t="shared" si="18"/>
        <v>178.64400000000001</v>
      </c>
      <c r="AB38" s="34">
        <f t="shared" si="19"/>
        <v>104.85834397620312</v>
      </c>
      <c r="AC38" s="34"/>
      <c r="AD38" s="34"/>
      <c r="AE38" s="14"/>
      <c r="AF38" s="10">
        <f>'AX2'!UE35</f>
        <v>0</v>
      </c>
      <c r="AG38" s="10">
        <f t="shared" si="20"/>
        <v>142.31399999999999</v>
      </c>
      <c r="AH38" s="10">
        <v>138.851</v>
      </c>
      <c r="AI38" s="790">
        <v>120.85899999999999</v>
      </c>
      <c r="AJ38" s="790">
        <v>17.992000000000001</v>
      </c>
      <c r="AK38" s="10">
        <f>'AX2'!VI35/1000/1000/1000</f>
        <v>3.4630000000000001</v>
      </c>
      <c r="AL38" s="10">
        <f>'AX2'!VA35/1000/1000/1000</f>
        <v>0</v>
      </c>
      <c r="AM38" s="10">
        <f>'AX2'!VL35/1000/1000/1000</f>
        <v>0</v>
      </c>
      <c r="AN38" s="10">
        <f t="shared" si="21"/>
        <v>36.330000000000013</v>
      </c>
      <c r="AO38" s="94"/>
      <c r="AP38" s="11"/>
      <c r="AQ38" s="11"/>
      <c r="AR38" s="11"/>
      <c r="AS38" s="149"/>
      <c r="AT38" s="153"/>
      <c r="AU38" s="102"/>
      <c r="AV38" s="102"/>
      <c r="AW38" s="102"/>
      <c r="AX38" s="103"/>
      <c r="AY38" s="11"/>
      <c r="AZ38" s="10"/>
      <c r="BA38" s="11"/>
      <c r="BB38" s="11"/>
      <c r="BC38" s="10"/>
      <c r="BD38" s="10"/>
      <c r="BE38" s="13"/>
      <c r="BF38" s="34"/>
      <c r="BG38" s="10"/>
      <c r="BH38" s="34"/>
      <c r="BI38" s="34"/>
      <c r="BJ38" s="102"/>
      <c r="BK38" s="103"/>
      <c r="BL38" s="10">
        <f>'AX2'!IF35/1000/1000/1000</f>
        <v>276.66199999999998</v>
      </c>
      <c r="BM38" s="11"/>
      <c r="BN38" s="11"/>
      <c r="BO38" s="12"/>
      <c r="BP38" s="10"/>
      <c r="BQ38" s="10"/>
      <c r="BR38" s="10"/>
      <c r="BS38" s="13"/>
      <c r="BT38" s="34"/>
      <c r="BU38" s="34"/>
      <c r="BV38" s="14"/>
      <c r="BW38" s="10"/>
      <c r="BX38" s="10"/>
      <c r="BY38" s="10"/>
      <c r="BZ38" s="10"/>
      <c r="CA38" s="10"/>
      <c r="CB38" s="10"/>
      <c r="CC38" s="13"/>
      <c r="CD38" s="34"/>
      <c r="CE38" s="34"/>
      <c r="CF38" s="34"/>
      <c r="CG38" s="34"/>
      <c r="CH38" s="34"/>
      <c r="CI38" s="34"/>
      <c r="CJ38" s="13">
        <f>'AX2'!KU35/1000/1000/1000</f>
        <v>36.167999999999999</v>
      </c>
      <c r="CK38" s="34"/>
      <c r="CL38" s="14"/>
      <c r="CM38" s="116"/>
      <c r="CN38" s="10"/>
      <c r="CO38" s="10"/>
      <c r="CP38" s="10"/>
      <c r="CQ38" s="13"/>
      <c r="CR38" s="34"/>
      <c r="CS38" s="125"/>
      <c r="CT38" s="14"/>
      <c r="CU38" s="10"/>
      <c r="CV38" s="10"/>
      <c r="CW38" s="10"/>
      <c r="CX38" s="10"/>
      <c r="CY38" s="10"/>
      <c r="CZ38" s="13"/>
      <c r="DA38" s="34"/>
      <c r="DB38" s="34"/>
      <c r="DC38" s="34"/>
      <c r="DD38" s="14"/>
      <c r="DE38" s="13"/>
      <c r="DF38" s="14"/>
      <c r="DG38" s="116"/>
      <c r="DH38" s="10"/>
      <c r="DI38" s="10"/>
      <c r="DJ38" s="10"/>
      <c r="DK38" s="13"/>
      <c r="DL38" s="34"/>
      <c r="DM38" s="34"/>
      <c r="DN38" s="14"/>
      <c r="DO38" s="10"/>
      <c r="DP38" s="10"/>
      <c r="DQ38" s="10"/>
      <c r="DR38" s="10"/>
      <c r="DS38" s="10"/>
      <c r="DT38" s="13"/>
      <c r="DU38" s="34"/>
      <c r="DV38" s="34"/>
      <c r="DW38" s="34"/>
      <c r="DX38" s="14"/>
      <c r="DY38" s="13"/>
      <c r="DZ38" s="14"/>
      <c r="EA38" s="116"/>
      <c r="EB38" s="10"/>
      <c r="EC38" s="10"/>
      <c r="ED38" s="10"/>
      <c r="EE38" s="13"/>
      <c r="EF38" s="34"/>
      <c r="EG38" s="34"/>
      <c r="EH38" s="14"/>
      <c r="EI38" s="10"/>
      <c r="EJ38" s="10"/>
      <c r="EK38" s="10"/>
      <c r="EL38" s="10"/>
      <c r="EM38" s="10"/>
      <c r="EN38" s="13"/>
      <c r="EO38" s="34"/>
      <c r="EP38" s="34"/>
      <c r="EQ38" s="34"/>
      <c r="ER38" s="14"/>
      <c r="ES38" s="13"/>
      <c r="ET38" s="14"/>
      <c r="EU38" s="116"/>
      <c r="EV38" s="10">
        <f>'AX2'!SF35/1000/1000/1000</f>
        <v>635.78599999999994</v>
      </c>
      <c r="EW38" s="10">
        <f>'AX2'!SC35/1000/1000/1000</f>
        <v>697.71799999999996</v>
      </c>
      <c r="EX38" s="10">
        <f t="shared" si="3"/>
        <v>61.932000000000016</v>
      </c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Q38" s="12"/>
      <c r="FR38" s="259">
        <v>7.8070000000000004</v>
      </c>
      <c r="FS38" s="69">
        <v>43.8</v>
      </c>
      <c r="FT38" s="780">
        <f t="shared" si="30"/>
        <v>0.10050251256281406</v>
      </c>
      <c r="FU38" s="780">
        <f t="shared" si="27"/>
        <v>0.42196531791907516</v>
      </c>
      <c r="FV38" s="780">
        <f t="shared" si="31"/>
        <v>2.0091743119266052</v>
      </c>
      <c r="FW38" s="781">
        <f t="shared" si="32"/>
        <v>1.1005025125628141</v>
      </c>
      <c r="FX38" s="9">
        <v>40.200000000000003</v>
      </c>
      <c r="FY38" s="161">
        <f t="shared" si="22"/>
        <v>0.14051031108004194</v>
      </c>
      <c r="FZ38" s="161">
        <f t="shared" si="23"/>
        <v>0.33299018927188023</v>
      </c>
      <c r="GA38" s="625">
        <f t="shared" si="35"/>
        <v>0.92909274646305884</v>
      </c>
      <c r="GB38" s="637">
        <v>1.8481927710843373</v>
      </c>
      <c r="GC38" s="475">
        <f t="shared" si="24"/>
        <v>0.4200438116100767</v>
      </c>
      <c r="GD38" s="806">
        <f t="shared" si="25"/>
        <v>0.99544629326771594</v>
      </c>
      <c r="GE38" s="806">
        <f t="shared" si="33"/>
        <v>0.919876767343346</v>
      </c>
      <c r="GF38" s="814">
        <v>2837</v>
      </c>
      <c r="GG38" s="820">
        <f t="shared" si="28"/>
        <v>64.771689497716906</v>
      </c>
      <c r="GH38" s="806">
        <f t="shared" si="36"/>
        <v>1.1403141344216732</v>
      </c>
      <c r="GI38" s="806">
        <v>0.09</v>
      </c>
      <c r="GJ38" s="806">
        <v>7.4999999999999997E-2</v>
      </c>
      <c r="GK38" s="806">
        <v>0.1</v>
      </c>
      <c r="GL38" s="806">
        <f t="shared" si="37"/>
        <v>0.10050251256281406</v>
      </c>
      <c r="GM38" s="806">
        <f t="shared" si="34"/>
        <v>-4.5662100456611565E-4</v>
      </c>
      <c r="GN38" s="806">
        <f t="shared" si="38"/>
        <v>1.1856880373226237</v>
      </c>
      <c r="GO38" s="12"/>
      <c r="GP38" s="716"/>
      <c r="GQ38" s="825"/>
    </row>
    <row r="39" spans="2:200" s="9" customFormat="1" ht="12.75">
      <c r="B39" s="15">
        <v>1990</v>
      </c>
      <c r="C39" s="34">
        <f>'AX2'!VC36/1000/1000/1000</f>
        <v>1184.6590000000001</v>
      </c>
      <c r="D39" s="34">
        <f>'AX2'!VD36/1000/1000/1000</f>
        <v>609.81100000000004</v>
      </c>
      <c r="E39" s="34">
        <f t="shared" si="4"/>
        <v>574.84800000000007</v>
      </c>
      <c r="F39" s="54">
        <v>84.465255122820309</v>
      </c>
      <c r="G39" s="631">
        <f t="shared" si="5"/>
        <v>0.14693493779715733</v>
      </c>
      <c r="H39" s="14">
        <f t="shared" si="6"/>
        <v>490.38274487717979</v>
      </c>
      <c r="I39" s="13">
        <f>'AX2'!SY36/1000/1000/1000</f>
        <v>290.83800000000002</v>
      </c>
      <c r="J39" s="54">
        <f t="shared" si="7"/>
        <v>10.366787000000002</v>
      </c>
      <c r="K39" s="34">
        <f t="shared" si="8"/>
        <v>273.64321300000006</v>
      </c>
      <c r="L39" s="14">
        <f t="shared" si="9"/>
        <v>189.17795787717978</v>
      </c>
      <c r="M39" s="13">
        <f t="shared" si="10"/>
        <v>574.84800000000007</v>
      </c>
      <c r="N39" s="34">
        <f t="shared" si="11"/>
        <v>490.38274487717979</v>
      </c>
      <c r="O39" s="34">
        <f t="shared" si="12"/>
        <v>273.64321300000006</v>
      </c>
      <c r="P39" s="34">
        <f t="shared" si="13"/>
        <v>189.17795787717975</v>
      </c>
      <c r="Q39" s="34">
        <f t="shared" si="29"/>
        <v>290.83800000000002</v>
      </c>
      <c r="R39" s="34">
        <f t="shared" si="26"/>
        <v>10.366787000000002</v>
      </c>
      <c r="S39" s="14">
        <f>('AX2'!TS36-'AX2'!TT36)/1000/1000/1000</f>
        <v>0</v>
      </c>
      <c r="T39" s="13">
        <f>('AX2'!UA36)/1000/1000/1000</f>
        <v>0</v>
      </c>
      <c r="U39" s="34">
        <f>'AX2'!UB36/1000/1000/1000</f>
        <v>0</v>
      </c>
      <c r="V39" s="34">
        <f t="shared" si="14"/>
        <v>574.84800000000007</v>
      </c>
      <c r="W39" s="34">
        <f t="shared" si="15"/>
        <v>490.38274487717979</v>
      </c>
      <c r="X39" s="13">
        <f>'AX2'!VG36/1000/1000/1000</f>
        <v>385.30900000000003</v>
      </c>
      <c r="Y39" s="34">
        <f t="shared" si="16"/>
        <v>43.140999999999998</v>
      </c>
      <c r="Z39" s="125">
        <f t="shared" si="17"/>
        <v>342.16800000000001</v>
      </c>
      <c r="AA39" s="34">
        <f t="shared" si="18"/>
        <v>189.53900000000004</v>
      </c>
      <c r="AB39" s="34">
        <f t="shared" si="19"/>
        <v>105.07374487717976</v>
      </c>
      <c r="AC39" s="34"/>
      <c r="AD39" s="34"/>
      <c r="AE39" s="14"/>
      <c r="AF39" s="10">
        <f>'AX2'!UE36</f>
        <v>0</v>
      </c>
      <c r="AG39" s="10">
        <f t="shared" si="20"/>
        <v>162.821</v>
      </c>
      <c r="AH39" s="10">
        <v>157.09299999999999</v>
      </c>
      <c r="AI39" s="790">
        <v>136.78100000000001</v>
      </c>
      <c r="AJ39" s="790">
        <v>20.312000000000001</v>
      </c>
      <c r="AK39" s="10">
        <f>'AX2'!VI36/1000/1000/1000</f>
        <v>5.7279999999999998</v>
      </c>
      <c r="AL39" s="10">
        <f>'AX2'!VA36/1000/1000/1000</f>
        <v>0</v>
      </c>
      <c r="AM39" s="10">
        <f>'AX2'!VL36/1000/1000/1000</f>
        <v>0</v>
      </c>
      <c r="AN39" s="10">
        <f t="shared" si="21"/>
        <v>26.718000000000046</v>
      </c>
      <c r="AO39" s="94"/>
      <c r="AP39" s="11"/>
      <c r="AQ39" s="11"/>
      <c r="AR39" s="11"/>
      <c r="AS39" s="149"/>
      <c r="AT39" s="153"/>
      <c r="AU39" s="102"/>
      <c r="AV39" s="102"/>
      <c r="AW39" s="102"/>
      <c r="AX39" s="103"/>
      <c r="AY39" s="11"/>
      <c r="AZ39" s="10"/>
      <c r="BA39" s="11"/>
      <c r="BB39" s="11"/>
      <c r="BC39" s="10"/>
      <c r="BD39" s="10"/>
      <c r="BE39" s="13"/>
      <c r="BF39" s="34"/>
      <c r="BG39" s="10"/>
      <c r="BH39" s="34"/>
      <c r="BI39" s="34"/>
      <c r="BJ39" s="102"/>
      <c r="BK39" s="103"/>
      <c r="BL39" s="10">
        <f>'AX2'!IF36/1000/1000/1000</f>
        <v>317.851</v>
      </c>
      <c r="BM39" s="11"/>
      <c r="BN39" s="11"/>
      <c r="BO39" s="12"/>
      <c r="BP39" s="10"/>
      <c r="BQ39" s="10"/>
      <c r="BR39" s="10"/>
      <c r="BS39" s="13"/>
      <c r="BT39" s="34"/>
      <c r="BU39" s="34"/>
      <c r="BV39" s="14"/>
      <c r="BW39" s="10"/>
      <c r="BX39" s="10"/>
      <c r="BY39" s="10"/>
      <c r="BZ39" s="10"/>
      <c r="CA39" s="10"/>
      <c r="CB39" s="10"/>
      <c r="CC39" s="13"/>
      <c r="CD39" s="34"/>
      <c r="CE39" s="34"/>
      <c r="CF39" s="34"/>
      <c r="CG39" s="34"/>
      <c r="CH39" s="34"/>
      <c r="CI39" s="34"/>
      <c r="CJ39" s="13">
        <f>'AX2'!KU36/1000/1000/1000</f>
        <v>43.140999999999998</v>
      </c>
      <c r="CK39" s="34"/>
      <c r="CL39" s="14"/>
      <c r="CM39" s="116"/>
      <c r="CN39" s="10"/>
      <c r="CO39" s="10"/>
      <c r="CP39" s="10"/>
      <c r="CQ39" s="13"/>
      <c r="CR39" s="34"/>
      <c r="CS39" s="125"/>
      <c r="CT39" s="14"/>
      <c r="CU39" s="10"/>
      <c r="CV39" s="10"/>
      <c r="CW39" s="10"/>
      <c r="CX39" s="10"/>
      <c r="CY39" s="10"/>
      <c r="CZ39" s="13"/>
      <c r="DA39" s="34"/>
      <c r="DB39" s="34"/>
      <c r="DC39" s="34"/>
      <c r="DD39" s="14"/>
      <c r="DE39" s="13"/>
      <c r="DF39" s="14"/>
      <c r="DG39" s="116"/>
      <c r="DH39" s="10"/>
      <c r="DI39" s="10"/>
      <c r="DJ39" s="10"/>
      <c r="DK39" s="13"/>
      <c r="DL39" s="34"/>
      <c r="DM39" s="34"/>
      <c r="DN39" s="14"/>
      <c r="DO39" s="10"/>
      <c r="DP39" s="10"/>
      <c r="DQ39" s="10"/>
      <c r="DR39" s="10"/>
      <c r="DS39" s="10"/>
      <c r="DT39" s="13"/>
      <c r="DU39" s="34"/>
      <c r="DV39" s="34"/>
      <c r="DW39" s="34"/>
      <c r="DX39" s="14"/>
      <c r="DY39" s="13"/>
      <c r="DZ39" s="14"/>
      <c r="EA39" s="116"/>
      <c r="EB39" s="10"/>
      <c r="EC39" s="10"/>
      <c r="ED39" s="10"/>
      <c r="EE39" s="13"/>
      <c r="EF39" s="34"/>
      <c r="EG39" s="34"/>
      <c r="EH39" s="14"/>
      <c r="EI39" s="10"/>
      <c r="EJ39" s="10"/>
      <c r="EK39" s="10"/>
      <c r="EL39" s="10"/>
      <c r="EM39" s="10"/>
      <c r="EN39" s="13"/>
      <c r="EO39" s="34"/>
      <c r="EP39" s="34"/>
      <c r="EQ39" s="34"/>
      <c r="ER39" s="14"/>
      <c r="ES39" s="13"/>
      <c r="ET39" s="14"/>
      <c r="EU39" s="116"/>
      <c r="EV39" s="10">
        <f>'AX2'!SF36/1000/1000/1000</f>
        <v>730.62400000000002</v>
      </c>
      <c r="EW39" s="10">
        <f>'AX2'!SC36/1000/1000/1000</f>
        <v>782.37900000000002</v>
      </c>
      <c r="EX39" s="10">
        <f t="shared" si="3"/>
        <v>51.754999999999995</v>
      </c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Q39" s="12"/>
      <c r="FR39" s="259">
        <v>7.8010000000000002</v>
      </c>
      <c r="FS39" s="69">
        <v>48.8</v>
      </c>
      <c r="FT39" s="780">
        <f t="shared" si="30"/>
        <v>0.11415525114155245</v>
      </c>
      <c r="FU39" s="780">
        <f t="shared" si="27"/>
        <v>0.47013487475915222</v>
      </c>
      <c r="FV39" s="780">
        <f t="shared" si="31"/>
        <v>2.238532110091743</v>
      </c>
      <c r="FW39" s="781">
        <f t="shared" si="32"/>
        <v>1.1141552511415527</v>
      </c>
      <c r="FX39" s="9">
        <v>44.8</v>
      </c>
      <c r="FY39" s="161">
        <f t="shared" si="22"/>
        <v>0.15658860538273328</v>
      </c>
      <c r="FZ39" s="161">
        <f t="shared" si="23"/>
        <v>0.33307166472802696</v>
      </c>
      <c r="GA39" s="625">
        <f t="shared" si="35"/>
        <v>0.92932007524858917</v>
      </c>
      <c r="GB39" s="637">
        <v>1.985542168674699</v>
      </c>
      <c r="GC39" s="475">
        <f t="shared" si="24"/>
        <v>0.45125958378970438</v>
      </c>
      <c r="GD39" s="806">
        <f t="shared" si="25"/>
        <v>0.95985132781498594</v>
      </c>
      <c r="GE39" s="806">
        <f t="shared" si="33"/>
        <v>0.88698400158009105</v>
      </c>
      <c r="GF39" s="814">
        <v>3025</v>
      </c>
      <c r="GG39" s="820">
        <f t="shared" si="28"/>
        <v>61.98770491803279</v>
      </c>
      <c r="GH39" s="806">
        <f t="shared" si="36"/>
        <v>1.0913017187992942</v>
      </c>
      <c r="GJ39" s="806">
        <v>7.4999999999999997E-2</v>
      </c>
      <c r="GK39" s="806">
        <v>0.1</v>
      </c>
      <c r="GL39" s="806">
        <f t="shared" si="37"/>
        <v>0.11415525114155245</v>
      </c>
      <c r="GM39" s="806">
        <f t="shared" si="34"/>
        <v>-1.2704918032786949E-2</v>
      </c>
      <c r="GN39" s="806">
        <f t="shared" si="38"/>
        <v>1.1706239679959838</v>
      </c>
      <c r="GO39" s="12"/>
      <c r="GP39" s="716"/>
      <c r="GQ39" s="825"/>
    </row>
    <row r="40" spans="2:200" s="9" customFormat="1" ht="12.75">
      <c r="B40" s="15">
        <v>1991</v>
      </c>
      <c r="C40" s="34">
        <f>'AX2'!VC37/1000/1000/1000</f>
        <v>1312.61</v>
      </c>
      <c r="D40" s="34">
        <f>'AX2'!VD37/1000/1000/1000</f>
        <v>660.928</v>
      </c>
      <c r="E40" s="34">
        <f t="shared" si="4"/>
        <v>651.6819999999999</v>
      </c>
      <c r="F40" s="54">
        <v>98.124095018372998</v>
      </c>
      <c r="G40" s="631">
        <f t="shared" si="5"/>
        <v>0.15057051601605231</v>
      </c>
      <c r="H40" s="14">
        <f t="shared" si="6"/>
        <v>553.55790498162696</v>
      </c>
      <c r="I40" s="13">
        <f>'AX2'!SY37/1000/1000/1000</f>
        <v>327.16500000000002</v>
      </c>
      <c r="J40" s="54">
        <f t="shared" si="7"/>
        <v>11.235776000000001</v>
      </c>
      <c r="K40" s="34">
        <f t="shared" si="8"/>
        <v>313.2812239999999</v>
      </c>
      <c r="L40" s="14">
        <f t="shared" si="9"/>
        <v>215.15712898162695</v>
      </c>
      <c r="M40" s="13">
        <f t="shared" si="10"/>
        <v>651.6819999999999</v>
      </c>
      <c r="N40" s="34">
        <f t="shared" si="11"/>
        <v>553.55790498162696</v>
      </c>
      <c r="O40" s="34">
        <f t="shared" si="12"/>
        <v>313.2812239999999</v>
      </c>
      <c r="P40" s="34">
        <f t="shared" si="13"/>
        <v>215.1571289816269</v>
      </c>
      <c r="Q40" s="34">
        <f t="shared" si="29"/>
        <v>327.16500000000002</v>
      </c>
      <c r="R40" s="34">
        <f t="shared" si="26"/>
        <v>11.235776000000001</v>
      </c>
      <c r="S40" s="14">
        <f>('AX2'!TS37-'AX2'!TT37)/1000/1000/1000</f>
        <v>0</v>
      </c>
      <c r="T40" s="13">
        <f>('AX2'!UA37)/1000/1000/1000</f>
        <v>0</v>
      </c>
      <c r="U40" s="34">
        <f>'AX2'!UB37/1000/1000/1000</f>
        <v>0</v>
      </c>
      <c r="V40" s="34">
        <f t="shared" si="14"/>
        <v>651.6819999999999</v>
      </c>
      <c r="W40" s="34">
        <f t="shared" si="15"/>
        <v>553.55790498162696</v>
      </c>
      <c r="X40" s="13">
        <f>'AX2'!VG37/1000/1000/1000</f>
        <v>457.76</v>
      </c>
      <c r="Y40" s="34">
        <f t="shared" si="16"/>
        <v>51.293999999999997</v>
      </c>
      <c r="Z40" s="125">
        <f t="shared" si="17"/>
        <v>406.46600000000001</v>
      </c>
      <c r="AA40" s="34">
        <f t="shared" si="18"/>
        <v>193.92199999999991</v>
      </c>
      <c r="AB40" s="34">
        <f t="shared" si="19"/>
        <v>95.797904981626971</v>
      </c>
      <c r="AC40" s="34"/>
      <c r="AD40" s="34"/>
      <c r="AE40" s="14"/>
      <c r="AF40" s="10">
        <f>'AX2'!UE37</f>
        <v>0</v>
      </c>
      <c r="AG40" s="10">
        <f t="shared" si="20"/>
        <v>186.114</v>
      </c>
      <c r="AH40" s="10">
        <v>182.01599999999999</v>
      </c>
      <c r="AI40" s="790">
        <v>160.84899999999999</v>
      </c>
      <c r="AJ40" s="790">
        <v>21.167000000000002</v>
      </c>
      <c r="AK40" s="10">
        <f>'AX2'!VI37/1000/1000/1000</f>
        <v>4.0979999999999999</v>
      </c>
      <c r="AL40" s="10">
        <f>'AX2'!VA37/1000/1000/1000</f>
        <v>0</v>
      </c>
      <c r="AM40" s="10">
        <f>'AX2'!VL37/1000/1000/1000</f>
        <v>0</v>
      </c>
      <c r="AN40" s="10">
        <f t="shared" si="21"/>
        <v>7.8079999999999075</v>
      </c>
      <c r="AO40" s="94"/>
      <c r="AP40" s="11"/>
      <c r="AQ40" s="11"/>
      <c r="AR40" s="11"/>
      <c r="AS40" s="149"/>
      <c r="AT40" s="153"/>
      <c r="AU40" s="102"/>
      <c r="AV40" s="102"/>
      <c r="AW40" s="102"/>
      <c r="AX40" s="103"/>
      <c r="AY40" s="11"/>
      <c r="AZ40" s="10"/>
      <c r="BA40" s="11"/>
      <c r="BB40" s="11"/>
      <c r="BC40" s="10"/>
      <c r="BD40" s="10"/>
      <c r="BE40" s="13"/>
      <c r="BF40" s="34"/>
      <c r="BG40" s="10"/>
      <c r="BH40" s="34"/>
      <c r="BI40" s="34"/>
      <c r="BJ40" s="102"/>
      <c r="BK40" s="103"/>
      <c r="BL40" s="10">
        <f>'AX2'!IF37/1000/1000/1000</f>
        <v>378.06400000000002</v>
      </c>
      <c r="BM40" s="11"/>
      <c r="BN40" s="11"/>
      <c r="BO40" s="12"/>
      <c r="BP40" s="10"/>
      <c r="BQ40" s="10"/>
      <c r="BR40" s="10"/>
      <c r="BS40" s="13"/>
      <c r="BT40" s="34"/>
      <c r="BU40" s="34"/>
      <c r="BV40" s="14"/>
      <c r="BW40" s="10"/>
      <c r="BX40" s="10"/>
      <c r="BY40" s="10"/>
      <c r="BZ40" s="10"/>
      <c r="CA40" s="10"/>
      <c r="CB40" s="10"/>
      <c r="CC40" s="13"/>
      <c r="CD40" s="34"/>
      <c r="CE40" s="34"/>
      <c r="CF40" s="34"/>
      <c r="CG40" s="34"/>
      <c r="CH40" s="34"/>
      <c r="CI40" s="34"/>
      <c r="CJ40" s="13">
        <f>'AX2'!KU37/1000/1000/1000</f>
        <v>51.293999999999997</v>
      </c>
      <c r="CK40" s="34"/>
      <c r="CL40" s="14"/>
      <c r="CM40" s="116"/>
      <c r="CN40" s="10"/>
      <c r="CO40" s="10"/>
      <c r="CP40" s="10"/>
      <c r="CQ40" s="13"/>
      <c r="CR40" s="34"/>
      <c r="CS40" s="125"/>
      <c r="CT40" s="14"/>
      <c r="CU40" s="10"/>
      <c r="CV40" s="10"/>
      <c r="CW40" s="10"/>
      <c r="CX40" s="10"/>
      <c r="CY40" s="10"/>
      <c r="CZ40" s="13"/>
      <c r="DA40" s="34"/>
      <c r="DB40" s="34"/>
      <c r="DC40" s="34"/>
      <c r="DD40" s="14"/>
      <c r="DE40" s="13"/>
      <c r="DF40" s="14"/>
      <c r="DG40" s="116"/>
      <c r="DH40" s="10"/>
      <c r="DI40" s="10"/>
      <c r="DJ40" s="10"/>
      <c r="DK40" s="13"/>
      <c r="DL40" s="34"/>
      <c r="DM40" s="34"/>
      <c r="DN40" s="14"/>
      <c r="DO40" s="10"/>
      <c r="DP40" s="10"/>
      <c r="DQ40" s="10"/>
      <c r="DR40" s="10"/>
      <c r="DS40" s="10"/>
      <c r="DT40" s="13"/>
      <c r="DU40" s="34"/>
      <c r="DV40" s="34"/>
      <c r="DW40" s="34"/>
      <c r="DX40" s="14"/>
      <c r="DY40" s="13"/>
      <c r="DZ40" s="14"/>
      <c r="EA40" s="116"/>
      <c r="EB40" s="10"/>
      <c r="EC40" s="10"/>
      <c r="ED40" s="10"/>
      <c r="EE40" s="13"/>
      <c r="EF40" s="34"/>
      <c r="EG40" s="34"/>
      <c r="EH40" s="14"/>
      <c r="EI40" s="10"/>
      <c r="EJ40" s="10"/>
      <c r="EK40" s="10"/>
      <c r="EL40" s="10"/>
      <c r="EM40" s="10"/>
      <c r="EN40" s="13"/>
      <c r="EO40" s="34"/>
      <c r="EP40" s="34"/>
      <c r="EQ40" s="34"/>
      <c r="ER40" s="14"/>
      <c r="ES40" s="13"/>
      <c r="ET40" s="14"/>
      <c r="EU40" s="116"/>
      <c r="EV40" s="10">
        <f>'AX2'!SF37/1000/1000/1000</f>
        <v>879.33500000000004</v>
      </c>
      <c r="EW40" s="10">
        <f>'AX2'!SC37/1000/1000/1000</f>
        <v>926.99199999999996</v>
      </c>
      <c r="EX40" s="10">
        <f t="shared" si="3"/>
        <v>47.656999999999925</v>
      </c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Q40" s="12"/>
      <c r="FR40" s="259">
        <v>7.7809999999999997</v>
      </c>
      <c r="FS40" s="69">
        <v>53.6</v>
      </c>
      <c r="FT40" s="780">
        <f t="shared" si="30"/>
        <v>9.8360655737705027E-2</v>
      </c>
      <c r="FU40" s="780">
        <f t="shared" si="27"/>
        <v>0.51637764932562624</v>
      </c>
      <c r="FV40" s="780">
        <f t="shared" si="31"/>
        <v>2.4587155963302751</v>
      </c>
      <c r="FW40" s="781">
        <f t="shared" si="32"/>
        <v>1.098360655737705</v>
      </c>
      <c r="FX40" s="9">
        <v>61.1</v>
      </c>
      <c r="FY40" s="161">
        <f t="shared" si="22"/>
        <v>0.21356169171618314</v>
      </c>
      <c r="FZ40" s="161">
        <f t="shared" si="23"/>
        <v>0.4135765597041009</v>
      </c>
      <c r="GA40" s="625">
        <f t="shared" si="35"/>
        <v>1.153940849033521</v>
      </c>
      <c r="GB40" s="637">
        <v>2.1783132530120484</v>
      </c>
      <c r="GC40" s="475">
        <f t="shared" si="24"/>
        <v>0.49507119386637471</v>
      </c>
      <c r="GD40" s="806">
        <f t="shared" si="25"/>
        <v>0.95873861797256887</v>
      </c>
      <c r="GE40" s="806">
        <f t="shared" si="33"/>
        <v>0.88595576335191528</v>
      </c>
      <c r="GF40" s="814">
        <v>4297</v>
      </c>
      <c r="GG40" s="820">
        <f t="shared" si="28"/>
        <v>80.167910447761187</v>
      </c>
      <c r="GH40" s="806">
        <f t="shared" si="36"/>
        <v>1.4113666343975062</v>
      </c>
      <c r="GJ40" s="806">
        <v>7.690000000000001E-2</v>
      </c>
      <c r="GK40" s="806">
        <v>9.9399999999999988E-2</v>
      </c>
      <c r="GL40" s="806">
        <f t="shared" si="37"/>
        <v>9.8360655737705027E-2</v>
      </c>
      <c r="GM40" s="806">
        <f t="shared" si="34"/>
        <v>9.4626865671632032E-4</v>
      </c>
      <c r="GN40" s="806">
        <f t="shared" si="38"/>
        <v>1.1717316927656993</v>
      </c>
      <c r="GO40" s="12"/>
      <c r="GP40" s="716"/>
      <c r="GQ40" s="825"/>
    </row>
    <row r="41" spans="2:200" s="9" customFormat="1" ht="12.75">
      <c r="B41" s="15">
        <v>1992</v>
      </c>
      <c r="C41" s="34">
        <f>'AX2'!VC38/1000/1000/1000</f>
        <v>1436.6189999999999</v>
      </c>
      <c r="D41" s="34">
        <f>'AX2'!VD38/1000/1000/1000</f>
        <v>680.09500000000003</v>
      </c>
      <c r="E41" s="34">
        <f t="shared" si="4"/>
        <v>756.52399999999989</v>
      </c>
      <c r="F41" s="54">
        <v>115.02757323091599</v>
      </c>
      <c r="G41" s="631">
        <f t="shared" si="5"/>
        <v>0.15204748723228348</v>
      </c>
      <c r="H41" s="14">
        <f t="shared" si="6"/>
        <v>641.49642676908388</v>
      </c>
      <c r="I41" s="13">
        <f>'AX2'!SY38/1000/1000/1000</f>
        <v>371.75599999999997</v>
      </c>
      <c r="J41" s="54">
        <f t="shared" si="7"/>
        <v>11.561615000000002</v>
      </c>
      <c r="K41" s="34">
        <f t="shared" si="8"/>
        <v>373.2063849999999</v>
      </c>
      <c r="L41" s="14">
        <f t="shared" si="9"/>
        <v>258.17881176908389</v>
      </c>
      <c r="M41" s="13">
        <f t="shared" si="10"/>
        <v>756.52399999999977</v>
      </c>
      <c r="N41" s="34">
        <f t="shared" si="11"/>
        <v>641.49642676908377</v>
      </c>
      <c r="O41" s="34">
        <f t="shared" si="12"/>
        <v>373.2063849999999</v>
      </c>
      <c r="P41" s="34">
        <f t="shared" si="13"/>
        <v>258.17881176908389</v>
      </c>
      <c r="Q41" s="34">
        <f t="shared" si="29"/>
        <v>371.75599999999997</v>
      </c>
      <c r="R41" s="34">
        <f t="shared" si="26"/>
        <v>11.561615000000002</v>
      </c>
      <c r="S41" s="14">
        <f>('AX2'!TS38-'AX2'!TT38)/1000/1000/1000</f>
        <v>0</v>
      </c>
      <c r="T41" s="13">
        <f>('AX2'!UA38)/1000/1000/1000</f>
        <v>0</v>
      </c>
      <c r="U41" s="34">
        <f>'AX2'!UB38/1000/1000/1000</f>
        <v>0</v>
      </c>
      <c r="V41" s="34">
        <f t="shared" si="14"/>
        <v>756.52399999999977</v>
      </c>
      <c r="W41" s="34">
        <f t="shared" si="15"/>
        <v>641.49642676908377</v>
      </c>
      <c r="X41" s="13">
        <f>'AX2'!VG38/1000/1000/1000</f>
        <v>536.59299999999996</v>
      </c>
      <c r="Y41" s="34">
        <f t="shared" si="16"/>
        <v>63.795000000000002</v>
      </c>
      <c r="Z41" s="125">
        <f t="shared" si="17"/>
        <v>472.79799999999994</v>
      </c>
      <c r="AA41" s="34">
        <f t="shared" si="18"/>
        <v>219.93099999999981</v>
      </c>
      <c r="AB41" s="34">
        <f t="shared" si="19"/>
        <v>104.90342676908381</v>
      </c>
      <c r="AC41" s="34"/>
      <c r="AD41" s="34"/>
      <c r="AE41" s="14"/>
      <c r="AF41" s="10">
        <f>'AX2'!UE38</f>
        <v>0</v>
      </c>
      <c r="AG41" s="10">
        <f t="shared" si="20"/>
        <v>227.42400000000001</v>
      </c>
      <c r="AH41" s="10">
        <v>219.23699999999999</v>
      </c>
      <c r="AI41" s="790">
        <v>196.096</v>
      </c>
      <c r="AJ41" s="790">
        <v>23.140999999999998</v>
      </c>
      <c r="AK41" s="10">
        <f>'AX2'!VI38/1000/1000/1000</f>
        <v>8.1869999999999994</v>
      </c>
      <c r="AL41" s="10">
        <f>'AX2'!VA38/1000/1000/1000</f>
        <v>0</v>
      </c>
      <c r="AM41" s="10">
        <f>'AX2'!VL38/1000/1000/1000</f>
        <v>0</v>
      </c>
      <c r="AN41" s="10">
        <f t="shared" si="21"/>
        <v>-7.4930000000001939</v>
      </c>
      <c r="AO41" s="94"/>
      <c r="AP41" s="11"/>
      <c r="AQ41" s="11"/>
      <c r="AR41" s="11"/>
      <c r="AS41" s="149"/>
      <c r="AT41" s="153"/>
      <c r="AU41" s="102"/>
      <c r="AV41" s="102"/>
      <c r="AW41" s="102"/>
      <c r="AX41" s="103"/>
      <c r="AY41" s="11"/>
      <c r="AZ41" s="10"/>
      <c r="BA41" s="11"/>
      <c r="BB41" s="11"/>
      <c r="BC41" s="10"/>
      <c r="BD41" s="10"/>
      <c r="BE41" s="13"/>
      <c r="BF41" s="34"/>
      <c r="BG41" s="10"/>
      <c r="BH41" s="34"/>
      <c r="BI41" s="34"/>
      <c r="BJ41" s="102"/>
      <c r="BK41" s="103"/>
      <c r="BL41" s="10">
        <f>'AX2'!IF38/1000/1000/1000</f>
        <v>442.48700000000002</v>
      </c>
      <c r="BM41" s="11"/>
      <c r="BN41" s="11"/>
      <c r="BO41" s="12"/>
      <c r="BP41" s="10"/>
      <c r="BQ41" s="10"/>
      <c r="BR41" s="10"/>
      <c r="BS41" s="13"/>
      <c r="BT41" s="34"/>
      <c r="BU41" s="34"/>
      <c r="BV41" s="14"/>
      <c r="BW41" s="10"/>
      <c r="BX41" s="10"/>
      <c r="BY41" s="10"/>
      <c r="BZ41" s="10"/>
      <c r="CA41" s="10"/>
      <c r="CB41" s="10"/>
      <c r="CC41" s="13"/>
      <c r="CD41" s="34"/>
      <c r="CE41" s="34"/>
      <c r="CF41" s="34"/>
      <c r="CG41" s="34"/>
      <c r="CH41" s="34"/>
      <c r="CI41" s="34"/>
      <c r="CJ41" s="13">
        <f>'AX2'!KU38/1000/1000/1000</f>
        <v>63.795000000000002</v>
      </c>
      <c r="CK41" s="34"/>
      <c r="CL41" s="14"/>
      <c r="CM41" s="116"/>
      <c r="CN41" s="10"/>
      <c r="CO41" s="10"/>
      <c r="CP41" s="10"/>
      <c r="CQ41" s="13"/>
      <c r="CR41" s="34"/>
      <c r="CS41" s="125"/>
      <c r="CT41" s="14"/>
      <c r="CU41" s="10"/>
      <c r="CV41" s="10"/>
      <c r="CW41" s="10"/>
      <c r="CX41" s="10"/>
      <c r="CY41" s="10"/>
      <c r="CZ41" s="13"/>
      <c r="DA41" s="34"/>
      <c r="DB41" s="34"/>
      <c r="DC41" s="34"/>
      <c r="DD41" s="14"/>
      <c r="DE41" s="13"/>
      <c r="DF41" s="14"/>
      <c r="DG41" s="116"/>
      <c r="DH41" s="10"/>
      <c r="DI41" s="10"/>
      <c r="DJ41" s="10"/>
      <c r="DK41" s="13"/>
      <c r="DL41" s="34"/>
      <c r="DM41" s="34"/>
      <c r="DN41" s="14"/>
      <c r="DO41" s="10"/>
      <c r="DP41" s="10"/>
      <c r="DQ41" s="10"/>
      <c r="DR41" s="10"/>
      <c r="DS41" s="10"/>
      <c r="DT41" s="13"/>
      <c r="DU41" s="34"/>
      <c r="DV41" s="34"/>
      <c r="DW41" s="34"/>
      <c r="DX41" s="14"/>
      <c r="DY41" s="13"/>
      <c r="DZ41" s="14"/>
      <c r="EA41" s="116"/>
      <c r="EB41" s="10"/>
      <c r="EC41" s="10"/>
      <c r="ED41" s="10"/>
      <c r="EE41" s="13"/>
      <c r="EF41" s="34"/>
      <c r="EG41" s="34"/>
      <c r="EH41" s="14"/>
      <c r="EI41" s="10"/>
      <c r="EJ41" s="10"/>
      <c r="EK41" s="10"/>
      <c r="EL41" s="10"/>
      <c r="EM41" s="10"/>
      <c r="EN41" s="13"/>
      <c r="EO41" s="34"/>
      <c r="EP41" s="34"/>
      <c r="EQ41" s="34"/>
      <c r="ER41" s="14"/>
      <c r="ES41" s="13"/>
      <c r="ET41" s="14"/>
      <c r="EU41" s="116"/>
      <c r="EV41" s="10">
        <f>'AX2'!SF38/1000/1000/1000</f>
        <v>1068.1949999999999</v>
      </c>
      <c r="EW41" s="10">
        <f>'AX2'!SC38/1000/1000/1000</f>
        <v>1110.8599999999999</v>
      </c>
      <c r="EX41" s="10">
        <f t="shared" si="3"/>
        <v>42.664999999999964</v>
      </c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Q41" s="12"/>
      <c r="FR41" s="259">
        <v>7.7430000000000003</v>
      </c>
      <c r="FS41" s="69">
        <v>58.8</v>
      </c>
      <c r="FT41" s="780">
        <f t="shared" si="30"/>
        <v>9.7014925373134275E-2</v>
      </c>
      <c r="FU41" s="780">
        <f t="shared" si="27"/>
        <v>0.5664739884393063</v>
      </c>
      <c r="FV41" s="780">
        <f t="shared" si="31"/>
        <v>2.6972477064220177</v>
      </c>
      <c r="FW41" s="781">
        <f t="shared" si="32"/>
        <v>1.0970149253731341</v>
      </c>
      <c r="FX41" s="9">
        <v>85.2</v>
      </c>
      <c r="FY41" s="161">
        <f t="shared" si="22"/>
        <v>0.29779797273680531</v>
      </c>
      <c r="FZ41" s="161">
        <f t="shared" si="23"/>
        <v>0.52570458452517677</v>
      </c>
      <c r="GA41" s="625">
        <f t="shared" si="35"/>
        <v>1.4667949146871866</v>
      </c>
      <c r="GB41" s="637">
        <v>2.346987951807229</v>
      </c>
      <c r="GC41" s="475">
        <f t="shared" si="24"/>
        <v>0.53340635268346115</v>
      </c>
      <c r="GD41" s="806">
        <f t="shared" si="25"/>
        <v>0.94162550014529378</v>
      </c>
      <c r="GE41" s="806">
        <f t="shared" si="33"/>
        <v>0.8701417916564218</v>
      </c>
      <c r="GF41" s="814">
        <v>5512</v>
      </c>
      <c r="GG41" s="820">
        <f t="shared" si="28"/>
        <v>93.741496598639458</v>
      </c>
      <c r="GH41" s="806">
        <f t="shared" si="36"/>
        <v>1.6503314084008514</v>
      </c>
      <c r="GI41" s="806">
        <v>0.08</v>
      </c>
      <c r="GJ41" s="806">
        <v>5.7500000000000002E-2</v>
      </c>
      <c r="GK41" s="806">
        <v>8.5000000000000006E-2</v>
      </c>
      <c r="GL41" s="806">
        <f t="shared" si="37"/>
        <v>9.7014925373134275E-2</v>
      </c>
      <c r="GM41" s="806">
        <f t="shared" si="34"/>
        <v>-1.0952380952380714E-2</v>
      </c>
      <c r="GN41" s="806">
        <f t="shared" si="38"/>
        <v>1.1588984408925516</v>
      </c>
      <c r="GO41" s="12"/>
      <c r="GP41" s="716"/>
      <c r="GQ41" s="825"/>
    </row>
    <row r="42" spans="2:200" s="9" customFormat="1" ht="12.75">
      <c r="B42" s="15">
        <v>1993</v>
      </c>
      <c r="C42" s="34">
        <f>'AX2'!VC39/1000/1000/1000</f>
        <v>1619.3779999999999</v>
      </c>
      <c r="D42" s="34">
        <f>'AX2'!VD39/1000/1000/1000</f>
        <v>759.86900000000003</v>
      </c>
      <c r="E42" s="34">
        <f t="shared" si="4"/>
        <v>859.5089999999999</v>
      </c>
      <c r="F42" s="54">
        <v>133.19068190097701</v>
      </c>
      <c r="G42" s="631">
        <f t="shared" si="5"/>
        <v>0.15408222909763855</v>
      </c>
      <c r="H42" s="14">
        <f t="shared" si="6"/>
        <v>726.31831809902292</v>
      </c>
      <c r="I42" s="13">
        <f>'AX2'!SY39/1000/1000/1000</f>
        <v>421.88299999999998</v>
      </c>
      <c r="J42" s="54">
        <f t="shared" si="7"/>
        <v>12.917773000000002</v>
      </c>
      <c r="K42" s="34">
        <f t="shared" si="8"/>
        <v>424.70822699999991</v>
      </c>
      <c r="L42" s="14">
        <f t="shared" si="9"/>
        <v>291.51754509902293</v>
      </c>
      <c r="M42" s="13">
        <f t="shared" si="10"/>
        <v>864.4129999999999</v>
      </c>
      <c r="N42" s="34">
        <f t="shared" si="11"/>
        <v>731.22231809902291</v>
      </c>
      <c r="O42" s="34">
        <f t="shared" si="12"/>
        <v>424.70822699999991</v>
      </c>
      <c r="P42" s="34">
        <f t="shared" si="13"/>
        <v>291.51754509902287</v>
      </c>
      <c r="Q42" s="34">
        <f t="shared" si="29"/>
        <v>421.96199999999999</v>
      </c>
      <c r="R42" s="34">
        <f t="shared" si="26"/>
        <v>12.917773000000002</v>
      </c>
      <c r="S42" s="14">
        <f>('AX2'!TS39-'AX2'!TT39)/1000/1000/1000</f>
        <v>4.8250000000000002</v>
      </c>
      <c r="T42" s="13">
        <f>('AX2'!UA39)/1000/1000/1000</f>
        <v>0</v>
      </c>
      <c r="U42" s="34">
        <f>'AX2'!UB39/1000/1000/1000</f>
        <v>0</v>
      </c>
      <c r="V42" s="34">
        <f t="shared" si="14"/>
        <v>864.4129999999999</v>
      </c>
      <c r="W42" s="34">
        <f t="shared" si="15"/>
        <v>731.22231809902291</v>
      </c>
      <c r="X42" s="13">
        <f>'AX2'!VG39/1000/1000/1000</f>
        <v>613.36500000000001</v>
      </c>
      <c r="Y42" s="34">
        <f t="shared" si="16"/>
        <v>72.283000000000001</v>
      </c>
      <c r="Z42" s="125">
        <f t="shared" si="17"/>
        <v>541.08199999999999</v>
      </c>
      <c r="AA42" s="34">
        <f t="shared" si="18"/>
        <v>251.04799999999989</v>
      </c>
      <c r="AB42" s="34">
        <f t="shared" si="19"/>
        <v>117.8573180990229</v>
      </c>
      <c r="AC42" s="34"/>
      <c r="AD42" s="34"/>
      <c r="AE42" s="14"/>
      <c r="AF42" s="10">
        <f>'AX2'!UE39</f>
        <v>0</v>
      </c>
      <c r="AG42" s="10">
        <f t="shared" si="20"/>
        <v>253.69900000000001</v>
      </c>
      <c r="AH42" s="10">
        <v>251.4</v>
      </c>
      <c r="AI42" s="790">
        <v>217.43299999999999</v>
      </c>
      <c r="AJ42" s="790">
        <v>33.966999999999999</v>
      </c>
      <c r="AK42" s="10">
        <f>'AX2'!VI39/1000/1000/1000</f>
        <v>2.2989999999999999</v>
      </c>
      <c r="AL42" s="10">
        <f>'AX2'!VA39/1000/1000/1000</f>
        <v>0</v>
      </c>
      <c r="AM42" s="10">
        <f>'AX2'!VL39/1000/1000/1000</f>
        <v>0</v>
      </c>
      <c r="AN42" s="10">
        <f t="shared" si="21"/>
        <v>-2.6510000000001241</v>
      </c>
      <c r="AO42" s="94"/>
      <c r="AP42" s="11"/>
      <c r="AQ42" s="11"/>
      <c r="AR42" s="11"/>
      <c r="AS42" s="149"/>
      <c r="AT42" s="153"/>
      <c r="AU42" s="102"/>
      <c r="AV42" s="102"/>
      <c r="AW42" s="102"/>
      <c r="AX42" s="103"/>
      <c r="AY42" s="11"/>
      <c r="AZ42" s="10"/>
      <c r="BA42" s="11"/>
      <c r="BB42" s="11"/>
      <c r="BC42" s="10"/>
      <c r="BD42" s="10"/>
      <c r="BE42" s="13"/>
      <c r="BF42" s="34"/>
      <c r="BG42" s="10"/>
      <c r="BH42" s="34"/>
      <c r="BI42" s="34"/>
      <c r="BJ42" s="102"/>
      <c r="BK42" s="103"/>
      <c r="BL42" s="10">
        <f>'AX2'!IF39/1000/1000/1000</f>
        <v>507.12599999999998</v>
      </c>
      <c r="BM42" s="11"/>
      <c r="BN42" s="11"/>
      <c r="BO42" s="12"/>
      <c r="BP42" s="10"/>
      <c r="BQ42" s="10"/>
      <c r="BR42" s="10"/>
      <c r="BS42" s="13"/>
      <c r="BT42" s="34"/>
      <c r="BU42" s="34"/>
      <c r="BV42" s="14"/>
      <c r="BW42" s="10"/>
      <c r="BX42" s="10"/>
      <c r="BY42" s="10"/>
      <c r="BZ42" s="10"/>
      <c r="CA42" s="10"/>
      <c r="CB42" s="10"/>
      <c r="CC42" s="13"/>
      <c r="CD42" s="34"/>
      <c r="CE42" s="34"/>
      <c r="CF42" s="34"/>
      <c r="CG42" s="34"/>
      <c r="CH42" s="34"/>
      <c r="CI42" s="34"/>
      <c r="CJ42" s="13">
        <f>'AX2'!KU39/1000/1000/1000</f>
        <v>72.283000000000001</v>
      </c>
      <c r="CK42" s="34"/>
      <c r="CL42" s="14"/>
      <c r="CM42" s="116"/>
      <c r="CN42" s="10"/>
      <c r="CO42" s="10"/>
      <c r="CP42" s="10"/>
      <c r="CQ42" s="13"/>
      <c r="CR42" s="34"/>
      <c r="CS42" s="125"/>
      <c r="CT42" s="14"/>
      <c r="CU42" s="10"/>
      <c r="CV42" s="10"/>
      <c r="CW42" s="10"/>
      <c r="CX42" s="10"/>
      <c r="CY42" s="10"/>
      <c r="CZ42" s="13"/>
      <c r="DA42" s="34"/>
      <c r="DB42" s="34"/>
      <c r="DC42" s="34"/>
      <c r="DD42" s="14"/>
      <c r="DE42" s="13"/>
      <c r="DF42" s="14"/>
      <c r="DG42" s="116"/>
      <c r="DH42" s="10"/>
      <c r="DI42" s="10"/>
      <c r="DJ42" s="10"/>
      <c r="DK42" s="13"/>
      <c r="DL42" s="34"/>
      <c r="DM42" s="34"/>
      <c r="DN42" s="14"/>
      <c r="DO42" s="10"/>
      <c r="DP42" s="10"/>
      <c r="DQ42" s="10"/>
      <c r="DR42" s="10"/>
      <c r="DS42" s="10"/>
      <c r="DT42" s="13"/>
      <c r="DU42" s="34"/>
      <c r="DV42" s="34"/>
      <c r="DW42" s="34"/>
      <c r="DX42" s="14"/>
      <c r="DY42" s="13"/>
      <c r="DZ42" s="14"/>
      <c r="EA42" s="116"/>
      <c r="EB42" s="10"/>
      <c r="EC42" s="10"/>
      <c r="ED42" s="10"/>
      <c r="EE42" s="13"/>
      <c r="EF42" s="34"/>
      <c r="EG42" s="34"/>
      <c r="EH42" s="14"/>
      <c r="EI42" s="10"/>
      <c r="EJ42" s="10"/>
      <c r="EK42" s="10"/>
      <c r="EL42" s="10"/>
      <c r="EM42" s="10"/>
      <c r="EN42" s="13"/>
      <c r="EO42" s="34"/>
      <c r="EP42" s="34"/>
      <c r="EQ42" s="34"/>
      <c r="ER42" s="14"/>
      <c r="ES42" s="13"/>
      <c r="ET42" s="14"/>
      <c r="EU42" s="116"/>
      <c r="EV42" s="10">
        <f>'AX2'!SF39/1000/1000/1000</f>
        <v>1192.9369999999999</v>
      </c>
      <c r="EW42" s="10">
        <f>'AX2'!SC39/1000/1000/1000</f>
        <v>1255.826</v>
      </c>
      <c r="EX42" s="10">
        <f t="shared" si="3"/>
        <v>62.889000000000124</v>
      </c>
      <c r="EY42" s="10">
        <f>'AX2'!QC39/1000/1000/1000</f>
        <v>0.20399999999999999</v>
      </c>
      <c r="EZ42" s="10">
        <f>'AX2'!QD39/1000/1000/1000</f>
        <v>0.28299999999999997</v>
      </c>
      <c r="FA42" s="10">
        <f t="shared" ref="FA42:FA62" si="39">SUM(FB42:FE42)</f>
        <v>306.25099999999998</v>
      </c>
      <c r="FB42" s="10">
        <v>153.55000000000001</v>
      </c>
      <c r="FC42" s="10">
        <v>10.837999999999999</v>
      </c>
      <c r="FD42" s="10">
        <v>141.863</v>
      </c>
      <c r="FE42" s="10"/>
      <c r="FF42" s="10">
        <f t="shared" ref="FF42:FF62" si="40">SUM(FG42:FJ42)</f>
        <v>316.59500000000003</v>
      </c>
      <c r="FG42" s="10">
        <v>80.742999999999995</v>
      </c>
      <c r="FH42" s="10">
        <v>68.656000000000006</v>
      </c>
      <c r="FI42" s="10">
        <v>167.196</v>
      </c>
      <c r="FJ42" s="10"/>
      <c r="FK42" s="10">
        <f>'AX2'!RA39/1000/1000/1000</f>
        <v>0</v>
      </c>
      <c r="FL42" s="10">
        <f>'AX2'!RB39/1000/1000/1000</f>
        <v>0</v>
      </c>
      <c r="FM42" s="686">
        <f t="shared" ref="FM42:FM65" si="41">FA42/N42</f>
        <v>0.41882064102770883</v>
      </c>
      <c r="FN42" s="686">
        <f t="shared" ref="FN42:FN65" si="42">EW42/N42</f>
        <v>1.7174339033644412</v>
      </c>
      <c r="FQ42" s="12"/>
      <c r="FR42" s="259">
        <v>7.726</v>
      </c>
      <c r="FS42" s="69">
        <v>64.099999999999994</v>
      </c>
      <c r="FT42" s="780">
        <f t="shared" si="30"/>
        <v>9.0136054421768641E-2</v>
      </c>
      <c r="FU42" s="780">
        <f t="shared" si="27"/>
        <v>0.61753371868978801</v>
      </c>
      <c r="FV42" s="780">
        <f t="shared" si="31"/>
        <v>2.9403669724770638</v>
      </c>
      <c r="FW42" s="781">
        <f t="shared" si="32"/>
        <v>1.0901360544217689</v>
      </c>
      <c r="FX42" s="9">
        <v>93</v>
      </c>
      <c r="FY42" s="161">
        <f t="shared" si="22"/>
        <v>0.32506116742397761</v>
      </c>
      <c r="FZ42" s="161">
        <f t="shared" si="23"/>
        <v>0.52638610263040375</v>
      </c>
      <c r="GA42" s="625">
        <f t="shared" si="35"/>
        <v>1.4686964527761441</v>
      </c>
      <c r="GB42" s="637">
        <v>2.8457831325301202</v>
      </c>
      <c r="GC42" s="475">
        <f t="shared" si="24"/>
        <v>0.64676889375684554</v>
      </c>
      <c r="GD42" s="806">
        <f t="shared" si="25"/>
        <v>1.0473418279557032</v>
      </c>
      <c r="GE42" s="806">
        <f t="shared" si="33"/>
        <v>0.96783264101648414</v>
      </c>
      <c r="GF42" s="814">
        <v>11888</v>
      </c>
      <c r="GG42" s="820">
        <f t="shared" si="28"/>
        <v>185.46021840873635</v>
      </c>
      <c r="GH42" s="806">
        <f t="shared" si="36"/>
        <v>3.2650515999257217</v>
      </c>
      <c r="GJ42" s="806">
        <v>3.7499999999999999E-2</v>
      </c>
      <c r="GK42" s="806">
        <v>6.5000000000000002E-2</v>
      </c>
      <c r="GL42" s="806">
        <f t="shared" si="37"/>
        <v>9.0136054421768641E-2</v>
      </c>
      <c r="GM42" s="806">
        <f t="shared" si="34"/>
        <v>-2.3057722308892581E-2</v>
      </c>
      <c r="GN42" s="806">
        <f t="shared" si="38"/>
        <v>1.1321768824582426</v>
      </c>
      <c r="GO42" s="12"/>
      <c r="GP42" s="716"/>
      <c r="GQ42" s="825"/>
    </row>
    <row r="43" spans="2:200" s="9" customFormat="1" ht="12.75">
      <c r="B43" s="15">
        <v>1994</v>
      </c>
      <c r="C43" s="34">
        <f>'AX2'!VC40/1000/1000/1000</f>
        <v>1814.17</v>
      </c>
      <c r="D43" s="34">
        <f>'AX2'!VD40/1000/1000/1000</f>
        <v>827.57299999999998</v>
      </c>
      <c r="E43" s="34">
        <f t="shared" si="4"/>
        <v>986.59700000000009</v>
      </c>
      <c r="F43" s="54">
        <v>149.824957079396</v>
      </c>
      <c r="G43" s="631">
        <f t="shared" si="5"/>
        <v>0.15156170262983121</v>
      </c>
      <c r="H43" s="14">
        <f t="shared" si="6"/>
        <v>836.77204292060412</v>
      </c>
      <c r="I43" s="13">
        <f>'AX2'!SY40/1000/1000/1000</f>
        <v>469.48899999999998</v>
      </c>
      <c r="J43" s="54">
        <f t="shared" si="7"/>
        <v>14.068741000000001</v>
      </c>
      <c r="K43" s="34">
        <f t="shared" si="8"/>
        <v>503.03925900000019</v>
      </c>
      <c r="L43" s="14">
        <f t="shared" si="9"/>
        <v>353.21430192060416</v>
      </c>
      <c r="M43" s="13">
        <f t="shared" si="10"/>
        <v>988.54100000000017</v>
      </c>
      <c r="N43" s="34">
        <f t="shared" si="11"/>
        <v>838.7160429206042</v>
      </c>
      <c r="O43" s="34">
        <f t="shared" si="12"/>
        <v>503.03925900000019</v>
      </c>
      <c r="P43" s="34">
        <f t="shared" si="13"/>
        <v>353.21430192060416</v>
      </c>
      <c r="Q43" s="34">
        <f t="shared" si="29"/>
        <v>469.64499999999998</v>
      </c>
      <c r="R43" s="34">
        <f t="shared" si="26"/>
        <v>14.068741000000001</v>
      </c>
      <c r="S43" s="14">
        <f>('AX2'!TS40-'AX2'!TT40)/1000/1000/1000</f>
        <v>1.788</v>
      </c>
      <c r="T43" s="13">
        <f>('AX2'!UA40)/1000/1000/1000</f>
        <v>0</v>
      </c>
      <c r="U43" s="34">
        <f>'AX2'!UB40/1000/1000/1000</f>
        <v>0</v>
      </c>
      <c r="V43" s="34">
        <f t="shared" si="14"/>
        <v>988.54100000000017</v>
      </c>
      <c r="W43" s="34">
        <f t="shared" si="15"/>
        <v>838.7160429206042</v>
      </c>
      <c r="X43" s="13">
        <f>'AX2'!VG40/1000/1000/1000</f>
        <v>707.55700000000002</v>
      </c>
      <c r="Y43" s="34">
        <f t="shared" si="16"/>
        <v>83.147999999999996</v>
      </c>
      <c r="Z43" s="125">
        <f t="shared" si="17"/>
        <v>624.40899999999999</v>
      </c>
      <c r="AA43" s="34">
        <f t="shared" si="18"/>
        <v>280.98400000000015</v>
      </c>
      <c r="AB43" s="34">
        <f t="shared" si="19"/>
        <v>131.15904292060418</v>
      </c>
      <c r="AC43" s="34"/>
      <c r="AD43" s="34"/>
      <c r="AE43" s="14"/>
      <c r="AF43" s="10">
        <f>'AX2'!UE40</f>
        <v>0</v>
      </c>
      <c r="AG43" s="10">
        <f t="shared" si="20"/>
        <v>329.35999999999996</v>
      </c>
      <c r="AH43" s="10">
        <v>308.09699999999998</v>
      </c>
      <c r="AI43" s="790">
        <v>266.80200000000002</v>
      </c>
      <c r="AJ43" s="790">
        <v>41.295000000000002</v>
      </c>
      <c r="AK43" s="10">
        <f>'AX2'!VI40/1000/1000/1000</f>
        <v>21.263000000000002</v>
      </c>
      <c r="AL43" s="10">
        <f>'AX2'!VA40/1000/1000/1000</f>
        <v>0</v>
      </c>
      <c r="AM43" s="10">
        <f>'AX2'!VL40/1000/1000/1000</f>
        <v>0</v>
      </c>
      <c r="AN43" s="10">
        <f t="shared" si="21"/>
        <v>-48.375999999999806</v>
      </c>
      <c r="AO43" s="94"/>
      <c r="AP43" s="11"/>
      <c r="AQ43" s="11"/>
      <c r="AR43" s="11"/>
      <c r="AS43" s="149"/>
      <c r="AT43" s="153"/>
      <c r="AU43" s="102"/>
      <c r="AV43" s="102"/>
      <c r="AW43" s="102"/>
      <c r="AX43" s="103"/>
      <c r="AY43" s="11"/>
      <c r="AZ43" s="10"/>
      <c r="BA43" s="11"/>
      <c r="BB43" s="11"/>
      <c r="BC43" s="10"/>
      <c r="BD43" s="10"/>
      <c r="BE43" s="13"/>
      <c r="BF43" s="34"/>
      <c r="BG43" s="10"/>
      <c r="BH43" s="34"/>
      <c r="BI43" s="34"/>
      <c r="BJ43" s="102"/>
      <c r="BK43" s="103"/>
      <c r="BL43" s="10">
        <f>'AX2'!IF40/1000/1000/1000</f>
        <v>585.452</v>
      </c>
      <c r="BM43" s="11"/>
      <c r="BN43" s="11"/>
      <c r="BO43" s="12"/>
      <c r="BP43" s="10"/>
      <c r="BQ43" s="10"/>
      <c r="BR43" s="10"/>
      <c r="BS43" s="13"/>
      <c r="BT43" s="34"/>
      <c r="BU43" s="34"/>
      <c r="BV43" s="14"/>
      <c r="BW43" s="10"/>
      <c r="BX43" s="10"/>
      <c r="BY43" s="10"/>
      <c r="BZ43" s="10"/>
      <c r="CA43" s="10"/>
      <c r="CB43" s="10"/>
      <c r="CC43" s="13"/>
      <c r="CD43" s="34"/>
      <c r="CE43" s="34"/>
      <c r="CF43" s="34"/>
      <c r="CG43" s="34"/>
      <c r="CH43" s="34"/>
      <c r="CI43" s="34"/>
      <c r="CJ43" s="13">
        <f>'AX2'!KU40/1000/1000/1000</f>
        <v>83.147999999999996</v>
      </c>
      <c r="CK43" s="34"/>
      <c r="CL43" s="14"/>
      <c r="CM43" s="116"/>
      <c r="CN43" s="10"/>
      <c r="CO43" s="10"/>
      <c r="CP43" s="10"/>
      <c r="CQ43" s="13"/>
      <c r="CR43" s="34"/>
      <c r="CS43" s="125"/>
      <c r="CT43" s="14"/>
      <c r="CU43" s="10"/>
      <c r="CV43" s="10"/>
      <c r="CW43" s="10"/>
      <c r="CX43" s="10"/>
      <c r="CY43" s="10"/>
      <c r="CZ43" s="13"/>
      <c r="DA43" s="34"/>
      <c r="DB43" s="34"/>
      <c r="DC43" s="34"/>
      <c r="DD43" s="14"/>
      <c r="DE43" s="13"/>
      <c r="DF43" s="14"/>
      <c r="DG43" s="116"/>
      <c r="DH43" s="10"/>
      <c r="DI43" s="10"/>
      <c r="DJ43" s="10"/>
      <c r="DK43" s="13"/>
      <c r="DL43" s="34"/>
      <c r="DM43" s="34"/>
      <c r="DN43" s="14"/>
      <c r="DO43" s="10"/>
      <c r="DP43" s="10"/>
      <c r="DQ43" s="10"/>
      <c r="DR43" s="10"/>
      <c r="DS43" s="10"/>
      <c r="DT43" s="13"/>
      <c r="DU43" s="34"/>
      <c r="DV43" s="34"/>
      <c r="DW43" s="34"/>
      <c r="DX43" s="14"/>
      <c r="DY43" s="13"/>
      <c r="DZ43" s="14"/>
      <c r="EA43" s="116"/>
      <c r="EB43" s="10"/>
      <c r="EC43" s="10"/>
      <c r="ED43" s="10"/>
      <c r="EE43" s="13"/>
      <c r="EF43" s="34"/>
      <c r="EG43" s="34"/>
      <c r="EH43" s="14"/>
      <c r="EI43" s="10"/>
      <c r="EJ43" s="10"/>
      <c r="EK43" s="10"/>
      <c r="EL43" s="10"/>
      <c r="EM43" s="10"/>
      <c r="EN43" s="13"/>
      <c r="EO43" s="34"/>
      <c r="EP43" s="34"/>
      <c r="EQ43" s="34"/>
      <c r="ER43" s="14"/>
      <c r="ES43" s="13"/>
      <c r="ET43" s="14"/>
      <c r="EU43" s="116"/>
      <c r="EV43" s="10">
        <f>'AX2'!SF40/1000/1000/1000</f>
        <v>1391.404</v>
      </c>
      <c r="EW43" s="10">
        <f>'AX2'!SC40/1000/1000/1000</f>
        <v>1404.297</v>
      </c>
      <c r="EX43" s="10">
        <f t="shared" si="3"/>
        <v>12.893000000000029</v>
      </c>
      <c r="EY43" s="10">
        <f>'AX2'!QC40/1000/1000/1000</f>
        <v>0.252</v>
      </c>
      <c r="EZ43" s="10">
        <f>'AX2'!QD40/1000/1000/1000</f>
        <v>0.40799999999999997</v>
      </c>
      <c r="FA43" s="10">
        <f t="shared" si="39"/>
        <v>363.82500000000005</v>
      </c>
      <c r="FB43" s="10">
        <v>169.02600000000001</v>
      </c>
      <c r="FC43" s="10">
        <v>20.257000000000001</v>
      </c>
      <c r="FD43" s="10">
        <v>174.542</v>
      </c>
      <c r="FE43" s="10"/>
      <c r="FF43" s="10">
        <f t="shared" si="40"/>
        <v>371.16399999999999</v>
      </c>
      <c r="FG43" s="10">
        <v>111.562</v>
      </c>
      <c r="FH43" s="10">
        <v>66.481999999999999</v>
      </c>
      <c r="FI43" s="10">
        <v>193.12</v>
      </c>
      <c r="FJ43" s="10"/>
      <c r="FK43" s="10">
        <f>'AX2'!RA40/1000/1000/1000</f>
        <v>0</v>
      </c>
      <c r="FL43" s="10">
        <f>'AX2'!RB40/1000/1000/1000</f>
        <v>0</v>
      </c>
      <c r="FM43" s="686">
        <f t="shared" si="41"/>
        <v>0.43378805386037073</v>
      </c>
      <c r="FN43" s="686">
        <f t="shared" si="42"/>
        <v>1.6743414077426151</v>
      </c>
      <c r="FQ43" s="12"/>
      <c r="FR43" s="259">
        <v>7.7380000000000004</v>
      </c>
      <c r="FS43" s="69">
        <v>70.2</v>
      </c>
      <c r="FT43" s="780">
        <f t="shared" si="30"/>
        <v>9.5163806552262198E-2</v>
      </c>
      <c r="FU43" s="780">
        <f t="shared" si="27"/>
        <v>0.67630057803468213</v>
      </c>
      <c r="FV43" s="780">
        <f t="shared" si="31"/>
        <v>3.2201834862385321</v>
      </c>
      <c r="FW43" s="781">
        <f t="shared" si="32"/>
        <v>1.0951638065522622</v>
      </c>
      <c r="FX43" s="9">
        <v>114.9</v>
      </c>
      <c r="FY43" s="161">
        <f t="shared" si="22"/>
        <v>0.40160782943026913</v>
      </c>
      <c r="FZ43" s="161">
        <f t="shared" si="23"/>
        <v>0.59383038026868851</v>
      </c>
      <c r="GA43" s="625">
        <f t="shared" si="35"/>
        <v>1.6568761384335156</v>
      </c>
      <c r="GB43" s="637">
        <v>2.9084337349397593</v>
      </c>
      <c r="GC43" s="475">
        <f t="shared" si="24"/>
        <v>0.66100766703176361</v>
      </c>
      <c r="GD43" s="806">
        <f t="shared" si="25"/>
        <v>0.97738740509824873</v>
      </c>
      <c r="GE43" s="806">
        <f t="shared" si="33"/>
        <v>0.90318882367075171</v>
      </c>
      <c r="GF43" s="814">
        <v>8191</v>
      </c>
      <c r="GG43" s="820">
        <f t="shared" si="28"/>
        <v>116.68091168091168</v>
      </c>
      <c r="GH43" s="806">
        <f t="shared" si="36"/>
        <v>2.0541828357223935</v>
      </c>
      <c r="GI43" s="806">
        <v>0.09</v>
      </c>
      <c r="GJ43" s="824">
        <v>3.7499999999999999E-2</v>
      </c>
      <c r="GK43" s="806">
        <v>6.5000000000000002E-2</v>
      </c>
      <c r="GL43" s="806">
        <f t="shared" si="37"/>
        <v>9.5163806552262198E-2</v>
      </c>
      <c r="GM43" s="806">
        <f t="shared" si="34"/>
        <v>-2.7542735042735189E-2</v>
      </c>
      <c r="GN43" s="806">
        <f t="shared" si="38"/>
        <v>1.1009936345631852</v>
      </c>
      <c r="GO43" s="12"/>
      <c r="GP43" s="716"/>
      <c r="GQ43" s="825"/>
    </row>
    <row r="44" spans="2:200" s="9" customFormat="1" ht="12.75">
      <c r="B44" s="15">
        <v>1995</v>
      </c>
      <c r="C44" s="34">
        <f>'AX2'!VC41/1000/1000/1000</f>
        <v>1961.6880000000001</v>
      </c>
      <c r="D44" s="34">
        <f>'AX2'!VD41/1000/1000/1000</f>
        <v>901.14</v>
      </c>
      <c r="E44" s="34">
        <f t="shared" si="4"/>
        <v>1060.5480000000002</v>
      </c>
      <c r="F44" s="54">
        <v>163.23190358612402</v>
      </c>
      <c r="G44" s="631">
        <f t="shared" si="5"/>
        <v>0.15254776333749268</v>
      </c>
      <c r="H44" s="14">
        <f t="shared" si="6"/>
        <v>897.31609641387627</v>
      </c>
      <c r="I44" s="13">
        <f>'AX2'!SY41/1000/1000/1000</f>
        <v>529.54600000000005</v>
      </c>
      <c r="J44" s="54">
        <f t="shared" si="7"/>
        <v>15.319380000000001</v>
      </c>
      <c r="K44" s="34">
        <f t="shared" si="8"/>
        <v>515.68262000000016</v>
      </c>
      <c r="L44" s="14">
        <f t="shared" si="9"/>
        <v>352.45071641387619</v>
      </c>
      <c r="M44" s="13">
        <f t="shared" si="10"/>
        <v>1070.0380000000002</v>
      </c>
      <c r="N44" s="34">
        <f t="shared" si="11"/>
        <v>906.80609641387628</v>
      </c>
      <c r="O44" s="34">
        <f t="shared" si="12"/>
        <v>515.68262000000016</v>
      </c>
      <c r="P44" s="34">
        <f t="shared" si="13"/>
        <v>352.45071641387614</v>
      </c>
      <c r="Q44" s="34">
        <f t="shared" si="29"/>
        <v>529.63800000000015</v>
      </c>
      <c r="R44" s="34">
        <f t="shared" si="26"/>
        <v>15.319380000000001</v>
      </c>
      <c r="S44" s="14">
        <f>('AX2'!TS41-'AX2'!TT41)/1000/1000/1000</f>
        <v>9.3979999999999997</v>
      </c>
      <c r="T44" s="13">
        <f>('AX2'!UA41)/1000/1000/1000</f>
        <v>0</v>
      </c>
      <c r="U44" s="34">
        <f>'AX2'!UB41/1000/1000/1000</f>
        <v>0</v>
      </c>
      <c r="V44" s="34">
        <f t="shared" si="14"/>
        <v>1070.0380000000002</v>
      </c>
      <c r="W44" s="34">
        <f t="shared" si="15"/>
        <v>906.80609641387628</v>
      </c>
      <c r="X44" s="13">
        <f>'AX2'!VG41/1000/1000/1000</f>
        <v>785.33199999999999</v>
      </c>
      <c r="Y44" s="34">
        <f t="shared" si="16"/>
        <v>93.623999999999995</v>
      </c>
      <c r="Z44" s="125">
        <f t="shared" si="17"/>
        <v>691.70799999999997</v>
      </c>
      <c r="AA44" s="34">
        <f t="shared" si="18"/>
        <v>284.70600000000024</v>
      </c>
      <c r="AB44" s="34">
        <f t="shared" si="19"/>
        <v>121.47409641387628</v>
      </c>
      <c r="AC44" s="34"/>
      <c r="AD44" s="34"/>
      <c r="AE44" s="14"/>
      <c r="AF44" s="10">
        <f>'AX2'!UE41</f>
        <v>0</v>
      </c>
      <c r="AG44" s="10">
        <f t="shared" si="20"/>
        <v>383.71500000000003</v>
      </c>
      <c r="AH44" s="10">
        <v>338.05900000000003</v>
      </c>
      <c r="AI44" s="790">
        <v>282.613</v>
      </c>
      <c r="AJ44" s="790">
        <v>55.445999999999998</v>
      </c>
      <c r="AK44" s="10">
        <f>'AX2'!VI41/1000/1000/1000</f>
        <v>45.655999999999999</v>
      </c>
      <c r="AL44" s="10">
        <f>'AX2'!VA41/1000/1000/1000</f>
        <v>0</v>
      </c>
      <c r="AM44" s="10">
        <f>'AX2'!VL41/1000/1000/1000</f>
        <v>0</v>
      </c>
      <c r="AN44" s="10">
        <f t="shared" si="21"/>
        <v>-99.008999999999787</v>
      </c>
      <c r="AO44" s="94"/>
      <c r="AP44" s="11"/>
      <c r="AQ44" s="11"/>
      <c r="AR44" s="11"/>
      <c r="AS44" s="149"/>
      <c r="AT44" s="153"/>
      <c r="AU44" s="102"/>
      <c r="AV44" s="102"/>
      <c r="AW44" s="102"/>
      <c r="AX44" s="103"/>
      <c r="AY44" s="11"/>
      <c r="AZ44" s="10"/>
      <c r="BA44" s="11"/>
      <c r="BB44" s="11"/>
      <c r="BC44" s="10"/>
      <c r="BD44" s="10"/>
      <c r="BE44" s="13"/>
      <c r="BF44" s="34"/>
      <c r="BG44" s="10"/>
      <c r="BH44" s="34"/>
      <c r="BI44" s="34"/>
      <c r="BJ44" s="102"/>
      <c r="BK44" s="103"/>
      <c r="BL44" s="10">
        <f>'AX2'!IF41/1000/1000/1000</f>
        <v>647.81200000000001</v>
      </c>
      <c r="BM44" s="11"/>
      <c r="BN44" s="11"/>
      <c r="BO44" s="12"/>
      <c r="BP44" s="10"/>
      <c r="BQ44" s="10"/>
      <c r="BR44" s="10"/>
      <c r="BS44" s="13"/>
      <c r="BT44" s="34"/>
      <c r="BU44" s="34"/>
      <c r="BV44" s="14"/>
      <c r="BW44" s="10"/>
      <c r="BX44" s="10"/>
      <c r="BY44" s="10"/>
      <c r="BZ44" s="10"/>
      <c r="CA44" s="10"/>
      <c r="CB44" s="10"/>
      <c r="CC44" s="13"/>
      <c r="CD44" s="34"/>
      <c r="CE44" s="34"/>
      <c r="CF44" s="34"/>
      <c r="CG44" s="34"/>
      <c r="CH44" s="34"/>
      <c r="CI44" s="34"/>
      <c r="CJ44" s="13">
        <f>'AX2'!KU41/1000/1000/1000</f>
        <v>93.623999999999995</v>
      </c>
      <c r="CK44" s="34"/>
      <c r="CL44" s="14"/>
      <c r="CM44" s="116"/>
      <c r="CN44" s="10"/>
      <c r="CO44" s="10"/>
      <c r="CP44" s="10"/>
      <c r="CQ44" s="13"/>
      <c r="CR44" s="34"/>
      <c r="CS44" s="125"/>
      <c r="CT44" s="14"/>
      <c r="CU44" s="10"/>
      <c r="CV44" s="10"/>
      <c r="CW44" s="10"/>
      <c r="CX44" s="10"/>
      <c r="CY44" s="10"/>
      <c r="CZ44" s="13"/>
      <c r="DA44" s="34"/>
      <c r="DB44" s="34"/>
      <c r="DC44" s="34"/>
      <c r="DD44" s="14"/>
      <c r="DE44" s="13"/>
      <c r="DF44" s="14"/>
      <c r="DG44" s="116"/>
      <c r="DH44" s="10"/>
      <c r="DI44" s="10"/>
      <c r="DJ44" s="10"/>
      <c r="DK44" s="13"/>
      <c r="DL44" s="34"/>
      <c r="DM44" s="34"/>
      <c r="DN44" s="14"/>
      <c r="DO44" s="10"/>
      <c r="DP44" s="10"/>
      <c r="DQ44" s="10"/>
      <c r="DR44" s="10"/>
      <c r="DS44" s="10"/>
      <c r="DT44" s="13"/>
      <c r="DU44" s="34"/>
      <c r="DV44" s="34"/>
      <c r="DW44" s="34"/>
      <c r="DX44" s="14"/>
      <c r="DY44" s="13"/>
      <c r="DZ44" s="14"/>
      <c r="EA44" s="116"/>
      <c r="EB44" s="10"/>
      <c r="EC44" s="10"/>
      <c r="ED44" s="10"/>
      <c r="EE44" s="13"/>
      <c r="EF44" s="34"/>
      <c r="EG44" s="34"/>
      <c r="EH44" s="14"/>
      <c r="EI44" s="10"/>
      <c r="EJ44" s="10"/>
      <c r="EK44" s="10"/>
      <c r="EL44" s="10"/>
      <c r="EM44" s="10"/>
      <c r="EN44" s="13"/>
      <c r="EO44" s="34"/>
      <c r="EP44" s="34"/>
      <c r="EQ44" s="34"/>
      <c r="ER44" s="14"/>
      <c r="ES44" s="13"/>
      <c r="ET44" s="14"/>
      <c r="EU44" s="116"/>
      <c r="EV44" s="10">
        <f>'AX2'!SF41/1000/1000/1000</f>
        <v>1647.3820000000001</v>
      </c>
      <c r="EW44" s="10">
        <f>'AX2'!SC41/1000/1000/1000</f>
        <v>1597.77</v>
      </c>
      <c r="EX44" s="10">
        <f>EW44-EV44</f>
        <v>-49.61200000000008</v>
      </c>
      <c r="EY44" s="10">
        <f>'AX2'!QC41/1000/1000/1000</f>
        <v>0.39600000000000002</v>
      </c>
      <c r="EZ44" s="10">
        <f>'AX2'!QD41/1000/1000/1000</f>
        <v>0.48799999999999999</v>
      </c>
      <c r="FA44" s="10">
        <f t="shared" si="39"/>
        <v>372.49700000000001</v>
      </c>
      <c r="FB44" s="10">
        <v>177.94200000000001</v>
      </c>
      <c r="FC44" s="10">
        <v>24.088999999999999</v>
      </c>
      <c r="FD44" s="10">
        <v>170.46600000000001</v>
      </c>
      <c r="FE44" s="10"/>
      <c r="FF44" s="10">
        <f t="shared" si="40"/>
        <v>387.00799999999998</v>
      </c>
      <c r="FG44" s="10">
        <v>106.81</v>
      </c>
      <c r="FH44" s="10">
        <v>78.575000000000003</v>
      </c>
      <c r="FI44" s="10">
        <v>201.62299999999999</v>
      </c>
      <c r="FJ44" s="10"/>
      <c r="FK44" s="10">
        <f>'AX2'!RA41/1000/1000/1000</f>
        <v>0</v>
      </c>
      <c r="FL44" s="10">
        <f>'AX2'!RB41/1000/1000/1000</f>
        <v>0</v>
      </c>
      <c r="FM44" s="686">
        <f t="shared" si="41"/>
        <v>0.41077910864638506</v>
      </c>
      <c r="FN44" s="686">
        <f t="shared" si="42"/>
        <v>1.7619753620081091</v>
      </c>
      <c r="FQ44" s="12"/>
      <c r="FR44" s="259">
        <v>7.7320000000000002</v>
      </c>
      <c r="FS44" s="69">
        <v>75.099999999999994</v>
      </c>
      <c r="FT44" s="780">
        <f t="shared" si="30"/>
        <v>6.9800569800569701E-2</v>
      </c>
      <c r="FU44" s="780">
        <f t="shared" si="27"/>
        <v>0.72350674373795754</v>
      </c>
      <c r="FV44" s="780">
        <f t="shared" si="31"/>
        <v>3.4449541284403664</v>
      </c>
      <c r="FW44" s="781">
        <f t="shared" si="32"/>
        <v>1.0698005698005697</v>
      </c>
      <c r="FX44" s="9">
        <v>107.3</v>
      </c>
      <c r="FY44" s="161">
        <f t="shared" si="22"/>
        <v>0.37504369101712681</v>
      </c>
      <c r="FZ44" s="161">
        <f t="shared" si="23"/>
        <v>0.51836930928865199</v>
      </c>
      <c r="GA44" s="625">
        <f t="shared" si="35"/>
        <v>1.4463283927441009</v>
      </c>
      <c r="GB44" s="637">
        <v>2.8674698795180724</v>
      </c>
      <c r="GC44" s="475">
        <f t="shared" si="24"/>
        <v>0.6516976998904711</v>
      </c>
      <c r="GD44" s="806">
        <f t="shared" si="25"/>
        <v>0.90074861849042487</v>
      </c>
      <c r="GE44" s="806">
        <f t="shared" si="33"/>
        <v>0.83236808752988012</v>
      </c>
      <c r="GF44" s="814">
        <v>10073</v>
      </c>
      <c r="GG44" s="820">
        <f t="shared" si="28"/>
        <v>134.12782956058589</v>
      </c>
      <c r="GH44" s="806">
        <f t="shared" si="36"/>
        <v>2.3613381255498727</v>
      </c>
      <c r="GJ44" s="806">
        <v>7.6999999999999999E-2</v>
      </c>
      <c r="GK44" s="806">
        <v>8.5000000000000006E-2</v>
      </c>
      <c r="GL44" s="806">
        <f t="shared" si="37"/>
        <v>6.9800569800569701E-2</v>
      </c>
      <c r="GM44" s="806">
        <f t="shared" si="34"/>
        <v>1.420772303595208E-2</v>
      </c>
      <c r="GN44" s="806">
        <f t="shared" si="38"/>
        <v>1.1166362471874052</v>
      </c>
      <c r="GO44" s="12"/>
      <c r="GP44" s="716"/>
      <c r="GQ44" s="825"/>
    </row>
    <row r="45" spans="2:200" s="9" customFormat="1" ht="12.75">
      <c r="B45" s="15">
        <v>1996</v>
      </c>
      <c r="C45" s="34">
        <f>'AX2'!VC42/1000/1000/1000</f>
        <v>2125.5549999999998</v>
      </c>
      <c r="D45" s="34">
        <f>'AX2'!VD42/1000/1000/1000</f>
        <v>948.03599999999994</v>
      </c>
      <c r="E45" s="34">
        <f t="shared" si="4"/>
        <v>1177.5189999999998</v>
      </c>
      <c r="F45" s="54">
        <v>178.83306235440202</v>
      </c>
      <c r="G45" s="631">
        <f t="shared" si="5"/>
        <v>0.15331487466974558</v>
      </c>
      <c r="H45" s="14">
        <f t="shared" si="6"/>
        <v>998.68593764559773</v>
      </c>
      <c r="I45" s="13">
        <f>'AX2'!SY42/1000/1000/1000</f>
        <v>584.38300000000004</v>
      </c>
      <c r="J45" s="54">
        <f t="shared" si="7"/>
        <v>16.116612</v>
      </c>
      <c r="K45" s="34">
        <f t="shared" si="8"/>
        <v>577.01938799999971</v>
      </c>
      <c r="L45" s="14">
        <f t="shared" si="9"/>
        <v>398.18632564559772</v>
      </c>
      <c r="M45" s="13">
        <f t="shared" si="10"/>
        <v>1166.4429999999998</v>
      </c>
      <c r="N45" s="34">
        <f t="shared" si="11"/>
        <v>987.60993764559771</v>
      </c>
      <c r="O45" s="34">
        <f t="shared" si="12"/>
        <v>577.01938799999971</v>
      </c>
      <c r="P45" s="34">
        <f t="shared" si="13"/>
        <v>398.18632564559766</v>
      </c>
      <c r="Q45" s="34">
        <f t="shared" si="29"/>
        <v>584.35500000000002</v>
      </c>
      <c r="R45" s="34">
        <f t="shared" si="26"/>
        <v>16.116612</v>
      </c>
      <c r="S45" s="14">
        <f>('AX2'!TS42-'AX2'!TT42)/1000/1000/1000</f>
        <v>-11.048</v>
      </c>
      <c r="T45" s="13">
        <f>('AX2'!UA42)/1000/1000/1000</f>
        <v>0</v>
      </c>
      <c r="U45" s="34">
        <f>'AX2'!UB42/1000/1000/1000</f>
        <v>0</v>
      </c>
      <c r="V45" s="34">
        <f t="shared" si="14"/>
        <v>1166.4429999999998</v>
      </c>
      <c r="W45" s="34">
        <f t="shared" si="15"/>
        <v>987.60993764559771</v>
      </c>
      <c r="X45" s="13">
        <f>'AX2'!VG42/1000/1000/1000</f>
        <v>859.04899999999998</v>
      </c>
      <c r="Y45" s="34">
        <f t="shared" si="16"/>
        <v>103.541</v>
      </c>
      <c r="Z45" s="125">
        <f t="shared" si="17"/>
        <v>755.50800000000004</v>
      </c>
      <c r="AA45" s="34">
        <f t="shared" si="18"/>
        <v>307.39399999999978</v>
      </c>
      <c r="AB45" s="34">
        <f t="shared" si="19"/>
        <v>128.56093764559773</v>
      </c>
      <c r="AC45" s="34"/>
      <c r="AD45" s="34"/>
      <c r="AE45" s="14"/>
      <c r="AF45" s="10">
        <f>'AX2'!UE42</f>
        <v>0</v>
      </c>
      <c r="AG45" s="10">
        <f t="shared" si="20"/>
        <v>392.83</v>
      </c>
      <c r="AH45" s="10">
        <v>383.06799999999998</v>
      </c>
      <c r="AI45" s="790">
        <v>315.661</v>
      </c>
      <c r="AJ45" s="790">
        <v>67.406999999999996</v>
      </c>
      <c r="AK45" s="10">
        <f>'AX2'!VI42/1000/1000/1000</f>
        <v>9.7620000000000005</v>
      </c>
      <c r="AL45" s="10">
        <f>'AX2'!VA42/1000/1000/1000</f>
        <v>0</v>
      </c>
      <c r="AM45" s="10">
        <f>'AX2'!VL42/1000/1000/1000</f>
        <v>0</v>
      </c>
      <c r="AN45" s="10">
        <f t="shared" si="21"/>
        <v>-85.436000000000206</v>
      </c>
      <c r="AO45" s="94"/>
      <c r="AP45" s="11"/>
      <c r="AQ45" s="11"/>
      <c r="AR45" s="11"/>
      <c r="AS45" s="149"/>
      <c r="AT45" s="153"/>
      <c r="AU45" s="102"/>
      <c r="AV45" s="102"/>
      <c r="AW45" s="102"/>
      <c r="AX45" s="103"/>
      <c r="AY45" s="11"/>
      <c r="AZ45" s="10"/>
      <c r="BA45" s="11"/>
      <c r="BB45" s="11"/>
      <c r="BC45" s="10"/>
      <c r="BD45" s="10"/>
      <c r="BE45" s="13"/>
      <c r="BF45" s="34"/>
      <c r="BG45" s="10"/>
      <c r="BH45" s="34"/>
      <c r="BI45" s="34"/>
      <c r="BJ45" s="102"/>
      <c r="BK45" s="103"/>
      <c r="BL45" s="10">
        <f>'AX2'!IF42/1000/1000/1000</f>
        <v>707.38400000000001</v>
      </c>
      <c r="BM45" s="11"/>
      <c r="BN45" s="11"/>
      <c r="BO45" s="12"/>
      <c r="BP45" s="10"/>
      <c r="BQ45" s="10"/>
      <c r="BR45" s="10"/>
      <c r="BS45" s="13"/>
      <c r="BT45" s="34"/>
      <c r="BU45" s="34"/>
      <c r="BV45" s="14"/>
      <c r="BW45" s="10"/>
      <c r="BX45" s="10"/>
      <c r="BY45" s="10"/>
      <c r="BZ45" s="10"/>
      <c r="CA45" s="10"/>
      <c r="CB45" s="10"/>
      <c r="CC45" s="13"/>
      <c r="CD45" s="34"/>
      <c r="CE45" s="34"/>
      <c r="CF45" s="34"/>
      <c r="CG45" s="34"/>
      <c r="CH45" s="34"/>
      <c r="CI45" s="34"/>
      <c r="CJ45" s="13">
        <f>'AX2'!KU42/1000/1000/1000</f>
        <v>103.541</v>
      </c>
      <c r="CK45" s="34"/>
      <c r="CL45" s="14"/>
      <c r="CM45" s="116"/>
      <c r="CN45" s="10"/>
      <c r="CO45" s="10"/>
      <c r="CP45" s="10"/>
      <c r="CQ45" s="13"/>
      <c r="CR45" s="34"/>
      <c r="CS45" s="125"/>
      <c r="CT45" s="14"/>
      <c r="CU45" s="10"/>
      <c r="CV45" s="10"/>
      <c r="CW45" s="10"/>
      <c r="CX45" s="10"/>
      <c r="CY45" s="10"/>
      <c r="CZ45" s="13"/>
      <c r="DA45" s="34"/>
      <c r="DB45" s="34"/>
      <c r="DC45" s="34"/>
      <c r="DD45" s="14"/>
      <c r="DE45" s="13"/>
      <c r="DF45" s="14"/>
      <c r="DG45" s="116"/>
      <c r="DH45" s="10"/>
      <c r="DI45" s="10"/>
      <c r="DJ45" s="10"/>
      <c r="DK45" s="13"/>
      <c r="DL45" s="34"/>
      <c r="DM45" s="34"/>
      <c r="DN45" s="14"/>
      <c r="DO45" s="10"/>
      <c r="DP45" s="10"/>
      <c r="DQ45" s="10"/>
      <c r="DR45" s="10"/>
      <c r="DS45" s="10"/>
      <c r="DT45" s="13"/>
      <c r="DU45" s="34"/>
      <c r="DV45" s="34"/>
      <c r="DW45" s="34"/>
      <c r="DX45" s="14"/>
      <c r="DY45" s="13"/>
      <c r="DZ45" s="14"/>
      <c r="EA45" s="116"/>
      <c r="EB45" s="10"/>
      <c r="EC45" s="10"/>
      <c r="ED45" s="10"/>
      <c r="EE45" s="13"/>
      <c r="EF45" s="34"/>
      <c r="EG45" s="34"/>
      <c r="EH45" s="14"/>
      <c r="EI45" s="10"/>
      <c r="EJ45" s="10"/>
      <c r="EK45" s="10"/>
      <c r="EL45" s="10"/>
      <c r="EM45" s="10"/>
      <c r="EN45" s="13"/>
      <c r="EO45" s="34"/>
      <c r="EP45" s="34"/>
      <c r="EQ45" s="34"/>
      <c r="ER45" s="14"/>
      <c r="ES45" s="13"/>
      <c r="ET45" s="14"/>
      <c r="EU45" s="116"/>
      <c r="EV45" s="10">
        <f>'AX2'!SF42/1000/1000/1000</f>
        <v>1701.1179999999999</v>
      </c>
      <c r="EW45" s="10">
        <f>'AX2'!SC42/1000/1000/1000</f>
        <v>1683.3019999999999</v>
      </c>
      <c r="EX45" s="10">
        <f t="shared" ref="EX45:EX65" si="43">EW45-EV45</f>
        <v>-17.816000000000031</v>
      </c>
      <c r="EY45" s="10">
        <f>'AX2'!QC42/1000/1000/1000</f>
        <v>0.82</v>
      </c>
      <c r="EZ45" s="10">
        <f>'AX2'!QD42/1000/1000/1000</f>
        <v>0.79200000000000004</v>
      </c>
      <c r="FA45" s="10">
        <f t="shared" si="39"/>
        <v>391.98500000000001</v>
      </c>
      <c r="FB45" s="10">
        <v>201.267</v>
      </c>
      <c r="FC45" s="10">
        <v>28.332999999999998</v>
      </c>
      <c r="FD45" s="10">
        <v>162.38499999999999</v>
      </c>
      <c r="FE45" s="10"/>
      <c r="FF45" s="10">
        <f t="shared" si="40"/>
        <v>383.77200000000005</v>
      </c>
      <c r="FG45" s="10">
        <v>117.157</v>
      </c>
      <c r="FH45" s="10">
        <v>84.582999999999998</v>
      </c>
      <c r="FI45" s="10">
        <v>182.03200000000001</v>
      </c>
      <c r="FJ45" s="10"/>
      <c r="FK45" s="10">
        <f>'AX2'!RA42/1000/1000/1000</f>
        <v>0</v>
      </c>
      <c r="FL45" s="10">
        <f>'AX2'!RB42/1000/1000/1000</f>
        <v>0</v>
      </c>
      <c r="FM45" s="686">
        <f t="shared" si="41"/>
        <v>0.3969026485643396</v>
      </c>
      <c r="FN45" s="686">
        <f t="shared" si="42"/>
        <v>1.7044198684481546</v>
      </c>
      <c r="FQ45" s="12"/>
      <c r="FR45" s="259">
        <v>7.7359999999999998</v>
      </c>
      <c r="FS45" s="69">
        <v>80.099999999999994</v>
      </c>
      <c r="FT45" s="780">
        <f t="shared" si="30"/>
        <v>6.6577896138481973E-2</v>
      </c>
      <c r="FU45" s="780">
        <f t="shared" si="27"/>
        <v>0.7716763005780346</v>
      </c>
      <c r="FV45" s="780">
        <f t="shared" si="31"/>
        <v>3.6743119266055038</v>
      </c>
      <c r="FW45" s="781">
        <f t="shared" si="32"/>
        <v>1.066577896138482</v>
      </c>
      <c r="FX45" s="9">
        <v>116.9</v>
      </c>
      <c r="FY45" s="161">
        <f t="shared" si="22"/>
        <v>0.4085983921705697</v>
      </c>
      <c r="FZ45" s="161">
        <f t="shared" si="23"/>
        <v>0.52949454565924015</v>
      </c>
      <c r="GA45" s="625">
        <f t="shared" si="35"/>
        <v>1.477369476678742</v>
      </c>
      <c r="GB45" s="637">
        <v>3.2409638554216866</v>
      </c>
      <c r="GC45" s="475">
        <f t="shared" si="24"/>
        <v>0.7365826944140198</v>
      </c>
      <c r="GD45" s="806">
        <f t="shared" si="25"/>
        <v>0.9545228923867074</v>
      </c>
      <c r="GE45" s="806">
        <f t="shared" si="33"/>
        <v>0.88206007550802479</v>
      </c>
      <c r="GF45" s="814">
        <v>13451</v>
      </c>
      <c r="GG45" s="820">
        <f t="shared" si="28"/>
        <v>167.92759051186019</v>
      </c>
      <c r="GH45" s="806">
        <f t="shared" si="36"/>
        <v>2.9563873739436541</v>
      </c>
      <c r="GJ45" s="806">
        <v>5.21E-2</v>
      </c>
      <c r="GK45" s="806">
        <v>8.7499999999999994E-2</v>
      </c>
      <c r="GL45" s="806">
        <f t="shared" si="37"/>
        <v>6.6577896138481973E-2</v>
      </c>
      <c r="GM45" s="806">
        <f t="shared" si="34"/>
        <v>1.9616104868913853E-2</v>
      </c>
      <c r="GN45" s="806">
        <f t="shared" si="38"/>
        <v>1.1385403009126638</v>
      </c>
      <c r="GO45" s="12"/>
      <c r="GP45" s="716"/>
      <c r="GQ45" s="825"/>
      <c r="GR45" s="161">
        <f>GQ45/FV45*FV30</f>
        <v>0</v>
      </c>
    </row>
    <row r="46" spans="2:200" s="9" customFormat="1" ht="12.75">
      <c r="B46" s="15">
        <v>1997</v>
      </c>
      <c r="C46" s="34">
        <f>'AX2'!VC43/1000/1000/1000</f>
        <v>2290.7069999999999</v>
      </c>
      <c r="D46" s="34">
        <f>'AX2'!VD43/1000/1000/1000</f>
        <v>1002.74</v>
      </c>
      <c r="E46" s="34">
        <f t="shared" si="4"/>
        <v>1287.9669999999999</v>
      </c>
      <c r="F46" s="54">
        <v>193.94741220623999</v>
      </c>
      <c r="G46" s="631">
        <f t="shared" si="5"/>
        <v>0.15077320376245382</v>
      </c>
      <c r="H46" s="14">
        <f t="shared" si="6"/>
        <v>1094.0195877937599</v>
      </c>
      <c r="I46" s="13">
        <f>'AX2'!SY43/1000/1000/1000</f>
        <v>649.90499999999997</v>
      </c>
      <c r="J46" s="54">
        <f t="shared" si="7"/>
        <v>17.046580000000002</v>
      </c>
      <c r="K46" s="34">
        <f t="shared" si="8"/>
        <v>621.01541999999995</v>
      </c>
      <c r="L46" s="14">
        <f t="shared" si="9"/>
        <v>427.06800779375993</v>
      </c>
      <c r="M46" s="13">
        <f t="shared" si="10"/>
        <v>1286.3519999999999</v>
      </c>
      <c r="N46" s="34">
        <f t="shared" si="11"/>
        <v>1092.4045877937599</v>
      </c>
      <c r="O46" s="34">
        <f t="shared" si="12"/>
        <v>621.01541999999995</v>
      </c>
      <c r="P46" s="34">
        <f t="shared" si="13"/>
        <v>427.06800779375999</v>
      </c>
      <c r="Q46" s="34">
        <f t="shared" si="29"/>
        <v>649.58899999999994</v>
      </c>
      <c r="R46" s="34">
        <f t="shared" si="26"/>
        <v>17.046580000000002</v>
      </c>
      <c r="S46" s="14">
        <f>('AX2'!TS43-'AX2'!TT43)/1000/1000/1000</f>
        <v>-1.2989999999999999</v>
      </c>
      <c r="T46" s="13">
        <f>('AX2'!UA43)/1000/1000/1000</f>
        <v>5.8120000000000003</v>
      </c>
      <c r="U46" s="34">
        <f>'AX2'!UB43/1000/1000/1000</f>
        <v>18.279</v>
      </c>
      <c r="V46" s="34">
        <f t="shared" si="14"/>
        <v>1273.8849999999998</v>
      </c>
      <c r="W46" s="34">
        <f t="shared" si="15"/>
        <v>1079.9375877937598</v>
      </c>
      <c r="X46" s="13">
        <f>'AX2'!VG43/1000/1000/1000</f>
        <v>946.57600000000002</v>
      </c>
      <c r="Y46" s="34">
        <f t="shared" si="16"/>
        <v>112.751</v>
      </c>
      <c r="Z46" s="125">
        <f t="shared" si="17"/>
        <v>833.82500000000005</v>
      </c>
      <c r="AA46" s="34">
        <f t="shared" si="18"/>
        <v>327.30899999999974</v>
      </c>
      <c r="AB46" s="34">
        <f t="shared" si="19"/>
        <v>133.36158779375978</v>
      </c>
      <c r="AC46" s="34"/>
      <c r="AD46" s="34"/>
      <c r="AE46" s="14"/>
      <c r="AF46" s="10">
        <f>'AX2'!UE43</f>
        <v>0</v>
      </c>
      <c r="AG46" s="10">
        <f t="shared" si="20"/>
        <v>469.59699999999998</v>
      </c>
      <c r="AH46" s="10">
        <v>457.28399999999999</v>
      </c>
      <c r="AI46" s="790">
        <v>390.30099999999999</v>
      </c>
      <c r="AJ46" s="790">
        <v>66.983000000000004</v>
      </c>
      <c r="AK46" s="10">
        <f>'AX2'!VI43/1000/1000/1000</f>
        <v>12.313000000000001</v>
      </c>
      <c r="AL46" s="10">
        <f>'AX2'!VA43/1000/1000/1000</f>
        <v>0</v>
      </c>
      <c r="AM46" s="10">
        <f>'AX2'!VL43/1000/1000/1000</f>
        <v>0</v>
      </c>
      <c r="AN46" s="10">
        <f t="shared" si="21"/>
        <v>-142.28800000000024</v>
      </c>
      <c r="AO46" s="94"/>
      <c r="AP46" s="11"/>
      <c r="AQ46" s="11"/>
      <c r="AR46" s="11"/>
      <c r="AS46" s="149"/>
      <c r="AT46" s="153"/>
      <c r="AU46" s="102"/>
      <c r="AV46" s="102"/>
      <c r="AW46" s="102"/>
      <c r="AX46" s="103"/>
      <c r="AY46" s="11"/>
      <c r="AZ46" s="10"/>
      <c r="BA46" s="11"/>
      <c r="BB46" s="11"/>
      <c r="BC46" s="10"/>
      <c r="BD46" s="10"/>
      <c r="BE46" s="13"/>
      <c r="BF46" s="34"/>
      <c r="BG46" s="10"/>
      <c r="BH46" s="34"/>
      <c r="BI46" s="34"/>
      <c r="BJ46" s="102"/>
      <c r="BK46" s="103"/>
      <c r="BL46" s="10">
        <f>'AX2'!IF43/1000/1000/1000</f>
        <v>781.03599999999994</v>
      </c>
      <c r="BM46" s="11"/>
      <c r="BN46" s="11"/>
      <c r="BO46" s="12"/>
      <c r="BP46" s="10"/>
      <c r="BQ46" s="10"/>
      <c r="BR46" s="10"/>
      <c r="BS46" s="13"/>
      <c r="BT46" s="34"/>
      <c r="BU46" s="34"/>
      <c r="BV46" s="14"/>
      <c r="BW46" s="10"/>
      <c r="BX46" s="10"/>
      <c r="BY46" s="10"/>
      <c r="BZ46" s="10"/>
      <c r="CA46" s="10"/>
      <c r="CB46" s="10"/>
      <c r="CC46" s="13"/>
      <c r="CD46" s="34"/>
      <c r="CE46" s="34"/>
      <c r="CF46" s="34"/>
      <c r="CG46" s="34"/>
      <c r="CH46" s="34"/>
      <c r="CI46" s="34"/>
      <c r="CJ46" s="13">
        <f>'AX2'!KU43/1000/1000/1000</f>
        <v>112.751</v>
      </c>
      <c r="CK46" s="34"/>
      <c r="CL46" s="14"/>
      <c r="CM46" s="116"/>
      <c r="CN46" s="10"/>
      <c r="CO46" s="10"/>
      <c r="CP46" s="10"/>
      <c r="CQ46" s="13"/>
      <c r="CR46" s="34"/>
      <c r="CS46" s="125"/>
      <c r="CT46" s="14"/>
      <c r="CU46" s="10"/>
      <c r="CV46" s="10"/>
      <c r="CW46" s="10"/>
      <c r="CX46" s="10"/>
      <c r="CY46" s="10"/>
      <c r="CZ46" s="13"/>
      <c r="DA46" s="34"/>
      <c r="DB46" s="34"/>
      <c r="DC46" s="34"/>
      <c r="DD46" s="14"/>
      <c r="DE46" s="13"/>
      <c r="DF46" s="14"/>
      <c r="DG46" s="116"/>
      <c r="DH46" s="10"/>
      <c r="DI46" s="10"/>
      <c r="DJ46" s="10"/>
      <c r="DK46" s="13"/>
      <c r="DL46" s="34"/>
      <c r="DM46" s="34"/>
      <c r="DN46" s="14"/>
      <c r="DO46" s="10"/>
      <c r="DP46" s="10"/>
      <c r="DQ46" s="10"/>
      <c r="DR46" s="10"/>
      <c r="DS46" s="10"/>
      <c r="DT46" s="13"/>
      <c r="DU46" s="34"/>
      <c r="DV46" s="34"/>
      <c r="DW46" s="34"/>
      <c r="DX46" s="14"/>
      <c r="DY46" s="13"/>
      <c r="DZ46" s="14"/>
      <c r="EA46" s="116"/>
      <c r="EB46" s="10"/>
      <c r="EC46" s="10"/>
      <c r="ED46" s="10"/>
      <c r="EE46" s="13"/>
      <c r="EF46" s="34"/>
      <c r="EG46" s="34"/>
      <c r="EH46" s="14"/>
      <c r="EI46" s="10"/>
      <c r="EJ46" s="10"/>
      <c r="EK46" s="10"/>
      <c r="EL46" s="10"/>
      <c r="EM46" s="10"/>
      <c r="EN46" s="13"/>
      <c r="EO46" s="34"/>
      <c r="EP46" s="34"/>
      <c r="EQ46" s="34"/>
      <c r="ER46" s="14"/>
      <c r="ES46" s="13"/>
      <c r="ET46" s="14"/>
      <c r="EU46" s="116"/>
      <c r="EV46" s="10">
        <f>'AX2'!SF43/1000/1000/1000</f>
        <v>1788.3</v>
      </c>
      <c r="EW46" s="10">
        <f>'AX2'!SC43/1000/1000/1000</f>
        <v>1742.5440000000001</v>
      </c>
      <c r="EX46" s="10">
        <f t="shared" si="43"/>
        <v>-45.755999999999858</v>
      </c>
      <c r="EY46" s="10">
        <f>'AX2'!QC43/1000/1000/1000</f>
        <v>1.2789999999999999</v>
      </c>
      <c r="EZ46" s="10">
        <f>'AX2'!QD43/1000/1000/1000</f>
        <v>0.96299999999999997</v>
      </c>
      <c r="FA46" s="632">
        <f t="shared" si="39"/>
        <v>362.78949999999998</v>
      </c>
      <c r="FB46" s="632">
        <f>(FB45+FB47)/2</f>
        <v>168.80849999999998</v>
      </c>
      <c r="FC46" s="632">
        <f>(FC45+FC47)/2</f>
        <v>26.514499999999998</v>
      </c>
      <c r="FD46" s="632">
        <f>(FD45+FD47)/2</f>
        <v>167.4665</v>
      </c>
      <c r="FE46" s="632"/>
      <c r="FF46" s="632">
        <f t="shared" si="40"/>
        <v>373.06400000000002</v>
      </c>
      <c r="FG46" s="632">
        <f>(FG45+FG47)/2</f>
        <v>121.078</v>
      </c>
      <c r="FH46" s="632">
        <f>(FH45+FH47)/2</f>
        <v>79.513499999999993</v>
      </c>
      <c r="FI46" s="632">
        <f>(FI45+FI47)/2</f>
        <v>172.47250000000003</v>
      </c>
      <c r="FJ46" s="10"/>
      <c r="FK46" s="10">
        <f>'AX2'!RA43/1000/1000/1000</f>
        <v>18.279</v>
      </c>
      <c r="FL46" s="10">
        <f>'AX2'!RB43/1000/1000/1000</f>
        <v>5.8120000000000003</v>
      </c>
      <c r="FM46" s="686">
        <f t="shared" si="41"/>
        <v>0.3321017725975467</v>
      </c>
      <c r="FN46" s="686">
        <f t="shared" si="42"/>
        <v>1.595145259797264</v>
      </c>
      <c r="FQ46" s="12"/>
      <c r="FR46" s="259">
        <v>7.7460000000000004</v>
      </c>
      <c r="FS46" s="69">
        <v>84.3</v>
      </c>
      <c r="FT46" s="780">
        <f t="shared" si="30"/>
        <v>5.2434456928839079E-2</v>
      </c>
      <c r="FU46" s="780">
        <f t="shared" si="27"/>
        <v>0.81213872832369938</v>
      </c>
      <c r="FV46" s="780">
        <f t="shared" si="31"/>
        <v>3.8669724770642193</v>
      </c>
      <c r="FW46" s="781">
        <f t="shared" si="32"/>
        <v>1.0524344569288389</v>
      </c>
      <c r="FX46" s="9">
        <v>163.1</v>
      </c>
      <c r="FY46" s="161">
        <f t="shared" si="22"/>
        <v>0.57008039147151335</v>
      </c>
      <c r="FZ46" s="161">
        <f t="shared" si="23"/>
        <v>0.70194952117132969</v>
      </c>
      <c r="GA46" s="625">
        <f t="shared" si="35"/>
        <v>1.9585448145771349</v>
      </c>
      <c r="GB46" s="637">
        <v>2.7132530120481926</v>
      </c>
      <c r="GC46" s="475">
        <f t="shared" si="24"/>
        <v>0.61664841182913477</v>
      </c>
      <c r="GD46" s="806">
        <f t="shared" si="25"/>
        <v>0.75928950353338309</v>
      </c>
      <c r="GE46" s="806">
        <f t="shared" si="33"/>
        <v>0.70164787262930739</v>
      </c>
      <c r="GF46" s="814">
        <v>10723</v>
      </c>
      <c r="GG46" s="820">
        <f t="shared" si="28"/>
        <v>127.20047449584817</v>
      </c>
      <c r="GH46" s="806">
        <f t="shared" si="36"/>
        <v>2.2393811261920527</v>
      </c>
      <c r="GI46" s="806">
        <v>0.14000000000000001</v>
      </c>
      <c r="GJ46" s="806">
        <v>5.2199999999999996E-2</v>
      </c>
      <c r="GK46" s="806">
        <v>8.5000000000000006E-2</v>
      </c>
      <c r="GL46" s="806">
        <f t="shared" si="37"/>
        <v>5.2434456928839079E-2</v>
      </c>
      <c r="GM46" s="806">
        <f t="shared" si="34"/>
        <v>3.0943060498220598E-2</v>
      </c>
      <c r="GN46" s="806">
        <f t="shared" si="38"/>
        <v>1.1737702223234667</v>
      </c>
      <c r="GO46" s="12"/>
      <c r="GP46" s="716"/>
      <c r="GQ46" s="825"/>
      <c r="GR46" s="161">
        <f>GR45^(1/15)-1</f>
        <v>-1</v>
      </c>
    </row>
    <row r="47" spans="2:200" s="9" customFormat="1" ht="12.75">
      <c r="B47" s="15">
        <v>1998</v>
      </c>
      <c r="C47" s="34">
        <f>'AX2'!VC44/1000/1000/1000</f>
        <v>2155.4340000000002</v>
      </c>
      <c r="D47" s="34">
        <f>'AX2'!VD44/1000/1000/1000</f>
        <v>937.17</v>
      </c>
      <c r="E47" s="34">
        <f t="shared" si="4"/>
        <v>1218.2640000000001</v>
      </c>
      <c r="F47" s="54">
        <v>199.98668801183402</v>
      </c>
      <c r="G47" s="631">
        <f t="shared" si="5"/>
        <v>0.16090845953030428</v>
      </c>
      <c r="H47" s="14">
        <f t="shared" si="6"/>
        <v>1018.277311988166</v>
      </c>
      <c r="I47" s="13">
        <f>'AX2'!SY44/1000/1000/1000</f>
        <v>654.41700000000003</v>
      </c>
      <c r="J47" s="54">
        <f t="shared" si="7"/>
        <v>15.931890000000001</v>
      </c>
      <c r="K47" s="34">
        <f t="shared" si="8"/>
        <v>547.91511000000014</v>
      </c>
      <c r="L47" s="14">
        <f t="shared" si="9"/>
        <v>347.92842198816601</v>
      </c>
      <c r="M47" s="13">
        <f t="shared" si="10"/>
        <v>1242.8600000000004</v>
      </c>
      <c r="N47" s="34">
        <f t="shared" si="11"/>
        <v>1042.8733119881663</v>
      </c>
      <c r="O47" s="34">
        <f t="shared" si="12"/>
        <v>547.91511000000014</v>
      </c>
      <c r="P47" s="34">
        <f t="shared" si="13"/>
        <v>347.92842198816612</v>
      </c>
      <c r="Q47" s="34">
        <f t="shared" si="29"/>
        <v>654.25000000000011</v>
      </c>
      <c r="R47" s="34">
        <f t="shared" si="26"/>
        <v>15.931890000000001</v>
      </c>
      <c r="S47" s="14">
        <f>('AX2'!TS44-'AX2'!TT44)/1000/1000/1000</f>
        <v>24.763000000000002</v>
      </c>
      <c r="T47" s="13">
        <f>('AX2'!UA44)/1000/1000/1000</f>
        <v>5.1790000000000003</v>
      </c>
      <c r="U47" s="34">
        <f>'AX2'!UB44/1000/1000/1000</f>
        <v>17.542999999999999</v>
      </c>
      <c r="V47" s="34">
        <f t="shared" si="14"/>
        <v>1230.4960000000005</v>
      </c>
      <c r="W47" s="34">
        <f t="shared" si="15"/>
        <v>1030.5093119881665</v>
      </c>
      <c r="X47" s="13">
        <f>'AX2'!VG44/1000/1000/1000</f>
        <v>912.49800000000005</v>
      </c>
      <c r="Y47" s="34">
        <f t="shared" si="16"/>
        <v>116.55</v>
      </c>
      <c r="Z47" s="125">
        <f t="shared" si="17"/>
        <v>795.94800000000009</v>
      </c>
      <c r="AA47" s="34">
        <f t="shared" si="18"/>
        <v>317.9980000000005</v>
      </c>
      <c r="AB47" s="34">
        <f t="shared" si="19"/>
        <v>118.01131198816643</v>
      </c>
      <c r="AC47" s="34">
        <f t="shared" ref="AC47:AC68" si="44">AE47*E47</f>
        <v>374.04367446952193</v>
      </c>
      <c r="AD47" s="34">
        <f t="shared" ref="AD47:AD68" si="45">AC47-F47</f>
        <v>174.05698645768791</v>
      </c>
      <c r="AE47" s="781">
        <v>0.30703006447660103</v>
      </c>
      <c r="AF47" s="10">
        <f>'AX2'!UE44</f>
        <v>0</v>
      </c>
      <c r="AG47" s="10">
        <f t="shared" si="20"/>
        <v>379.392</v>
      </c>
      <c r="AH47" s="10">
        <v>395.04300000000001</v>
      </c>
      <c r="AI47" s="790">
        <v>329.99599999999998</v>
      </c>
      <c r="AJ47" s="790">
        <v>65.046999999999997</v>
      </c>
      <c r="AK47" s="10">
        <f>'AX2'!VI44/1000/1000/1000</f>
        <v>-15.651</v>
      </c>
      <c r="AL47" s="10">
        <f>'AX2'!VA44/1000/1000/1000</f>
        <v>0</v>
      </c>
      <c r="AM47" s="10">
        <f>'AX2'!VL44/1000/1000/1000</f>
        <v>0</v>
      </c>
      <c r="AN47" s="10">
        <f t="shared" si="21"/>
        <v>-61.393999999999494</v>
      </c>
      <c r="AO47" s="94"/>
      <c r="AP47" s="11"/>
      <c r="AQ47" s="11"/>
      <c r="AR47" s="11"/>
      <c r="AS47" s="149"/>
      <c r="AT47" s="153"/>
      <c r="AU47" s="102"/>
      <c r="AV47" s="102"/>
      <c r="AW47" s="102"/>
      <c r="AX47" s="103"/>
      <c r="AY47" s="11"/>
      <c r="AZ47" s="10"/>
      <c r="BA47" s="11"/>
      <c r="BB47" s="11"/>
      <c r="BC47" s="10"/>
      <c r="BD47" s="10"/>
      <c r="BE47" s="13"/>
      <c r="BF47" s="34"/>
      <c r="BG47" s="10"/>
      <c r="BH47" s="34"/>
      <c r="BI47" s="34"/>
      <c r="BJ47" s="102"/>
      <c r="BK47" s="103"/>
      <c r="BL47" s="10">
        <f>'AX2'!IF44/1000/1000/1000</f>
        <v>741.36599999999999</v>
      </c>
      <c r="BM47" s="11"/>
      <c r="BN47" s="11"/>
      <c r="BO47" s="12"/>
      <c r="BP47" s="10"/>
      <c r="BQ47" s="10"/>
      <c r="BR47" s="10"/>
      <c r="BS47" s="13"/>
      <c r="BT47" s="34"/>
      <c r="BU47" s="34"/>
      <c r="BV47" s="14"/>
      <c r="BW47" s="10"/>
      <c r="BX47" s="10"/>
      <c r="BY47" s="10"/>
      <c r="BZ47" s="10"/>
      <c r="CA47" s="10"/>
      <c r="CB47" s="10"/>
      <c r="CC47" s="13"/>
      <c r="CD47" s="34"/>
      <c r="CE47" s="34"/>
      <c r="CF47" s="34"/>
      <c r="CG47" s="34"/>
      <c r="CH47" s="34"/>
      <c r="CI47" s="34"/>
      <c r="CJ47" s="13">
        <f>'AX2'!KU44/1000/1000/1000</f>
        <v>116.55</v>
      </c>
      <c r="CK47" s="34"/>
      <c r="CL47" s="14"/>
      <c r="CM47" s="116"/>
      <c r="CN47" s="10"/>
      <c r="CO47" s="10"/>
      <c r="CP47" s="10"/>
      <c r="CQ47" s="13"/>
      <c r="CR47" s="34"/>
      <c r="CS47" s="125"/>
      <c r="CT47" s="14"/>
      <c r="CU47" s="10"/>
      <c r="CV47" s="10"/>
      <c r="CW47" s="10"/>
      <c r="CX47" s="10"/>
      <c r="CY47" s="10"/>
      <c r="CZ47" s="13"/>
      <c r="DA47" s="34"/>
      <c r="DB47" s="34"/>
      <c r="DC47" s="34"/>
      <c r="DD47" s="14"/>
      <c r="DE47" s="13"/>
      <c r="DF47" s="14"/>
      <c r="DG47" s="116"/>
      <c r="DH47" s="10"/>
      <c r="DI47" s="10"/>
      <c r="DJ47" s="10"/>
      <c r="DK47" s="13"/>
      <c r="DL47" s="34"/>
      <c r="DM47" s="34"/>
      <c r="DN47" s="14"/>
      <c r="DO47" s="10"/>
      <c r="DP47" s="10"/>
      <c r="DQ47" s="10"/>
      <c r="DR47" s="10"/>
      <c r="DS47" s="10"/>
      <c r="DT47" s="13"/>
      <c r="DU47" s="34"/>
      <c r="DV47" s="34"/>
      <c r="DW47" s="34"/>
      <c r="DX47" s="14"/>
      <c r="DY47" s="13"/>
      <c r="DZ47" s="14"/>
      <c r="EA47" s="116"/>
      <c r="EB47" s="10"/>
      <c r="EC47" s="10"/>
      <c r="ED47" s="10"/>
      <c r="EE47" s="13"/>
      <c r="EF47" s="34"/>
      <c r="EG47" s="34"/>
      <c r="EH47" s="14"/>
      <c r="EI47" s="10"/>
      <c r="EJ47" s="10"/>
      <c r="EK47" s="10"/>
      <c r="EL47" s="10"/>
      <c r="EM47" s="10"/>
      <c r="EN47" s="13"/>
      <c r="EO47" s="34"/>
      <c r="EP47" s="34"/>
      <c r="EQ47" s="34"/>
      <c r="ER47" s="14"/>
      <c r="ES47" s="13"/>
      <c r="ET47" s="14"/>
      <c r="EU47" s="116"/>
      <c r="EV47" s="10">
        <f>'AX2'!SF44/1000/1000/1000</f>
        <v>1602.5619999999999</v>
      </c>
      <c r="EW47" s="10">
        <f>'AX2'!SC44/1000/1000/1000</f>
        <v>1609.748</v>
      </c>
      <c r="EX47" s="10">
        <f t="shared" si="43"/>
        <v>7.1860000000001492</v>
      </c>
      <c r="EY47" s="10">
        <f>'AX2'!QC44/1000/1000/1000</f>
        <v>1.357</v>
      </c>
      <c r="EZ47" s="10">
        <f>'AX2'!QD44/1000/1000/1000</f>
        <v>1.19</v>
      </c>
      <c r="FA47" s="10">
        <f t="shared" si="39"/>
        <v>333.59399999999999</v>
      </c>
      <c r="FB47" s="10">
        <v>136.35</v>
      </c>
      <c r="FC47" s="10">
        <v>24.696000000000002</v>
      </c>
      <c r="FD47" s="10">
        <v>172.548</v>
      </c>
      <c r="FE47" s="10"/>
      <c r="FF47" s="10">
        <f t="shared" si="40"/>
        <v>362.35599999999999</v>
      </c>
      <c r="FG47" s="10">
        <v>124.999</v>
      </c>
      <c r="FH47" s="10">
        <v>74.444000000000003</v>
      </c>
      <c r="FI47" s="10">
        <v>162.91300000000001</v>
      </c>
      <c r="FJ47" s="10"/>
      <c r="FK47" s="10">
        <f>'AX2'!RA44/1000/1000/1000</f>
        <v>17.542999999999999</v>
      </c>
      <c r="FL47" s="10">
        <f>'AX2'!RB44/1000/1000/1000</f>
        <v>5.1790000000000003</v>
      </c>
      <c r="FM47" s="686">
        <f t="shared" si="41"/>
        <v>0.31987969791270809</v>
      </c>
      <c r="FN47" s="686">
        <f t="shared" si="42"/>
        <v>1.5435700400954036</v>
      </c>
      <c r="FQ47" s="12"/>
      <c r="FR47" s="259">
        <v>7.7460000000000004</v>
      </c>
      <c r="FS47" s="69">
        <v>82.9</v>
      </c>
      <c r="FT47" s="780">
        <f t="shared" si="30"/>
        <v>-1.6607354685646447E-2</v>
      </c>
      <c r="FU47" s="780">
        <f t="shared" si="27"/>
        <v>0.7986512524084779</v>
      </c>
      <c r="FV47" s="780">
        <f t="shared" si="31"/>
        <v>3.8027522935779814</v>
      </c>
      <c r="FW47" s="781">
        <f t="shared" si="32"/>
        <v>0.98339264531435366</v>
      </c>
      <c r="FX47" s="9">
        <v>117.1</v>
      </c>
      <c r="FY47" s="161">
        <f t="shared" si="22"/>
        <v>0.40929744844459975</v>
      </c>
      <c r="FZ47" s="161">
        <f t="shared" si="23"/>
        <v>0.51248582808865439</v>
      </c>
      <c r="GA47" s="625">
        <f t="shared" si="35"/>
        <v>1.4299125946726254</v>
      </c>
      <c r="GB47" s="637">
        <v>2.4096385542168677</v>
      </c>
      <c r="GC47" s="475">
        <f t="shared" si="24"/>
        <v>0.54764512595837911</v>
      </c>
      <c r="GD47" s="806">
        <f t="shared" si="25"/>
        <v>0.68571247375729494</v>
      </c>
      <c r="GE47" s="806">
        <f t="shared" si="33"/>
        <v>0.63365645937186643</v>
      </c>
      <c r="GF47" s="814">
        <v>10049</v>
      </c>
      <c r="GG47" s="820">
        <f t="shared" si="28"/>
        <v>121.21833534378769</v>
      </c>
      <c r="GH47" s="806">
        <f t="shared" si="36"/>
        <v>2.1340647776133683</v>
      </c>
      <c r="GI47" s="806"/>
      <c r="GJ47" s="806">
        <v>9.2499999999999999E-2</v>
      </c>
      <c r="GK47" s="806">
        <v>9.98E-2</v>
      </c>
      <c r="GL47" s="806">
        <f t="shared" si="37"/>
        <v>-1.6607354685646447E-2</v>
      </c>
      <c r="GM47" s="806">
        <f t="shared" si="34"/>
        <v>0.11837322074788892</v>
      </c>
      <c r="GN47" s="806">
        <f t="shared" si="38"/>
        <v>1.3127131839578612</v>
      </c>
      <c r="GO47" s="12"/>
      <c r="GP47" s="716"/>
      <c r="GQ47" s="825"/>
    </row>
    <row r="48" spans="2:200" s="9" customFormat="1" ht="12.75">
      <c r="B48" s="15">
        <v>1999</v>
      </c>
      <c r="C48" s="34">
        <f>'AX2'!VC45/1000/1000/1000</f>
        <v>2110.683</v>
      </c>
      <c r="D48" s="34">
        <f>'AX2'!VD45/1000/1000/1000</f>
        <v>915.91099999999994</v>
      </c>
      <c r="E48" s="34">
        <f t="shared" si="4"/>
        <v>1194.7719999999999</v>
      </c>
      <c r="F48" s="54">
        <v>195.75181996957599</v>
      </c>
      <c r="G48" s="631">
        <f t="shared" si="5"/>
        <v>0.16051283268246719</v>
      </c>
      <c r="H48" s="14">
        <f t="shared" si="6"/>
        <v>999.02018003042394</v>
      </c>
      <c r="I48" s="13">
        <f>'AX2'!SY45/1000/1000/1000</f>
        <v>648.67600000000004</v>
      </c>
      <c r="J48" s="54">
        <f t="shared" si="7"/>
        <v>15.570487</v>
      </c>
      <c r="K48" s="34">
        <f t="shared" si="8"/>
        <v>530.52551299999993</v>
      </c>
      <c r="L48" s="14">
        <f t="shared" si="9"/>
        <v>334.77369303042389</v>
      </c>
      <c r="M48" s="13">
        <f t="shared" si="10"/>
        <v>1219.5399999999997</v>
      </c>
      <c r="N48" s="34">
        <f t="shared" si="11"/>
        <v>1023.7881800304237</v>
      </c>
      <c r="O48" s="34">
        <f t="shared" si="12"/>
        <v>530.52551299999993</v>
      </c>
      <c r="P48" s="34">
        <f t="shared" si="13"/>
        <v>334.77369303042394</v>
      </c>
      <c r="Q48" s="34">
        <f t="shared" si="29"/>
        <v>648.39400000000001</v>
      </c>
      <c r="R48" s="34">
        <f t="shared" si="26"/>
        <v>15.570487</v>
      </c>
      <c r="S48" s="14">
        <f>('AX2'!TS45-'AX2'!TT45)/1000/1000/1000</f>
        <v>25.05</v>
      </c>
      <c r="T48" s="13">
        <f>('AX2'!UA45)/1000/1000/1000</f>
        <v>4.4189999999999996</v>
      </c>
      <c r="U48" s="34">
        <f>'AX2'!UB45/1000/1000/1000</f>
        <v>16.363</v>
      </c>
      <c r="V48" s="34">
        <f t="shared" si="14"/>
        <v>1207.5959999999998</v>
      </c>
      <c r="W48" s="34">
        <f t="shared" si="15"/>
        <v>1011.8441800304238</v>
      </c>
      <c r="X48" s="13">
        <f>'AX2'!VG45/1000/1000/1000</f>
        <v>885.24099999999999</v>
      </c>
      <c r="Y48" s="34">
        <f t="shared" si="16"/>
        <v>119.99299999999999</v>
      </c>
      <c r="Z48" s="125">
        <f t="shared" si="17"/>
        <v>765.24800000000005</v>
      </c>
      <c r="AA48" s="34">
        <f t="shared" si="18"/>
        <v>322.35499999999979</v>
      </c>
      <c r="AB48" s="34">
        <f t="shared" si="19"/>
        <v>126.6031800304238</v>
      </c>
      <c r="AC48" s="34">
        <f t="shared" si="44"/>
        <v>375.35097133955435</v>
      </c>
      <c r="AD48" s="34">
        <f t="shared" si="45"/>
        <v>179.59915136997836</v>
      </c>
      <c r="AE48" s="781">
        <v>0.31416117162065599</v>
      </c>
      <c r="AF48" s="10">
        <f>'AX2'!UE45</f>
        <v>0</v>
      </c>
      <c r="AG48" s="10">
        <f t="shared" si="20"/>
        <v>321.22299999999996</v>
      </c>
      <c r="AH48" s="10">
        <v>331.83499999999998</v>
      </c>
      <c r="AI48" s="790">
        <v>261.85899999999998</v>
      </c>
      <c r="AJ48" s="790">
        <v>69.975999999999999</v>
      </c>
      <c r="AK48" s="10">
        <f>'AX2'!VI45/1000/1000/1000</f>
        <v>-10.612</v>
      </c>
      <c r="AL48" s="10">
        <f>'AX2'!VA45/1000/1000/1000</f>
        <v>0</v>
      </c>
      <c r="AM48" s="10">
        <f>'AX2'!VL45/1000/1000/1000</f>
        <v>0</v>
      </c>
      <c r="AN48" s="10">
        <f t="shared" si="21"/>
        <v>1.1319999999998345</v>
      </c>
      <c r="AO48" s="94"/>
      <c r="AP48" s="11"/>
      <c r="AQ48" s="11"/>
      <c r="AR48" s="11"/>
      <c r="AS48" s="149"/>
      <c r="AT48" s="153"/>
      <c r="AU48" s="102"/>
      <c r="AV48" s="102"/>
      <c r="AW48" s="102"/>
      <c r="AX48" s="103"/>
      <c r="AY48" s="11"/>
      <c r="AZ48" s="10"/>
      <c r="BA48" s="11"/>
      <c r="BB48" s="11"/>
      <c r="BC48" s="10"/>
      <c r="BD48" s="10"/>
      <c r="BE48" s="13"/>
      <c r="BF48" s="34"/>
      <c r="BG48" s="10"/>
      <c r="BH48" s="34"/>
      <c r="BI48" s="34"/>
      <c r="BJ48" s="102"/>
      <c r="BK48" s="103"/>
      <c r="BL48" s="10">
        <f>'AX2'!IF45/1000/1000/1000</f>
        <v>708.06700000000001</v>
      </c>
      <c r="BM48" s="11"/>
      <c r="BN48" s="11"/>
      <c r="BO48" s="12"/>
      <c r="BP48" s="10"/>
      <c r="BQ48" s="10"/>
      <c r="BR48" s="10"/>
      <c r="BS48" s="13"/>
      <c r="BT48" s="34"/>
      <c r="BU48" s="34"/>
      <c r="BV48" s="14"/>
      <c r="BW48" s="10"/>
      <c r="BX48" s="10"/>
      <c r="BY48" s="10"/>
      <c r="BZ48" s="10"/>
      <c r="CA48" s="10"/>
      <c r="CB48" s="10"/>
      <c r="CC48" s="13"/>
      <c r="CD48" s="34"/>
      <c r="CE48" s="34"/>
      <c r="CF48" s="34"/>
      <c r="CG48" s="34"/>
      <c r="CH48" s="34"/>
      <c r="CI48" s="34"/>
      <c r="CJ48" s="13">
        <f>'AX2'!KU45/1000/1000/1000</f>
        <v>119.99299999999999</v>
      </c>
      <c r="CK48" s="34"/>
      <c r="CL48" s="14"/>
      <c r="CM48" s="116"/>
      <c r="CN48" s="10"/>
      <c r="CO48" s="10"/>
      <c r="CP48" s="10"/>
      <c r="CQ48" s="13"/>
      <c r="CR48" s="34"/>
      <c r="CS48" s="125"/>
      <c r="CT48" s="14"/>
      <c r="CU48" s="10"/>
      <c r="CV48" s="10"/>
      <c r="CW48" s="10"/>
      <c r="CX48" s="10"/>
      <c r="CY48" s="10"/>
      <c r="CZ48" s="13"/>
      <c r="DA48" s="34"/>
      <c r="DB48" s="34"/>
      <c r="DC48" s="34"/>
      <c r="DD48" s="14"/>
      <c r="DE48" s="13"/>
      <c r="DF48" s="14"/>
      <c r="DG48" s="116"/>
      <c r="DH48" s="10"/>
      <c r="DI48" s="10"/>
      <c r="DJ48" s="10"/>
      <c r="DK48" s="13"/>
      <c r="DL48" s="34"/>
      <c r="DM48" s="34"/>
      <c r="DN48" s="14"/>
      <c r="DO48" s="10"/>
      <c r="DP48" s="10"/>
      <c r="DQ48" s="10"/>
      <c r="DR48" s="10"/>
      <c r="DS48" s="10"/>
      <c r="DT48" s="13"/>
      <c r="DU48" s="34"/>
      <c r="DV48" s="34"/>
      <c r="DW48" s="34"/>
      <c r="DX48" s="14"/>
      <c r="DY48" s="13"/>
      <c r="DZ48" s="14"/>
      <c r="EA48" s="116"/>
      <c r="EB48" s="10"/>
      <c r="EC48" s="10"/>
      <c r="ED48" s="10"/>
      <c r="EE48" s="13"/>
      <c r="EF48" s="34"/>
      <c r="EG48" s="34"/>
      <c r="EH48" s="14"/>
      <c r="EI48" s="10"/>
      <c r="EJ48" s="10"/>
      <c r="EK48" s="10"/>
      <c r="EL48" s="10"/>
      <c r="EM48" s="10"/>
      <c r="EN48" s="13"/>
      <c r="EO48" s="34"/>
      <c r="EP48" s="34"/>
      <c r="EQ48" s="34"/>
      <c r="ER48" s="14"/>
      <c r="ES48" s="13"/>
      <c r="ET48" s="14"/>
      <c r="EU48" s="116"/>
      <c r="EV48" s="10">
        <f>'AX2'!SF45/1000/1000/1000</f>
        <v>1558.674</v>
      </c>
      <c r="EW48" s="10">
        <f>'AX2'!SC45/1000/1000/1000</f>
        <v>1625.385</v>
      </c>
      <c r="EX48" s="10">
        <f t="shared" si="43"/>
        <v>66.711000000000013</v>
      </c>
      <c r="EY48" s="10">
        <f>'AX2'!QC45/1000/1000/1000</f>
        <v>1.296</v>
      </c>
      <c r="EZ48" s="10">
        <f>'AX2'!QD45/1000/1000/1000</f>
        <v>1.014</v>
      </c>
      <c r="FA48" s="10">
        <f t="shared" si="39"/>
        <v>329.976</v>
      </c>
      <c r="FB48" s="10">
        <v>197.09399999999999</v>
      </c>
      <c r="FC48" s="10">
        <v>25.41</v>
      </c>
      <c r="FD48" s="10">
        <v>107.47199999999999</v>
      </c>
      <c r="FE48" s="10"/>
      <c r="FF48" s="10">
        <f t="shared" si="40"/>
        <v>364.75300000000004</v>
      </c>
      <c r="FG48" s="10">
        <v>136.45400000000001</v>
      </c>
      <c r="FH48" s="10">
        <v>86.290999999999997</v>
      </c>
      <c r="FI48" s="10">
        <v>142.00800000000001</v>
      </c>
      <c r="FJ48" s="10"/>
      <c r="FK48" s="10">
        <f>'AX2'!RA45/1000/1000/1000</f>
        <v>16.363</v>
      </c>
      <c r="FL48" s="10">
        <f>'AX2'!RB45/1000/1000/1000</f>
        <v>4.4189999999999996</v>
      </c>
      <c r="FM48" s="686">
        <f t="shared" si="41"/>
        <v>0.3223088588405017</v>
      </c>
      <c r="FN48" s="686">
        <f t="shared" si="42"/>
        <v>1.5876184465732928</v>
      </c>
      <c r="FQ48" s="12"/>
      <c r="FR48" s="259">
        <v>7.7709999999999999</v>
      </c>
      <c r="FS48" s="69">
        <v>79.5</v>
      </c>
      <c r="FT48" s="780">
        <f t="shared" si="30"/>
        <v>-4.1013268998793762E-2</v>
      </c>
      <c r="FU48" s="780">
        <f t="shared" si="27"/>
        <v>0.76589595375722541</v>
      </c>
      <c r="FV48" s="780">
        <f t="shared" si="31"/>
        <v>3.6467889908256876</v>
      </c>
      <c r="FW48" s="781">
        <f t="shared" si="32"/>
        <v>0.95898673100120624</v>
      </c>
      <c r="FX48" s="9">
        <v>100</v>
      </c>
      <c r="FY48" s="161">
        <f t="shared" si="22"/>
        <v>0.34952813701502966</v>
      </c>
      <c r="FZ48" s="161">
        <f t="shared" si="23"/>
        <v>0.45636503927245381</v>
      </c>
      <c r="GA48" s="625">
        <f t="shared" si="35"/>
        <v>1.2733271471285699</v>
      </c>
      <c r="GB48" s="637">
        <v>2.3638554216867469</v>
      </c>
      <c r="GC48" s="475">
        <f t="shared" si="24"/>
        <v>0.53723986856516981</v>
      </c>
      <c r="GD48" s="806">
        <f t="shared" si="25"/>
        <v>0.70145280952282552</v>
      </c>
      <c r="GE48" s="806">
        <f t="shared" si="33"/>
        <v>0.64820186406001379</v>
      </c>
      <c r="GF48" s="814">
        <v>16962</v>
      </c>
      <c r="GG48" s="820">
        <f t="shared" si="28"/>
        <v>213.35849056603774</v>
      </c>
      <c r="GH48" s="806">
        <f t="shared" si="36"/>
        <v>3.7562043599295309</v>
      </c>
      <c r="GI48" s="806">
        <v>0.13</v>
      </c>
      <c r="GJ48" s="806">
        <v>6.1799999999999994E-2</v>
      </c>
      <c r="GK48" s="806">
        <v>8.8300000000000003E-2</v>
      </c>
      <c r="GL48" s="806">
        <f t="shared" si="37"/>
        <v>-4.1013268998793762E-2</v>
      </c>
      <c r="GM48" s="806">
        <f t="shared" si="34"/>
        <v>0.13484364779874225</v>
      </c>
      <c r="GN48" s="806">
        <f t="shared" si="38"/>
        <v>1.4897242181962405</v>
      </c>
      <c r="GO48" s="12"/>
      <c r="GP48" s="716"/>
      <c r="GQ48" s="825"/>
    </row>
    <row r="49" spans="2:200" s="9" customFormat="1" ht="12.75">
      <c r="B49" s="15">
        <v>2000</v>
      </c>
      <c r="C49" s="34">
        <f>'AX2'!VC46/1000/1000/1000</f>
        <v>2681.2829999999999</v>
      </c>
      <c r="D49" s="34">
        <f>'AX2'!VD46/1000/1000/1000</f>
        <v>1398.248</v>
      </c>
      <c r="E49" s="34">
        <f t="shared" ref="E49:E65" si="46">C49-D49</f>
        <v>1283.0349999999999</v>
      </c>
      <c r="F49" s="54">
        <v>194.09589556714602</v>
      </c>
      <c r="G49" s="631">
        <f t="shared" si="5"/>
        <v>0.15002221826348203</v>
      </c>
      <c r="H49" s="14">
        <f t="shared" ref="H49:H68" si="47">E49-F49</f>
        <v>1088.9391044328538</v>
      </c>
      <c r="I49" s="13">
        <f>'AX2'!SY46/1000/1000/1000</f>
        <v>663.10599999999999</v>
      </c>
      <c r="J49" s="54">
        <f t="shared" si="7"/>
        <v>23.770216000000001</v>
      </c>
      <c r="K49" s="34">
        <f t="shared" si="8"/>
        <v>596.15878399999986</v>
      </c>
      <c r="L49" s="14">
        <f t="shared" si="9"/>
        <v>402.06288843285381</v>
      </c>
      <c r="M49" s="13">
        <f t="shared" si="10"/>
        <v>1293.7809999999997</v>
      </c>
      <c r="N49" s="34">
        <f t="shared" si="11"/>
        <v>1099.6851044328537</v>
      </c>
      <c r="O49" s="34">
        <f t="shared" si="12"/>
        <v>596.15878399999986</v>
      </c>
      <c r="P49" s="34">
        <f t="shared" si="13"/>
        <v>402.06288843285381</v>
      </c>
      <c r="Q49" s="34">
        <f t="shared" si="29"/>
        <v>662.40700000000004</v>
      </c>
      <c r="R49" s="34">
        <f t="shared" si="26"/>
        <v>23.770216000000001</v>
      </c>
      <c r="S49" s="14">
        <f>('AX2'!TS46-'AX2'!TT46)/1000/1000/1000</f>
        <v>11.445</v>
      </c>
      <c r="T49" s="13">
        <f>('AX2'!UA46)/1000/1000/1000</f>
        <v>4.1929999999999996</v>
      </c>
      <c r="U49" s="34">
        <f>'AX2'!UB46/1000/1000/1000</f>
        <v>15.115</v>
      </c>
      <c r="V49" s="34">
        <f t="shared" si="14"/>
        <v>1282.8589999999997</v>
      </c>
      <c r="W49" s="34">
        <f t="shared" si="15"/>
        <v>1088.7631044328537</v>
      </c>
      <c r="X49" s="13">
        <f>'AX2'!VG46/1000/1000/1000</f>
        <v>909.61699999999996</v>
      </c>
      <c r="Y49" s="34">
        <f t="shared" ref="Y49:Y65" si="48">CJ49</f>
        <v>125.294</v>
      </c>
      <c r="Z49" s="125">
        <f t="shared" ref="Z49:Z65" si="49">X49-Y49</f>
        <v>784.32299999999998</v>
      </c>
      <c r="AA49" s="34">
        <f t="shared" ref="AA49:AA65" si="50">V49-X49</f>
        <v>373.24199999999973</v>
      </c>
      <c r="AB49" s="34">
        <f t="shared" ref="AB49:AB65" si="51">W49-X49</f>
        <v>179.14610443285369</v>
      </c>
      <c r="AC49" s="34">
        <f t="shared" si="44"/>
        <v>410.28954439959358</v>
      </c>
      <c r="AD49" s="34">
        <f t="shared" si="45"/>
        <v>216.19364883244756</v>
      </c>
      <c r="AE49" s="781">
        <v>0.31978047707162599</v>
      </c>
      <c r="AF49" s="10">
        <f>'AX2'!UE46</f>
        <v>0</v>
      </c>
      <c r="AG49" s="10">
        <f t="shared" si="20"/>
        <v>368.91500000000002</v>
      </c>
      <c r="AH49" s="10">
        <v>354.51600000000002</v>
      </c>
      <c r="AI49" s="790">
        <v>289.19900000000001</v>
      </c>
      <c r="AJ49" s="790">
        <v>65.316999999999993</v>
      </c>
      <c r="AK49" s="10">
        <f>'AX2'!VI46/1000/1000/1000</f>
        <v>14.398999999999999</v>
      </c>
      <c r="AL49" s="10">
        <f>'AX2'!VA46/1000/1000/1000</f>
        <v>0</v>
      </c>
      <c r="AM49" s="10">
        <f>'AX2'!VL46/1000/1000/1000</f>
        <v>0</v>
      </c>
      <c r="AN49" s="10">
        <f t="shared" si="21"/>
        <v>4.326999999999714</v>
      </c>
      <c r="AO49" s="94"/>
      <c r="AP49" s="11"/>
      <c r="AQ49" s="11"/>
      <c r="AR49" s="11"/>
      <c r="AS49" s="149"/>
      <c r="AT49" s="153"/>
      <c r="AU49" s="102"/>
      <c r="AV49" s="102"/>
      <c r="AW49" s="102"/>
      <c r="AX49" s="103"/>
      <c r="AY49" s="11"/>
      <c r="AZ49" s="10"/>
      <c r="BA49" s="11"/>
      <c r="BB49" s="11"/>
      <c r="BC49" s="10"/>
      <c r="BD49" s="10"/>
      <c r="BE49" s="13"/>
      <c r="BF49" s="34"/>
      <c r="BG49" s="10"/>
      <c r="BH49" s="34"/>
      <c r="BI49" s="34"/>
      <c r="BJ49" s="102"/>
      <c r="BK49" s="103"/>
      <c r="BL49" s="10">
        <f>'AX2'!IF46/1000/1000/1000</f>
        <v>740.80600000000004</v>
      </c>
      <c r="BM49" s="11"/>
      <c r="BN49" s="11"/>
      <c r="BO49" s="12"/>
      <c r="BP49" s="10"/>
      <c r="BQ49" s="10"/>
      <c r="BR49" s="10"/>
      <c r="BS49" s="13"/>
      <c r="BT49" s="34"/>
      <c r="BU49" s="34"/>
      <c r="BV49" s="14"/>
      <c r="BW49" s="10"/>
      <c r="BX49" s="10"/>
      <c r="BY49" s="10"/>
      <c r="BZ49" s="10"/>
      <c r="CA49" s="10"/>
      <c r="CB49" s="10"/>
      <c r="CC49" s="13"/>
      <c r="CD49" s="34"/>
      <c r="CE49" s="34"/>
      <c r="CF49" s="34"/>
      <c r="CG49" s="34"/>
      <c r="CH49" s="34"/>
      <c r="CI49" s="34"/>
      <c r="CJ49" s="13">
        <f>'AX2'!KU46/1000/1000/1000</f>
        <v>125.294</v>
      </c>
      <c r="CK49" s="34"/>
      <c r="CL49" s="14"/>
      <c r="CM49" s="116"/>
      <c r="CN49" s="10"/>
      <c r="CO49" s="10"/>
      <c r="CP49" s="10"/>
      <c r="CQ49" s="13"/>
      <c r="CR49" s="34"/>
      <c r="CS49" s="125"/>
      <c r="CT49" s="14"/>
      <c r="CU49" s="10"/>
      <c r="CV49" s="10"/>
      <c r="CW49" s="10"/>
      <c r="CX49" s="10"/>
      <c r="CY49" s="10"/>
      <c r="CZ49" s="13"/>
      <c r="DA49" s="34"/>
      <c r="DB49" s="34"/>
      <c r="DC49" s="34"/>
      <c r="DD49" s="14"/>
      <c r="DE49" s="13"/>
      <c r="DF49" s="14"/>
      <c r="DG49" s="116"/>
      <c r="DH49" s="10"/>
      <c r="DI49" s="10"/>
      <c r="DJ49" s="10"/>
      <c r="DK49" s="13"/>
      <c r="DL49" s="34"/>
      <c r="DM49" s="34"/>
      <c r="DN49" s="14"/>
      <c r="DO49" s="10"/>
      <c r="DP49" s="10"/>
      <c r="DQ49" s="10"/>
      <c r="DR49" s="10"/>
      <c r="DS49" s="10"/>
      <c r="DT49" s="13"/>
      <c r="DU49" s="34"/>
      <c r="DV49" s="34"/>
      <c r="DW49" s="34"/>
      <c r="DX49" s="14"/>
      <c r="DY49" s="13"/>
      <c r="DZ49" s="14"/>
      <c r="EA49" s="116"/>
      <c r="EB49" s="10"/>
      <c r="EC49" s="10"/>
      <c r="ED49" s="10"/>
      <c r="EE49" s="13"/>
      <c r="EF49" s="34"/>
      <c r="EG49" s="34"/>
      <c r="EH49" s="14"/>
      <c r="EI49" s="10"/>
      <c r="EJ49" s="10"/>
      <c r="EK49" s="10"/>
      <c r="EL49" s="10"/>
      <c r="EM49" s="10"/>
      <c r="EN49" s="13"/>
      <c r="EO49" s="34"/>
      <c r="EP49" s="34"/>
      <c r="EQ49" s="34"/>
      <c r="ER49" s="14"/>
      <c r="ES49" s="13"/>
      <c r="ET49" s="14"/>
      <c r="EU49" s="116"/>
      <c r="EV49" s="10">
        <f>'AX2'!SF46/1000/1000/1000</f>
        <v>1626.703</v>
      </c>
      <c r="EW49" s="10">
        <f>'AX2'!SC46/1000/1000/1000</f>
        <v>1685.672</v>
      </c>
      <c r="EX49" s="10">
        <f t="shared" si="43"/>
        <v>58.969000000000051</v>
      </c>
      <c r="EY49" s="10">
        <f>'AX2'!QC46/1000/1000/1000</f>
        <v>1.7549999999999999</v>
      </c>
      <c r="EZ49" s="10">
        <f>'AX2'!QD46/1000/1000/1000</f>
        <v>1.056</v>
      </c>
      <c r="FA49" s="10">
        <f t="shared" si="39"/>
        <v>394.95299999999997</v>
      </c>
      <c r="FB49" s="10">
        <v>266.32400000000001</v>
      </c>
      <c r="FC49" s="10">
        <v>26.9</v>
      </c>
      <c r="FD49" s="10">
        <v>101.729</v>
      </c>
      <c r="FE49" s="10"/>
      <c r="FF49" s="10">
        <f t="shared" si="40"/>
        <v>416.721</v>
      </c>
      <c r="FG49" s="10">
        <v>153.84800000000001</v>
      </c>
      <c r="FH49" s="10">
        <v>95.085999999999999</v>
      </c>
      <c r="FI49" s="10">
        <v>167.78700000000001</v>
      </c>
      <c r="FJ49" s="10"/>
      <c r="FK49" s="10">
        <f>'AX2'!RA46/1000/1000/1000</f>
        <v>15.115</v>
      </c>
      <c r="FL49" s="10">
        <f>'AX2'!RB46/1000/1000/1000</f>
        <v>4.1929999999999996</v>
      </c>
      <c r="FM49" s="686">
        <f t="shared" si="41"/>
        <v>0.35915099550583723</v>
      </c>
      <c r="FN49" s="686">
        <f t="shared" si="42"/>
        <v>1.5328679030069798</v>
      </c>
      <c r="FQ49" s="12"/>
      <c r="FR49" s="259">
        <v>7.7960000000000003</v>
      </c>
      <c r="FS49" s="69">
        <v>77.900000000000006</v>
      </c>
      <c r="FT49" s="780">
        <f t="shared" si="30"/>
        <v>-2.0125786163521897E-2</v>
      </c>
      <c r="FU49" s="780">
        <f t="shared" si="27"/>
        <v>0.75048169556840083</v>
      </c>
      <c r="FV49" s="780">
        <f t="shared" si="31"/>
        <v>3.573394495412844</v>
      </c>
      <c r="FW49" s="781">
        <f t="shared" si="32"/>
        <v>0.9798742138364781</v>
      </c>
      <c r="FX49" s="9">
        <v>89.6</v>
      </c>
      <c r="FY49" s="161">
        <f t="shared" si="22"/>
        <v>0.31317721076546656</v>
      </c>
      <c r="FZ49" s="161">
        <f t="shared" si="23"/>
        <v>0.41730159791342009</v>
      </c>
      <c r="GA49" s="625">
        <f t="shared" si="35"/>
        <v>1.1643342662934824</v>
      </c>
      <c r="GB49" s="637">
        <v>2.2987951807228919</v>
      </c>
      <c r="GC49" s="475">
        <f t="shared" si="24"/>
        <v>0.52245345016429368</v>
      </c>
      <c r="GD49" s="806">
        <f t="shared" si="25"/>
        <v>0.6961574855847712</v>
      </c>
      <c r="GE49" s="806">
        <f t="shared" si="33"/>
        <v>0.64330853581205449</v>
      </c>
      <c r="GF49" s="814">
        <v>15096</v>
      </c>
      <c r="GG49" s="820">
        <f t="shared" si="28"/>
        <v>193.78690629011552</v>
      </c>
      <c r="GH49" s="806">
        <f t="shared" si="36"/>
        <v>3.4116440380369588</v>
      </c>
      <c r="GI49" s="806">
        <v>0.19</v>
      </c>
      <c r="GJ49" s="806">
        <v>5.4000000000000006E-2</v>
      </c>
      <c r="GK49" s="806">
        <v>8.5000000000000006E-2</v>
      </c>
      <c r="GL49" s="806">
        <f t="shared" si="37"/>
        <v>-2.0125786163521897E-2</v>
      </c>
      <c r="GM49" s="806">
        <f t="shared" si="34"/>
        <v>0.10728498074454418</v>
      </c>
      <c r="GN49" s="806">
        <f t="shared" si="38"/>
        <v>1.6495492522601052</v>
      </c>
      <c r="GO49" s="12"/>
      <c r="GP49" s="716"/>
      <c r="GQ49" s="825"/>
    </row>
    <row r="50" spans="2:200" s="9" customFormat="1" ht="12.75">
      <c r="B50" s="15">
        <v>2001</v>
      </c>
      <c r="C50" s="34">
        <f>'AX2'!VC47/1000/1000/1000</f>
        <v>2604.2399999999998</v>
      </c>
      <c r="D50" s="34">
        <f>'AX2'!VD47/1000/1000/1000</f>
        <v>1334.25</v>
      </c>
      <c r="E50" s="34">
        <f t="shared" si="46"/>
        <v>1269.9899999999998</v>
      </c>
      <c r="F50" s="54">
        <v>196.76585043813</v>
      </c>
      <c r="G50" s="631">
        <f t="shared" si="5"/>
        <v>0.15130666944376692</v>
      </c>
      <c r="H50" s="14">
        <f t="shared" si="47"/>
        <v>1073.2241495618698</v>
      </c>
      <c r="I50" s="13">
        <f>'AX2'!SY47/1000/1000/1000</f>
        <v>668.976</v>
      </c>
      <c r="J50" s="54">
        <f>1.7%*D50</f>
        <v>22.682250000000003</v>
      </c>
      <c r="K50" s="34">
        <f t="shared" si="8"/>
        <v>578.33174999999983</v>
      </c>
      <c r="L50" s="14">
        <f t="shared" si="9"/>
        <v>381.5658995618698</v>
      </c>
      <c r="M50" s="13">
        <f t="shared" si="10"/>
        <v>1300.444</v>
      </c>
      <c r="N50" s="34">
        <f t="shared" si="11"/>
        <v>1103.67814956187</v>
      </c>
      <c r="O50" s="34">
        <f t="shared" si="12"/>
        <v>578.33174999999983</v>
      </c>
      <c r="P50" s="34">
        <f t="shared" si="13"/>
        <v>381.56589956186986</v>
      </c>
      <c r="Q50" s="34">
        <f t="shared" si="29"/>
        <v>667.76100000000008</v>
      </c>
      <c r="R50" s="34">
        <f t="shared" si="26"/>
        <v>22.682250000000003</v>
      </c>
      <c r="S50" s="14">
        <f>('AX2'!TS47-'AX2'!TT47)/1000/1000/1000</f>
        <v>31.669</v>
      </c>
      <c r="T50" s="13">
        <f>('AX2'!UA47)/1000/1000/1000</f>
        <v>4.7190000000000003</v>
      </c>
      <c r="U50" s="34">
        <f>'AX2'!UB47/1000/1000/1000</f>
        <v>16.094999999999999</v>
      </c>
      <c r="V50" s="34">
        <f t="shared" si="14"/>
        <v>1289.068</v>
      </c>
      <c r="W50" s="34">
        <f t="shared" si="15"/>
        <v>1092.30214956187</v>
      </c>
      <c r="X50" s="13">
        <f>'AX2'!VG47/1000/1000/1000</f>
        <v>922.4</v>
      </c>
      <c r="Y50" s="34">
        <f t="shared" si="48"/>
        <v>134.80600000000001</v>
      </c>
      <c r="Z50" s="125">
        <f t="shared" si="49"/>
        <v>787.59399999999994</v>
      </c>
      <c r="AA50" s="34">
        <f t="shared" si="50"/>
        <v>366.66800000000001</v>
      </c>
      <c r="AB50" s="34">
        <f t="shared" si="51"/>
        <v>169.90214956187003</v>
      </c>
      <c r="AC50" s="34">
        <f t="shared" si="44"/>
        <v>401.64181306228403</v>
      </c>
      <c r="AD50" s="34">
        <f t="shared" si="45"/>
        <v>204.87596262415403</v>
      </c>
      <c r="AE50" s="781">
        <v>0.31625588631586399</v>
      </c>
      <c r="AF50" s="10">
        <f>'AX2'!UE47</f>
        <v>0</v>
      </c>
      <c r="AG50" s="10">
        <f t="shared" si="20"/>
        <v>336.77499999999998</v>
      </c>
      <c r="AH50" s="10">
        <v>340.83499999999998</v>
      </c>
      <c r="AI50" s="790">
        <v>277.98399999999998</v>
      </c>
      <c r="AJ50" s="790">
        <v>62.850999999999999</v>
      </c>
      <c r="AK50" s="10">
        <f>'AX2'!VI47/1000/1000/1000</f>
        <v>-4.0599999999999996</v>
      </c>
      <c r="AL50" s="10">
        <f>'AX2'!VA47/1000/1000/1000</f>
        <v>0</v>
      </c>
      <c r="AM50" s="10">
        <f>'AX2'!VL47/1000/1000/1000</f>
        <v>0</v>
      </c>
      <c r="AN50" s="10">
        <f t="shared" si="21"/>
        <v>29.893000000000029</v>
      </c>
      <c r="AO50" s="94"/>
      <c r="AP50" s="11"/>
      <c r="AQ50" s="11"/>
      <c r="AR50" s="11"/>
      <c r="AS50" s="149"/>
      <c r="AT50" s="153"/>
      <c r="AU50" s="102"/>
      <c r="AV50" s="102"/>
      <c r="AW50" s="102"/>
      <c r="AX50" s="103"/>
      <c r="AY50" s="11"/>
      <c r="AZ50" s="10"/>
      <c r="BA50" s="11"/>
      <c r="BB50" s="11"/>
      <c r="BC50" s="10"/>
      <c r="BD50" s="10"/>
      <c r="BE50" s="13"/>
      <c r="BF50" s="34"/>
      <c r="BG50" s="10"/>
      <c r="BH50" s="34"/>
      <c r="BI50" s="34"/>
      <c r="BJ50" s="102"/>
      <c r="BK50" s="103"/>
      <c r="BL50" s="10">
        <f>'AX2'!IF47/1000/1000/1000</f>
        <v>741.02200000000005</v>
      </c>
      <c r="BM50" s="11"/>
      <c r="BN50" s="11"/>
      <c r="BO50" s="12"/>
      <c r="BP50" s="10"/>
      <c r="BQ50" s="10"/>
      <c r="BR50" s="10"/>
      <c r="BS50" s="13"/>
      <c r="BT50" s="34"/>
      <c r="BU50" s="34"/>
      <c r="BV50" s="14"/>
      <c r="BW50" s="10"/>
      <c r="BX50" s="10"/>
      <c r="BY50" s="10"/>
      <c r="BZ50" s="10"/>
      <c r="CA50" s="10"/>
      <c r="CB50" s="10"/>
      <c r="CC50" s="13"/>
      <c r="CD50" s="34"/>
      <c r="CE50" s="34"/>
      <c r="CF50" s="34"/>
      <c r="CG50" s="34"/>
      <c r="CH50" s="34"/>
      <c r="CI50" s="34"/>
      <c r="CJ50" s="13">
        <f>'AX2'!KU47/1000/1000/1000</f>
        <v>134.80600000000001</v>
      </c>
      <c r="CK50" s="34"/>
      <c r="CL50" s="14"/>
      <c r="CM50" s="116"/>
      <c r="CN50" s="10"/>
      <c r="CO50" s="10"/>
      <c r="CP50" s="10"/>
      <c r="CQ50" s="13"/>
      <c r="CR50" s="34"/>
      <c r="CS50" s="125"/>
      <c r="CT50" s="14"/>
      <c r="CU50" s="10"/>
      <c r="CV50" s="10"/>
      <c r="CW50" s="10"/>
      <c r="CX50" s="10"/>
      <c r="CY50" s="10"/>
      <c r="CZ50" s="13"/>
      <c r="DA50" s="34"/>
      <c r="DB50" s="34"/>
      <c r="DC50" s="34"/>
      <c r="DD50" s="14"/>
      <c r="DE50" s="13"/>
      <c r="DF50" s="14"/>
      <c r="DG50" s="116"/>
      <c r="DH50" s="10"/>
      <c r="DI50" s="10"/>
      <c r="DJ50" s="10"/>
      <c r="DK50" s="13"/>
      <c r="DL50" s="34"/>
      <c r="DM50" s="34"/>
      <c r="DN50" s="14"/>
      <c r="DO50" s="10"/>
      <c r="DP50" s="10"/>
      <c r="DQ50" s="10"/>
      <c r="DR50" s="10"/>
      <c r="DS50" s="10"/>
      <c r="DT50" s="13"/>
      <c r="DU50" s="34"/>
      <c r="DV50" s="34"/>
      <c r="DW50" s="34"/>
      <c r="DX50" s="14"/>
      <c r="DY50" s="13"/>
      <c r="DZ50" s="14"/>
      <c r="EA50" s="116"/>
      <c r="EB50" s="10"/>
      <c r="EC50" s="10"/>
      <c r="ED50" s="10"/>
      <c r="EE50" s="13"/>
      <c r="EF50" s="34"/>
      <c r="EG50" s="34"/>
      <c r="EH50" s="14"/>
      <c r="EI50" s="10"/>
      <c r="EJ50" s="10"/>
      <c r="EK50" s="10"/>
      <c r="EL50" s="10"/>
      <c r="EM50" s="10"/>
      <c r="EN50" s="13"/>
      <c r="EO50" s="34"/>
      <c r="EP50" s="34"/>
      <c r="EQ50" s="34"/>
      <c r="ER50" s="14"/>
      <c r="ES50" s="13"/>
      <c r="ET50" s="14"/>
      <c r="EU50" s="116"/>
      <c r="EV50" s="10">
        <f>'AX2'!SF47/1000/1000/1000</f>
        <v>1559.9949999999999</v>
      </c>
      <c r="EW50" s="10">
        <f>'AX2'!SC47/1000/1000/1000</f>
        <v>1621.962</v>
      </c>
      <c r="EX50" s="10">
        <f t="shared" si="43"/>
        <v>61.967000000000098</v>
      </c>
      <c r="EY50" s="10">
        <f>'AX2'!QC47/1000/1000/1000</f>
        <v>2.4049999999999998</v>
      </c>
      <c r="EZ50" s="10">
        <f>'AX2'!QD47/1000/1000/1000</f>
        <v>1.19</v>
      </c>
      <c r="FA50" s="10">
        <f t="shared" si="39"/>
        <v>343.39100000000002</v>
      </c>
      <c r="FB50" s="10">
        <v>244.83799999999999</v>
      </c>
      <c r="FC50" s="10">
        <v>26.835000000000001</v>
      </c>
      <c r="FD50" s="10">
        <v>71.718000000000004</v>
      </c>
      <c r="FE50" s="10"/>
      <c r="FF50" s="10">
        <f t="shared" si="40"/>
        <v>384.56500000000005</v>
      </c>
      <c r="FG50" s="10">
        <v>168.49700000000001</v>
      </c>
      <c r="FH50" s="10">
        <v>96.337999999999994</v>
      </c>
      <c r="FI50" s="10">
        <v>119.73</v>
      </c>
      <c r="FJ50" s="10"/>
      <c r="FK50" s="10">
        <f>'AX2'!RA47/1000/1000/1000</f>
        <v>16.094999999999999</v>
      </c>
      <c r="FL50" s="10">
        <f>'AX2'!RB47/1000/1000/1000</f>
        <v>4.7190000000000003</v>
      </c>
      <c r="FM50" s="686">
        <f t="shared" si="41"/>
        <v>0.31113327751964359</v>
      </c>
      <c r="FN50" s="686">
        <f t="shared" si="42"/>
        <v>1.4695969116031466</v>
      </c>
      <c r="FQ50" s="12"/>
      <c r="FR50" s="259">
        <v>7.7969999999999997</v>
      </c>
      <c r="FS50" s="69">
        <v>75.099999999999994</v>
      </c>
      <c r="FT50" s="780">
        <f t="shared" si="30"/>
        <v>-3.5943517329910302E-2</v>
      </c>
      <c r="FU50" s="780">
        <f t="shared" si="27"/>
        <v>0.72350674373795754</v>
      </c>
      <c r="FV50" s="780">
        <f t="shared" si="31"/>
        <v>3.4449541284403664</v>
      </c>
      <c r="FW50" s="781">
        <f t="shared" si="32"/>
        <v>0.9640564826700897</v>
      </c>
      <c r="FX50" s="9">
        <v>78.7</v>
      </c>
      <c r="FY50" s="161">
        <f t="shared" si="22"/>
        <v>0.27507864383082836</v>
      </c>
      <c r="FZ50" s="161">
        <f t="shared" si="23"/>
        <v>0.38020190718561903</v>
      </c>
      <c r="GA50" s="625">
        <f t="shared" si="35"/>
        <v>1.0608205452838841</v>
      </c>
      <c r="GB50" s="637">
        <v>2.0096385542168678</v>
      </c>
      <c r="GC50" s="475">
        <f t="shared" si="24"/>
        <v>0.45673603504928817</v>
      </c>
      <c r="GD50" s="806">
        <f t="shared" si="25"/>
        <v>0.63128096455547422</v>
      </c>
      <c r="GE50" s="806">
        <f t="shared" si="33"/>
        <v>0.58335713025203362</v>
      </c>
      <c r="GF50" s="814">
        <v>11397</v>
      </c>
      <c r="GG50" s="820">
        <f t="shared" si="28"/>
        <v>151.75765645805595</v>
      </c>
      <c r="GH50" s="806">
        <f t="shared" si="36"/>
        <v>2.6717135527540852</v>
      </c>
      <c r="GI50" s="806">
        <v>0.186</v>
      </c>
      <c r="GJ50" s="806">
        <v>4.4199999999999996E-2</v>
      </c>
      <c r="GK50" s="806">
        <v>9.11E-2</v>
      </c>
      <c r="GL50" s="806">
        <f t="shared" si="37"/>
        <v>-3.5943517329910302E-2</v>
      </c>
      <c r="GM50" s="806">
        <f t="shared" si="34"/>
        <v>0.13178015978695079</v>
      </c>
      <c r="GN50" s="806">
        <f t="shared" si="38"/>
        <v>1.866927116299387</v>
      </c>
      <c r="GO50" s="12"/>
      <c r="GP50" s="716"/>
      <c r="GQ50" s="825"/>
    </row>
    <row r="51" spans="2:200" s="9" customFormat="1" ht="13.5">
      <c r="B51" s="15">
        <v>2002</v>
      </c>
      <c r="C51" s="34">
        <f>'AX2'!VC48/1000/1000/1000</f>
        <v>2565.0050000000001</v>
      </c>
      <c r="D51" s="34">
        <f>'AX2'!VD48/1000/1000/1000</f>
        <v>1315.2239999999999</v>
      </c>
      <c r="E51" s="34">
        <f t="shared" si="46"/>
        <v>1249.7810000000002</v>
      </c>
      <c r="F51" s="54">
        <v>197.76509013011699</v>
      </c>
      <c r="G51" s="631">
        <f t="shared" si="5"/>
        <v>0.15718471282109492</v>
      </c>
      <c r="H51" s="14">
        <f t="shared" si="47"/>
        <v>1052.0159098698832</v>
      </c>
      <c r="I51" s="13">
        <f>'AX2'!SY48/1000/1000/1000</f>
        <v>654.78</v>
      </c>
      <c r="J51" s="34">
        <v>16.891999999999999</v>
      </c>
      <c r="K51" s="34">
        <f t="shared" si="8"/>
        <v>578.10900000000015</v>
      </c>
      <c r="L51" s="14">
        <f t="shared" si="9"/>
        <v>380.34390986988325</v>
      </c>
      <c r="M51" s="13">
        <f t="shared" si="10"/>
        <v>1258.17</v>
      </c>
      <c r="N51" s="34">
        <f t="shared" si="11"/>
        <v>1060.4049098698831</v>
      </c>
      <c r="O51" s="34">
        <f t="shared" si="12"/>
        <v>578.10900000000015</v>
      </c>
      <c r="P51" s="34">
        <f t="shared" si="13"/>
        <v>380.34390986988319</v>
      </c>
      <c r="Q51" s="34">
        <f t="shared" si="29"/>
        <v>653.38900000000001</v>
      </c>
      <c r="R51" s="34">
        <f t="shared" si="26"/>
        <v>16.891999999999999</v>
      </c>
      <c r="S51" s="14">
        <f>('AX2'!TS48-'AX2'!TT48)/1000/1000/1000</f>
        <v>9.7799999999999994</v>
      </c>
      <c r="T51" s="13">
        <f>('AX2'!UA48)/1000/1000/1000</f>
        <v>6.0629999999999997</v>
      </c>
      <c r="U51" s="34">
        <f>'AX2'!UB48/1000/1000/1000</f>
        <v>17.885999999999999</v>
      </c>
      <c r="V51" s="34">
        <f t="shared" si="14"/>
        <v>1246.3470000000002</v>
      </c>
      <c r="W51" s="34">
        <f t="shared" si="15"/>
        <v>1048.5819098698832</v>
      </c>
      <c r="X51" s="13">
        <f>'AX2'!VG48/1000/1000/1000</f>
        <v>890.78</v>
      </c>
      <c r="Y51" s="34">
        <f t="shared" si="48"/>
        <v>137.97900000000001</v>
      </c>
      <c r="Z51" s="125">
        <f t="shared" si="49"/>
        <v>752.80099999999993</v>
      </c>
      <c r="AA51" s="34">
        <f t="shared" si="50"/>
        <v>355.56700000000023</v>
      </c>
      <c r="AB51" s="34">
        <f t="shared" si="51"/>
        <v>157.80190986988327</v>
      </c>
      <c r="AC51" s="34">
        <f t="shared" si="44"/>
        <v>388.3495132628575</v>
      </c>
      <c r="AD51" s="34">
        <f t="shared" si="45"/>
        <v>190.58442313274051</v>
      </c>
      <c r="AE51" s="781">
        <v>0.31073405121605902</v>
      </c>
      <c r="AF51" s="10">
        <f>'AX2'!UE48</f>
        <v>0</v>
      </c>
      <c r="AG51" s="10">
        <f t="shared" si="20"/>
        <v>300.73600000000005</v>
      </c>
      <c r="AH51" s="10">
        <v>295.07600000000002</v>
      </c>
      <c r="AI51" s="790">
        <v>236.60400000000001</v>
      </c>
      <c r="AJ51" s="790">
        <v>58.472000000000001</v>
      </c>
      <c r="AK51" s="10">
        <f>'AX2'!VI48/1000/1000/1000</f>
        <v>5.66</v>
      </c>
      <c r="AL51" s="10">
        <f>'AX2'!VA48/1000/1000/1000</f>
        <v>0</v>
      </c>
      <c r="AM51" s="10">
        <f>'AX2'!VL48/1000/1000/1000</f>
        <v>0</v>
      </c>
      <c r="AN51" s="10">
        <f t="shared" si="21"/>
        <v>54.831000000000188</v>
      </c>
      <c r="AO51" s="94"/>
      <c r="AP51" s="11"/>
      <c r="AQ51" s="11"/>
      <c r="AR51" s="11"/>
      <c r="AS51" s="149"/>
      <c r="AT51" s="153"/>
      <c r="AU51" s="102"/>
      <c r="AV51" s="102"/>
      <c r="AW51" s="102"/>
      <c r="AX51" s="103"/>
      <c r="AY51" s="11"/>
      <c r="AZ51" s="10"/>
      <c r="BA51" s="11"/>
      <c r="BB51" s="11"/>
      <c r="BC51" s="10"/>
      <c r="BD51" s="10"/>
      <c r="BE51" s="13"/>
      <c r="BF51" s="34"/>
      <c r="BG51" s="10"/>
      <c r="BH51" s="34"/>
      <c r="BI51" s="34"/>
      <c r="BJ51" s="102"/>
      <c r="BK51" s="103"/>
      <c r="BL51" s="10">
        <f>'AX2'!IF48/1000/1000/1000</f>
        <v>706.48900000000003</v>
      </c>
      <c r="BM51" s="11"/>
      <c r="BN51" s="11"/>
      <c r="BO51" s="12"/>
      <c r="BP51" s="10"/>
      <c r="BQ51" s="10"/>
      <c r="BR51" s="10"/>
      <c r="BS51" s="13"/>
      <c r="BT51" s="34"/>
      <c r="BU51" s="34"/>
      <c r="BV51" s="14"/>
      <c r="BW51" s="10"/>
      <c r="BX51" s="10"/>
      <c r="BY51" s="10"/>
      <c r="BZ51" s="10"/>
      <c r="CA51" s="10"/>
      <c r="CB51" s="10"/>
      <c r="CC51" s="13"/>
      <c r="CD51" s="34"/>
      <c r="CE51" s="34"/>
      <c r="CF51" s="34"/>
      <c r="CG51" s="34"/>
      <c r="CH51" s="34"/>
      <c r="CI51" s="34"/>
      <c r="CJ51" s="13">
        <f>'AX2'!KU48/1000/1000/1000</f>
        <v>137.97900000000001</v>
      </c>
      <c r="CK51" s="34"/>
      <c r="CL51" s="14"/>
      <c r="CM51" s="116"/>
      <c r="CN51" s="10"/>
      <c r="CO51" s="10"/>
      <c r="CP51" s="10"/>
      <c r="CQ51" s="13"/>
      <c r="CR51" s="34"/>
      <c r="CS51" s="125"/>
      <c r="CT51" s="14"/>
      <c r="CU51" s="10"/>
      <c r="CV51" s="10"/>
      <c r="CW51" s="10"/>
      <c r="CX51" s="10"/>
      <c r="CY51" s="10"/>
      <c r="CZ51" s="13"/>
      <c r="DA51" s="34"/>
      <c r="DB51" s="34"/>
      <c r="DC51" s="34"/>
      <c r="DD51" s="14"/>
      <c r="DE51" s="13"/>
      <c r="DF51" s="14"/>
      <c r="DG51" s="116"/>
      <c r="DH51" s="10"/>
      <c r="DI51" s="10"/>
      <c r="DJ51" s="10"/>
      <c r="DK51" s="13"/>
      <c r="DL51" s="34"/>
      <c r="DM51" s="34"/>
      <c r="DN51" s="14"/>
      <c r="DO51" s="10"/>
      <c r="DP51" s="10"/>
      <c r="DQ51" s="10"/>
      <c r="DR51" s="10"/>
      <c r="DS51" s="10"/>
      <c r="DT51" s="13"/>
      <c r="DU51" s="34"/>
      <c r="DV51" s="34"/>
      <c r="DW51" s="34"/>
      <c r="DX51" s="14"/>
      <c r="DY51" s="13"/>
      <c r="DZ51" s="14"/>
      <c r="EA51" s="116"/>
      <c r="EB51" s="10"/>
      <c r="EC51" s="10"/>
      <c r="ED51" s="10"/>
      <c r="EE51" s="13"/>
      <c r="EF51" s="34"/>
      <c r="EG51" s="34"/>
      <c r="EH51" s="14"/>
      <c r="EI51" s="10"/>
      <c r="EJ51" s="10"/>
      <c r="EK51" s="10"/>
      <c r="EL51" s="10"/>
      <c r="EM51" s="10"/>
      <c r="EN51" s="13"/>
      <c r="EO51" s="34"/>
      <c r="EP51" s="34"/>
      <c r="EQ51" s="34"/>
      <c r="ER51" s="14"/>
      <c r="ES51" s="13"/>
      <c r="ET51" s="14"/>
      <c r="EU51" s="116"/>
      <c r="EV51" s="10">
        <f>'AX2'!SF48/1000/1000/1000</f>
        <v>1607.6610000000001</v>
      </c>
      <c r="EW51" s="10">
        <f>'AX2'!SC48/1000/1000/1000</f>
        <v>1713.4860000000001</v>
      </c>
      <c r="EX51" s="10">
        <f t="shared" si="43"/>
        <v>105.82500000000005</v>
      </c>
      <c r="EY51" s="10">
        <f>'AX2'!QC48/1000/1000/1000</f>
        <v>2.331</v>
      </c>
      <c r="EZ51" s="10">
        <f>'AX2'!QD48/1000/1000/1000</f>
        <v>0.94</v>
      </c>
      <c r="FA51" s="10">
        <f t="shared" si="39"/>
        <v>320.38600000000002</v>
      </c>
      <c r="FB51" s="10">
        <v>254.73</v>
      </c>
      <c r="FC51" s="10">
        <v>26.981000000000002</v>
      </c>
      <c r="FD51" s="10">
        <v>38.674999999999997</v>
      </c>
      <c r="FE51" s="10"/>
      <c r="FF51" s="10">
        <f t="shared" si="40"/>
        <v>337.084</v>
      </c>
      <c r="FG51" s="10">
        <v>179.00800000000001</v>
      </c>
      <c r="FH51" s="10">
        <v>92.207999999999998</v>
      </c>
      <c r="FI51" s="10">
        <v>65.867999999999995</v>
      </c>
      <c r="FJ51" s="10"/>
      <c r="FK51" s="10">
        <f>'AX2'!RA48/1000/1000/1000</f>
        <v>17.885999999999999</v>
      </c>
      <c r="FL51" s="10">
        <f>'AX2'!RB48/1000/1000/1000</f>
        <v>6.0629999999999997</v>
      </c>
      <c r="FM51" s="686">
        <f t="shared" si="41"/>
        <v>0.30213553051099412</v>
      </c>
      <c r="FN51" s="686">
        <f t="shared" si="42"/>
        <v>1.6158789760887218</v>
      </c>
      <c r="FQ51" s="12"/>
      <c r="FR51" s="259">
        <v>7.798</v>
      </c>
      <c r="FS51" s="69">
        <v>74</v>
      </c>
      <c r="FT51" s="780">
        <f t="shared" si="30"/>
        <v>-1.464713715046595E-2</v>
      </c>
      <c r="FU51" s="780">
        <f t="shared" si="27"/>
        <v>0.71290944123314071</v>
      </c>
      <c r="FV51" s="780">
        <f t="shared" si="31"/>
        <v>3.3944954128440363</v>
      </c>
      <c r="FW51" s="781">
        <f t="shared" si="32"/>
        <v>0.98535286284953405</v>
      </c>
      <c r="FX51" s="9">
        <v>69.900000000000006</v>
      </c>
      <c r="FY51" s="161">
        <f t="shared" si="22"/>
        <v>0.24432016777350576</v>
      </c>
      <c r="FZ51" s="161">
        <f t="shared" si="23"/>
        <v>0.34270855966067426</v>
      </c>
      <c r="GA51" s="625">
        <f t="shared" si="35"/>
        <v>0.95620846256092162</v>
      </c>
      <c r="GB51" s="637">
        <v>1.7734939759036144</v>
      </c>
      <c r="GC51" s="475">
        <f t="shared" si="24"/>
        <v>0.40306681270536693</v>
      </c>
      <c r="GD51" s="806">
        <f t="shared" si="25"/>
        <v>0.56538290755158227</v>
      </c>
      <c r="GE51" s="806">
        <f t="shared" si="33"/>
        <v>0.52246173884728109</v>
      </c>
      <c r="GF51" s="814">
        <v>9321</v>
      </c>
      <c r="GG51" s="820">
        <f t="shared" si="28"/>
        <v>125.95945945945945</v>
      </c>
      <c r="GH51" s="806">
        <f t="shared" si="36"/>
        <v>2.2175328928358149</v>
      </c>
      <c r="GI51" s="806">
        <v>0.19</v>
      </c>
      <c r="GJ51" s="806">
        <v>9.1999999999999998E-3</v>
      </c>
      <c r="GK51" s="806">
        <v>5.1299999999999998E-2</v>
      </c>
      <c r="GL51" s="806">
        <f t="shared" si="37"/>
        <v>-1.464713715046595E-2</v>
      </c>
      <c r="GM51" s="806">
        <f t="shared" si="34"/>
        <v>6.6927432432432266E-2</v>
      </c>
      <c r="GN51" s="806">
        <f t="shared" si="38"/>
        <v>1.9918757547317898</v>
      </c>
      <c r="GO51" s="12"/>
      <c r="GP51" s="716"/>
      <c r="GQ51" s="825"/>
      <c r="GR51" s="823"/>
    </row>
    <row r="52" spans="2:200" s="9" customFormat="1" ht="12.75">
      <c r="B52" s="15">
        <v>2003</v>
      </c>
      <c r="C52" s="34">
        <f>'AX2'!VC49/1000/1000/1000</f>
        <v>2564.1579999999999</v>
      </c>
      <c r="D52" s="34">
        <f>'AX2'!VD49/1000/1000/1000</f>
        <v>1337.1030000000001</v>
      </c>
      <c r="E52" s="34">
        <f t="shared" si="46"/>
        <v>1227.0549999999998</v>
      </c>
      <c r="F52" s="54">
        <v>195.728911910341</v>
      </c>
      <c r="G52" s="631">
        <f t="shared" si="5"/>
        <v>0.15542922297689238</v>
      </c>
      <c r="H52" s="14">
        <f t="shared" si="47"/>
        <v>1031.3260880896589</v>
      </c>
      <c r="I52" s="13">
        <f>'AX2'!SY49/1000/1000/1000</f>
        <v>635.16200000000003</v>
      </c>
      <c r="J52" s="34">
        <v>21.245000000000001</v>
      </c>
      <c r="K52" s="34">
        <f t="shared" si="8"/>
        <v>570.6479999999998</v>
      </c>
      <c r="L52" s="14">
        <f t="shared" si="9"/>
        <v>374.91908808965889</v>
      </c>
      <c r="M52" s="13">
        <f t="shared" si="10"/>
        <v>1259.2799999999997</v>
      </c>
      <c r="N52" s="34">
        <f t="shared" si="11"/>
        <v>1063.5510880896588</v>
      </c>
      <c r="O52" s="34">
        <f t="shared" si="12"/>
        <v>570.6479999999998</v>
      </c>
      <c r="P52" s="34">
        <f t="shared" si="13"/>
        <v>374.91908808965877</v>
      </c>
      <c r="Q52" s="34">
        <f t="shared" si="29"/>
        <v>633.62400000000002</v>
      </c>
      <c r="R52" s="34">
        <f t="shared" si="26"/>
        <v>21.245000000000001</v>
      </c>
      <c r="S52" s="14">
        <f>('AX2'!TS49-'AX2'!TT49)/1000/1000/1000</f>
        <v>33.762999999999998</v>
      </c>
      <c r="T52" s="13">
        <f>('AX2'!UA49)/1000/1000/1000</f>
        <v>4.117</v>
      </c>
      <c r="U52" s="34">
        <f>'AX2'!UB49/1000/1000/1000</f>
        <v>15.12</v>
      </c>
      <c r="V52" s="34">
        <f t="shared" si="14"/>
        <v>1248.2769999999998</v>
      </c>
      <c r="W52" s="34">
        <f t="shared" si="15"/>
        <v>1052.5480880896589</v>
      </c>
      <c r="X52" s="13">
        <f>'AX2'!VG49/1000/1000/1000</f>
        <v>861.10799999999995</v>
      </c>
      <c r="Y52" s="34">
        <f t="shared" si="48"/>
        <v>138.14699999999999</v>
      </c>
      <c r="Z52" s="125">
        <f t="shared" si="49"/>
        <v>722.96100000000001</v>
      </c>
      <c r="AA52" s="34">
        <f t="shared" si="50"/>
        <v>387.16899999999987</v>
      </c>
      <c r="AB52" s="34">
        <f t="shared" si="51"/>
        <v>191.44008808965896</v>
      </c>
      <c r="AC52" s="34">
        <f t="shared" si="44"/>
        <v>406.96259458325528</v>
      </c>
      <c r="AD52" s="34">
        <f t="shared" si="45"/>
        <v>211.23368267291428</v>
      </c>
      <c r="AE52" s="781">
        <v>0.33165798972601501</v>
      </c>
      <c r="AF52" s="10">
        <f>'AX2'!UE49</f>
        <v>0</v>
      </c>
      <c r="AG52" s="10">
        <f t="shared" si="20"/>
        <v>281.238</v>
      </c>
      <c r="AH52" s="10">
        <v>272.12700000000001</v>
      </c>
      <c r="AI52" s="790">
        <v>215.732</v>
      </c>
      <c r="AJ52" s="790">
        <v>56.395000000000003</v>
      </c>
      <c r="AK52" s="10">
        <f>'AX2'!VI49/1000/1000/1000</f>
        <v>9.1110000000000007</v>
      </c>
      <c r="AL52" s="10">
        <f>'AX2'!VA49/1000/1000/1000</f>
        <v>0</v>
      </c>
      <c r="AM52" s="10">
        <f>'AX2'!VL49/1000/1000/1000</f>
        <v>0</v>
      </c>
      <c r="AN52" s="10">
        <f t="shared" si="21"/>
        <v>105.93099999999987</v>
      </c>
      <c r="AO52" s="94"/>
      <c r="AP52" s="11"/>
      <c r="AQ52" s="11"/>
      <c r="AR52" s="11"/>
      <c r="AS52" s="149"/>
      <c r="AT52" s="153"/>
      <c r="AU52" s="102"/>
      <c r="AV52" s="102"/>
      <c r="AW52" s="102"/>
      <c r="AX52" s="103"/>
      <c r="AY52" s="11"/>
      <c r="AZ52" s="10"/>
      <c r="BA52" s="11"/>
      <c r="BB52" s="11"/>
      <c r="BC52" s="10"/>
      <c r="BD52" s="10"/>
      <c r="BE52" s="13"/>
      <c r="BF52" s="34"/>
      <c r="BG52" s="10"/>
      <c r="BH52" s="34"/>
      <c r="BI52" s="34"/>
      <c r="BJ52" s="102"/>
      <c r="BK52" s="103"/>
      <c r="BL52" s="10">
        <f>'AX2'!IF49/1000/1000/1000</f>
        <v>677.01800000000003</v>
      </c>
      <c r="BM52" s="11"/>
      <c r="BN52" s="11"/>
      <c r="BO52" s="12"/>
      <c r="BP52" s="10"/>
      <c r="BQ52" s="10"/>
      <c r="BR52" s="10"/>
      <c r="BS52" s="13"/>
      <c r="BT52" s="34"/>
      <c r="BU52" s="34"/>
      <c r="BV52" s="14"/>
      <c r="BW52" s="10"/>
      <c r="BX52" s="10"/>
      <c r="BY52" s="10"/>
      <c r="BZ52" s="10"/>
      <c r="CA52" s="10"/>
      <c r="CB52" s="10"/>
      <c r="CC52" s="13"/>
      <c r="CD52" s="34"/>
      <c r="CE52" s="34"/>
      <c r="CF52" s="34"/>
      <c r="CG52" s="34"/>
      <c r="CH52" s="34"/>
      <c r="CI52" s="34"/>
      <c r="CJ52" s="13">
        <f>'AX2'!KU49/1000/1000/1000</f>
        <v>138.14699999999999</v>
      </c>
      <c r="CK52" s="34"/>
      <c r="CL52" s="14"/>
      <c r="CM52" s="116"/>
      <c r="CN52" s="10"/>
      <c r="CO52" s="10"/>
      <c r="CP52" s="10"/>
      <c r="CQ52" s="13"/>
      <c r="CR52" s="34"/>
      <c r="CS52" s="125"/>
      <c r="CT52" s="14"/>
      <c r="CU52" s="10"/>
      <c r="CV52" s="10"/>
      <c r="CW52" s="10"/>
      <c r="CX52" s="10"/>
      <c r="CY52" s="10"/>
      <c r="CZ52" s="13"/>
      <c r="DA52" s="34"/>
      <c r="DB52" s="34"/>
      <c r="DC52" s="34"/>
      <c r="DD52" s="14"/>
      <c r="DE52" s="13"/>
      <c r="DF52" s="14"/>
      <c r="DG52" s="116"/>
      <c r="DH52" s="10"/>
      <c r="DI52" s="10"/>
      <c r="DJ52" s="10"/>
      <c r="DK52" s="13"/>
      <c r="DL52" s="34"/>
      <c r="DM52" s="34"/>
      <c r="DN52" s="14"/>
      <c r="DO52" s="10"/>
      <c r="DP52" s="10"/>
      <c r="DQ52" s="10"/>
      <c r="DR52" s="10"/>
      <c r="DS52" s="10"/>
      <c r="DT52" s="13"/>
      <c r="DU52" s="34"/>
      <c r="DV52" s="34"/>
      <c r="DW52" s="34"/>
      <c r="DX52" s="14"/>
      <c r="DY52" s="13"/>
      <c r="DZ52" s="14"/>
      <c r="EA52" s="116"/>
      <c r="EB52" s="10"/>
      <c r="EC52" s="10"/>
      <c r="ED52" s="10"/>
      <c r="EE52" s="13"/>
      <c r="EF52" s="34"/>
      <c r="EG52" s="34"/>
      <c r="EH52" s="14"/>
      <c r="EI52" s="10"/>
      <c r="EJ52" s="10"/>
      <c r="EK52" s="10"/>
      <c r="EL52" s="10"/>
      <c r="EM52" s="10"/>
      <c r="EN52" s="13"/>
      <c r="EO52" s="34"/>
      <c r="EP52" s="34"/>
      <c r="EQ52" s="34"/>
      <c r="ER52" s="14"/>
      <c r="ES52" s="13"/>
      <c r="ET52" s="14"/>
      <c r="EU52" s="116"/>
      <c r="EV52" s="10">
        <f>'AX2'!SF49/1000/1000/1000</f>
        <v>1780.432</v>
      </c>
      <c r="EW52" s="10">
        <f>'AX2'!SC49/1000/1000/1000</f>
        <v>1894.7550000000001</v>
      </c>
      <c r="EX52" s="10">
        <f t="shared" si="43"/>
        <v>114.32300000000009</v>
      </c>
      <c r="EY52" s="10">
        <f>'AX2'!QC49/1000/1000/1000</f>
        <v>2.4700000000000002</v>
      </c>
      <c r="EZ52" s="10">
        <f>'AX2'!QD49/1000/1000/1000</f>
        <v>0.93200000000000005</v>
      </c>
      <c r="FA52" s="10">
        <f t="shared" si="39"/>
        <v>305.28100000000001</v>
      </c>
      <c r="FB52" s="10">
        <v>254.59399999999999</v>
      </c>
      <c r="FC52" s="10">
        <v>28.015999999999998</v>
      </c>
      <c r="FD52" s="10">
        <v>22.670999999999999</v>
      </c>
      <c r="FE52" s="10"/>
      <c r="FF52" s="10">
        <f t="shared" si="40"/>
        <v>335.30900000000003</v>
      </c>
      <c r="FG52" s="10">
        <v>195.78299999999999</v>
      </c>
      <c r="FH52" s="10">
        <v>105.789</v>
      </c>
      <c r="FI52" s="10">
        <v>33.737000000000002</v>
      </c>
      <c r="FJ52" s="10"/>
      <c r="FK52" s="10">
        <f>'AX2'!RA49/1000/1000/1000</f>
        <v>15.12</v>
      </c>
      <c r="FL52" s="10">
        <f>'AX2'!RB49/1000/1000/1000</f>
        <v>4.117</v>
      </c>
      <c r="FM52" s="686">
        <f t="shared" si="41"/>
        <v>0.28703933776076812</v>
      </c>
      <c r="FN52" s="686">
        <f t="shared" si="42"/>
        <v>1.781536421915888</v>
      </c>
      <c r="FQ52" s="12"/>
      <c r="FR52" s="259">
        <v>7.7629999999999999</v>
      </c>
      <c r="FS52" s="69">
        <v>72.599999999999994</v>
      </c>
      <c r="FT52" s="780">
        <f t="shared" si="30"/>
        <v>-1.8918918918918948E-2</v>
      </c>
      <c r="FU52" s="780">
        <f t="shared" si="27"/>
        <v>0.699421965317919</v>
      </c>
      <c r="FV52" s="780">
        <f t="shared" si="31"/>
        <v>3.3302752293577975</v>
      </c>
      <c r="FW52" s="781">
        <f t="shared" si="32"/>
        <v>0.98108108108108094</v>
      </c>
      <c r="FX52" s="9">
        <v>61.6</v>
      </c>
      <c r="FY52" s="161">
        <f t="shared" si="22"/>
        <v>0.2153093324012583</v>
      </c>
      <c r="FZ52" s="161">
        <f t="shared" si="23"/>
        <v>0.30783896285469164</v>
      </c>
      <c r="GA52" s="625">
        <f t="shared" si="35"/>
        <v>0.85891703924490825</v>
      </c>
      <c r="GB52" s="637">
        <v>1.8722891566265061</v>
      </c>
      <c r="GC52" s="475">
        <f t="shared" si="24"/>
        <v>0.42552026286966055</v>
      </c>
      <c r="GD52" s="806">
        <f t="shared" si="25"/>
        <v>0.60838847501199411</v>
      </c>
      <c r="GE52" s="806">
        <f t="shared" si="33"/>
        <v>0.56220252912476376</v>
      </c>
      <c r="GF52" s="814">
        <v>12576</v>
      </c>
      <c r="GG52" s="820">
        <f t="shared" si="28"/>
        <v>173.2231404958678</v>
      </c>
      <c r="GH52" s="806">
        <f t="shared" si="36"/>
        <v>3.0496162296849141</v>
      </c>
      <c r="GI52" s="806">
        <v>0.159</v>
      </c>
      <c r="GJ52" s="806">
        <v>2.0999999999999999E-3</v>
      </c>
      <c r="GK52" s="806">
        <v>0.05</v>
      </c>
      <c r="GL52" s="806">
        <f t="shared" si="37"/>
        <v>-1.8918918918918948E-2</v>
      </c>
      <c r="GM52" s="806">
        <f t="shared" si="34"/>
        <v>7.024793388429762E-2</v>
      </c>
      <c r="GN52" s="806">
        <f t="shared" si="38"/>
        <v>2.1318009110559242</v>
      </c>
      <c r="GO52" s="12"/>
      <c r="GP52" s="716"/>
      <c r="GQ52" s="825"/>
    </row>
    <row r="53" spans="2:200" s="9" customFormat="1" ht="12.75">
      <c r="B53" s="15">
        <v>2004</v>
      </c>
      <c r="C53" s="34">
        <f>'AX2'!VC50/1000/1000/1000</f>
        <v>2743.2710000000002</v>
      </c>
      <c r="D53" s="34">
        <f>'AX2'!VD50/1000/1000/1000</f>
        <v>1457.9469999999999</v>
      </c>
      <c r="E53" s="34">
        <f t="shared" si="46"/>
        <v>1285.3240000000003</v>
      </c>
      <c r="F53" s="54">
        <v>200.812197889418</v>
      </c>
      <c r="G53" s="631">
        <f t="shared" si="5"/>
        <v>0.15290633676748988</v>
      </c>
      <c r="H53" s="14">
        <f t="shared" si="47"/>
        <v>1084.5118021105823</v>
      </c>
      <c r="I53" s="13">
        <f>'AX2'!SY50/1000/1000/1000</f>
        <v>642.75400000000002</v>
      </c>
      <c r="J53" s="34">
        <v>24.302</v>
      </c>
      <c r="K53" s="34">
        <f t="shared" si="8"/>
        <v>618.26800000000026</v>
      </c>
      <c r="L53" s="14">
        <f t="shared" si="9"/>
        <v>417.45580211058223</v>
      </c>
      <c r="M53" s="13">
        <f t="shared" si="10"/>
        <v>1313.3020000000001</v>
      </c>
      <c r="N53" s="34">
        <f t="shared" si="11"/>
        <v>1112.4898021105821</v>
      </c>
      <c r="O53" s="34">
        <f t="shared" si="12"/>
        <v>618.26800000000026</v>
      </c>
      <c r="P53" s="34">
        <f t="shared" si="13"/>
        <v>417.45580211058223</v>
      </c>
      <c r="Q53" s="34">
        <f t="shared" si="29"/>
        <v>642.12600000000009</v>
      </c>
      <c r="R53" s="34">
        <f t="shared" si="26"/>
        <v>24.302</v>
      </c>
      <c r="S53" s="14">
        <f>('AX2'!TS50-'AX2'!TT50)/1000/1000/1000</f>
        <v>28.606000000000002</v>
      </c>
      <c r="T53" s="13">
        <f>('AX2'!UA50)/1000/1000/1000</f>
        <v>4.8710000000000004</v>
      </c>
      <c r="U53" s="34">
        <f>'AX2'!UB50/1000/1000/1000</f>
        <v>16.550999999999998</v>
      </c>
      <c r="V53" s="34">
        <f t="shared" si="14"/>
        <v>1301.6220000000003</v>
      </c>
      <c r="W53" s="34">
        <f t="shared" si="15"/>
        <v>1100.8098021105823</v>
      </c>
      <c r="X53" s="13">
        <f>'AX2'!VG50/1000/1000/1000</f>
        <v>907.79700000000003</v>
      </c>
      <c r="Y53" s="34">
        <f t="shared" si="48"/>
        <v>136.35400000000001</v>
      </c>
      <c r="Z53" s="125">
        <f t="shared" si="49"/>
        <v>771.44299999999998</v>
      </c>
      <c r="AA53" s="34">
        <f t="shared" si="50"/>
        <v>393.82500000000027</v>
      </c>
      <c r="AB53" s="34">
        <f t="shared" si="51"/>
        <v>193.01280211058224</v>
      </c>
      <c r="AC53" s="34">
        <f t="shared" si="44"/>
        <v>415.23407184970125</v>
      </c>
      <c r="AD53" s="34">
        <f t="shared" si="45"/>
        <v>214.42187396028325</v>
      </c>
      <c r="AE53" s="781">
        <v>0.323057899681093</v>
      </c>
      <c r="AF53" s="10">
        <f>'AX2'!UE50</f>
        <v>0</v>
      </c>
      <c r="AG53" s="10">
        <f t="shared" si="20"/>
        <v>294.43600000000004</v>
      </c>
      <c r="AH53" s="10">
        <v>287.36</v>
      </c>
      <c r="AI53" s="790">
        <v>234.04599999999999</v>
      </c>
      <c r="AJ53" s="790">
        <v>53.314</v>
      </c>
      <c r="AK53" s="10">
        <f>'AX2'!VI50/1000/1000/1000</f>
        <v>7.0759999999999996</v>
      </c>
      <c r="AL53" s="10">
        <f>'AX2'!VA50/1000/1000/1000</f>
        <v>0</v>
      </c>
      <c r="AM53" s="10">
        <f>'AX2'!VL50/1000/1000/1000</f>
        <v>0</v>
      </c>
      <c r="AN53" s="10">
        <f t="shared" si="21"/>
        <v>99.389000000000237</v>
      </c>
      <c r="AO53" s="94"/>
      <c r="AP53" s="11"/>
      <c r="AQ53" s="11"/>
      <c r="AR53" s="11"/>
      <c r="AS53" s="149"/>
      <c r="AT53" s="153"/>
      <c r="AU53" s="102"/>
      <c r="AV53" s="102"/>
      <c r="AW53" s="102"/>
      <c r="AX53" s="103"/>
      <c r="AY53" s="11"/>
      <c r="AZ53" s="10"/>
      <c r="BA53" s="11"/>
      <c r="BB53" s="11"/>
      <c r="BC53" s="10"/>
      <c r="BD53" s="10"/>
      <c r="BE53" s="13"/>
      <c r="BF53" s="34"/>
      <c r="BG53" s="10"/>
      <c r="BH53" s="34"/>
      <c r="BI53" s="34"/>
      <c r="BJ53" s="102"/>
      <c r="BK53" s="103"/>
      <c r="BL53" s="10">
        <f>'AX2'!IF50/1000/1000/1000</f>
        <v>727.54600000000005</v>
      </c>
      <c r="BM53" s="11"/>
      <c r="BN53" s="11"/>
      <c r="BO53" s="12"/>
      <c r="BP53" s="10"/>
      <c r="BQ53" s="10"/>
      <c r="BR53" s="10"/>
      <c r="BS53" s="13"/>
      <c r="BT53" s="34"/>
      <c r="BU53" s="34"/>
      <c r="BV53" s="14"/>
      <c r="BW53" s="10"/>
      <c r="BX53" s="10"/>
      <c r="BY53" s="10"/>
      <c r="BZ53" s="10"/>
      <c r="CA53" s="10"/>
      <c r="CB53" s="10"/>
      <c r="CC53" s="13"/>
      <c r="CD53" s="34"/>
      <c r="CE53" s="34"/>
      <c r="CF53" s="34"/>
      <c r="CG53" s="34"/>
      <c r="CH53" s="34"/>
      <c r="CI53" s="34"/>
      <c r="CJ53" s="13">
        <f>'AX2'!KU50/1000/1000/1000</f>
        <v>136.35400000000001</v>
      </c>
      <c r="CK53" s="34"/>
      <c r="CL53" s="14"/>
      <c r="CM53" s="116"/>
      <c r="CN53" s="10"/>
      <c r="CO53" s="10"/>
      <c r="CP53" s="10"/>
      <c r="CQ53" s="13"/>
      <c r="CR53" s="34"/>
      <c r="CS53" s="125"/>
      <c r="CT53" s="14"/>
      <c r="CU53" s="10"/>
      <c r="CV53" s="10"/>
      <c r="CW53" s="10"/>
      <c r="CX53" s="10"/>
      <c r="CY53" s="10"/>
      <c r="CZ53" s="13"/>
      <c r="DA53" s="34"/>
      <c r="DB53" s="34"/>
      <c r="DC53" s="34"/>
      <c r="DD53" s="14"/>
      <c r="DE53" s="13"/>
      <c r="DF53" s="14"/>
      <c r="DG53" s="116"/>
      <c r="DH53" s="10"/>
      <c r="DI53" s="10"/>
      <c r="DJ53" s="10"/>
      <c r="DK53" s="13"/>
      <c r="DL53" s="34"/>
      <c r="DM53" s="34"/>
      <c r="DN53" s="14"/>
      <c r="DO53" s="10"/>
      <c r="DP53" s="10"/>
      <c r="DQ53" s="10"/>
      <c r="DR53" s="10"/>
      <c r="DS53" s="10"/>
      <c r="DT53" s="13"/>
      <c r="DU53" s="34"/>
      <c r="DV53" s="34"/>
      <c r="DW53" s="34"/>
      <c r="DX53" s="14"/>
      <c r="DY53" s="13"/>
      <c r="DZ53" s="14"/>
      <c r="EA53" s="116"/>
      <c r="EB53" s="10"/>
      <c r="EC53" s="10"/>
      <c r="ED53" s="10"/>
      <c r="EE53" s="13"/>
      <c r="EF53" s="34"/>
      <c r="EG53" s="34"/>
      <c r="EH53" s="14"/>
      <c r="EI53" s="10"/>
      <c r="EJ53" s="10"/>
      <c r="EK53" s="10"/>
      <c r="EL53" s="10"/>
      <c r="EM53" s="10"/>
      <c r="EN53" s="13"/>
      <c r="EO53" s="34"/>
      <c r="EP53" s="34"/>
      <c r="EQ53" s="34"/>
      <c r="ER53" s="14"/>
      <c r="ES53" s="13"/>
      <c r="ET53" s="14"/>
      <c r="EU53" s="116"/>
      <c r="EV53" s="10">
        <f>'AX2'!SF50/1000/1000/1000</f>
        <v>2094.8069999999998</v>
      </c>
      <c r="EW53" s="10">
        <f>'AX2'!SC50/1000/1000/1000</f>
        <v>2209.5230000000001</v>
      </c>
      <c r="EX53" s="10">
        <f t="shared" si="43"/>
        <v>114.71600000000035</v>
      </c>
      <c r="EY53" s="10">
        <f>'AX2'!QC50/1000/1000/1000</f>
        <v>2.4969999999999999</v>
      </c>
      <c r="EZ53" s="10">
        <f>'AX2'!QD50/1000/1000/1000</f>
        <v>1.869</v>
      </c>
      <c r="FA53" s="10">
        <f t="shared" si="39"/>
        <v>379.084</v>
      </c>
      <c r="FB53" s="10">
        <v>313.59100000000001</v>
      </c>
      <c r="FC53" s="10">
        <v>31.411000000000001</v>
      </c>
      <c r="FD53" s="10">
        <v>34.082000000000001</v>
      </c>
      <c r="FE53" s="10"/>
      <c r="FF53" s="10">
        <f t="shared" si="40"/>
        <v>403.12200000000001</v>
      </c>
      <c r="FG53" s="10">
        <v>230.066</v>
      </c>
      <c r="FH53" s="10">
        <v>124.934</v>
      </c>
      <c r="FI53" s="10">
        <v>48.122</v>
      </c>
      <c r="FJ53" s="10"/>
      <c r="FK53" s="10">
        <f>'AX2'!RA50/1000/1000/1000</f>
        <v>16.550999999999998</v>
      </c>
      <c r="FL53" s="10">
        <f>'AX2'!RB50/1000/1000/1000</f>
        <v>4.8710000000000004</v>
      </c>
      <c r="FM53" s="686">
        <f t="shared" si="41"/>
        <v>0.34075278648021157</v>
      </c>
      <c r="FN53" s="686">
        <f t="shared" si="42"/>
        <v>1.9861062958133726</v>
      </c>
      <c r="FQ53" s="12"/>
      <c r="FR53" s="259">
        <v>7.7735000000000003</v>
      </c>
      <c r="FS53" s="69">
        <v>72.900000000000006</v>
      </c>
      <c r="FT53" s="780">
        <f t="shared" si="30"/>
        <v>4.1322314049587749E-3</v>
      </c>
      <c r="FU53" s="780">
        <f t="shared" si="27"/>
        <v>0.70231213872832376</v>
      </c>
      <c r="FV53" s="780">
        <f t="shared" si="31"/>
        <v>3.3440366972477062</v>
      </c>
      <c r="FW53" s="781">
        <f t="shared" si="32"/>
        <v>1.0041322314049588</v>
      </c>
      <c r="FX53" s="9">
        <v>78</v>
      </c>
      <c r="FY53" s="161">
        <f t="shared" si="22"/>
        <v>0.27263194687172315</v>
      </c>
      <c r="FZ53" s="161">
        <f t="shared" si="23"/>
        <v>0.38819199019595146</v>
      </c>
      <c r="GA53" s="625">
        <f t="shared" si="35"/>
        <v>1.0831140794710923</v>
      </c>
      <c r="GB53" s="637">
        <v>2.0843373493975905</v>
      </c>
      <c r="GC53" s="475">
        <f t="shared" si="24"/>
        <v>0.47371303395399789</v>
      </c>
      <c r="GD53" s="806">
        <f t="shared" si="25"/>
        <v>0.67450497838717394</v>
      </c>
      <c r="GE53" s="806">
        <f t="shared" si="33"/>
        <v>0.62329978349612458</v>
      </c>
      <c r="GF53" s="814">
        <v>14230</v>
      </c>
      <c r="GG53" s="820">
        <f t="shared" si="28"/>
        <v>195.19890260630999</v>
      </c>
      <c r="GH53" s="806">
        <f t="shared" si="36"/>
        <v>3.4365024193698193</v>
      </c>
      <c r="GI53" s="806">
        <v>0.22800000000000001</v>
      </c>
      <c r="GJ53" s="806">
        <v>2.9999999999999997E-4</v>
      </c>
      <c r="GK53" s="806">
        <v>0.05</v>
      </c>
      <c r="GL53" s="806">
        <f t="shared" si="37"/>
        <v>4.1322314049587749E-3</v>
      </c>
      <c r="GM53" s="806">
        <f t="shared" si="34"/>
        <v>4.5679012345678949E-2</v>
      </c>
      <c r="GN53" s="806">
        <f t="shared" si="38"/>
        <v>2.2291794711905775</v>
      </c>
      <c r="GO53" s="12"/>
      <c r="GP53" s="716"/>
      <c r="GQ53" s="825"/>
    </row>
    <row r="54" spans="2:200" s="9" customFormat="1" ht="12.75">
      <c r="B54" s="15">
        <v>2005</v>
      </c>
      <c r="C54" s="34">
        <f>'AX2'!VC51/1000/1000/1000</f>
        <v>2977.2910000000002</v>
      </c>
      <c r="D54" s="34">
        <f>'AX2'!VD51/1000/1000/1000</f>
        <v>1599.288</v>
      </c>
      <c r="E54" s="34">
        <f t="shared" si="46"/>
        <v>1378.0030000000002</v>
      </c>
      <c r="F54" s="54">
        <v>214.41099856933201</v>
      </c>
      <c r="G54" s="631">
        <f t="shared" si="5"/>
        <v>0.15475720357780587</v>
      </c>
      <c r="H54" s="14">
        <f t="shared" si="47"/>
        <v>1163.5920014306682</v>
      </c>
      <c r="I54" s="13">
        <f>'AX2'!SY51/1000/1000/1000</f>
        <v>673.18799999999999</v>
      </c>
      <c r="J54" s="34">
        <v>26.414999999999999</v>
      </c>
      <c r="K54" s="34">
        <f t="shared" si="8"/>
        <v>678.4000000000002</v>
      </c>
      <c r="L54" s="14">
        <f t="shared" si="9"/>
        <v>463.98900143066822</v>
      </c>
      <c r="M54" s="13">
        <f t="shared" si="10"/>
        <v>1385.4670000000003</v>
      </c>
      <c r="N54" s="34">
        <f t="shared" si="11"/>
        <v>1171.0560014306684</v>
      </c>
      <c r="O54" s="34">
        <f t="shared" si="12"/>
        <v>678.4000000000002</v>
      </c>
      <c r="P54" s="34">
        <f t="shared" si="13"/>
        <v>463.98900143066817</v>
      </c>
      <c r="Q54" s="34">
        <f t="shared" si="29"/>
        <v>672.78899999999999</v>
      </c>
      <c r="R54" s="34">
        <f t="shared" si="26"/>
        <v>26.414999999999999</v>
      </c>
      <c r="S54" s="14">
        <f>('AX2'!TS51-'AX2'!TT51)/1000/1000/1000</f>
        <v>7.8630000000000004</v>
      </c>
      <c r="T54" s="13">
        <f>('AX2'!UA51)/1000/1000/1000</f>
        <v>7.3310000000000004</v>
      </c>
      <c r="U54" s="34">
        <f>'AX2'!UB51/1000/1000/1000</f>
        <v>19.535</v>
      </c>
      <c r="V54" s="34">
        <f t="shared" si="14"/>
        <v>1373.2630000000001</v>
      </c>
      <c r="W54" s="34">
        <f t="shared" si="15"/>
        <v>1158.8520014306682</v>
      </c>
      <c r="X54" s="13">
        <f>'AX2'!VG51/1000/1000/1000</f>
        <v>942.22</v>
      </c>
      <c r="Y54" s="34">
        <f t="shared" si="48"/>
        <v>130.566</v>
      </c>
      <c r="Z54" s="125">
        <f t="shared" si="49"/>
        <v>811.654</v>
      </c>
      <c r="AA54" s="34">
        <f t="shared" si="50"/>
        <v>431.04300000000012</v>
      </c>
      <c r="AB54" s="34">
        <f t="shared" si="51"/>
        <v>216.6320014306682</v>
      </c>
      <c r="AC54" s="34">
        <f t="shared" si="44"/>
        <v>453.92650125802226</v>
      </c>
      <c r="AD54" s="34">
        <f t="shared" si="45"/>
        <v>239.51550268869025</v>
      </c>
      <c r="AE54" s="781">
        <v>0.32940893543629601</v>
      </c>
      <c r="AF54" s="10">
        <f>'AX2'!UE51</f>
        <v>0</v>
      </c>
      <c r="AG54" s="10">
        <f t="shared" si="20"/>
        <v>297.39099999999996</v>
      </c>
      <c r="AH54" s="10">
        <v>302.15199999999999</v>
      </c>
      <c r="AI54" s="790">
        <v>255.69399999999999</v>
      </c>
      <c r="AJ54" s="790">
        <v>46.457999999999998</v>
      </c>
      <c r="AK54" s="10">
        <f>'AX2'!VI51/1000/1000/1000</f>
        <v>-4.7610000000000001</v>
      </c>
      <c r="AL54" s="10">
        <f>'AX2'!VA51/1000/1000/1000</f>
        <v>0</v>
      </c>
      <c r="AM54" s="10">
        <f>'AX2'!VL51/1000/1000/1000</f>
        <v>0</v>
      </c>
      <c r="AN54" s="10">
        <f t="shared" si="21"/>
        <v>133.65200000000016</v>
      </c>
      <c r="AO54" s="94"/>
      <c r="AP54" s="11"/>
      <c r="AQ54" s="11"/>
      <c r="AR54" s="11"/>
      <c r="AS54" s="149"/>
      <c r="AT54" s="153"/>
      <c r="AU54" s="102"/>
      <c r="AV54" s="102"/>
      <c r="AW54" s="102"/>
      <c r="AX54" s="103"/>
      <c r="AY54" s="11"/>
      <c r="AZ54" s="10"/>
      <c r="BA54" s="11"/>
      <c r="BB54" s="11"/>
      <c r="BC54" s="10"/>
      <c r="BD54" s="10"/>
      <c r="BE54" s="13"/>
      <c r="BF54" s="34"/>
      <c r="BG54" s="10"/>
      <c r="BH54" s="34"/>
      <c r="BI54" s="34"/>
      <c r="BJ54" s="102"/>
      <c r="BK54" s="103"/>
      <c r="BL54" s="10">
        <f>'AX2'!IF51/1000/1000/1000</f>
        <v>768.61400000000003</v>
      </c>
      <c r="BM54" s="11"/>
      <c r="BN54" s="11"/>
      <c r="BO54" s="12"/>
      <c r="BP54" s="10"/>
      <c r="BQ54" s="10"/>
      <c r="BR54" s="10"/>
      <c r="BS54" s="13"/>
      <c r="BT54" s="34"/>
      <c r="BU54" s="34"/>
      <c r="BV54" s="14"/>
      <c r="BW54" s="10"/>
      <c r="BX54" s="10"/>
      <c r="BY54" s="10"/>
      <c r="BZ54" s="10"/>
      <c r="CA54" s="10"/>
      <c r="CB54" s="10"/>
      <c r="CC54" s="13"/>
      <c r="CD54" s="34"/>
      <c r="CE54" s="34"/>
      <c r="CF54" s="34"/>
      <c r="CG54" s="34"/>
      <c r="CH54" s="34"/>
      <c r="CI54" s="34"/>
      <c r="CJ54" s="13">
        <f>'AX2'!KU51/1000/1000/1000</f>
        <v>130.566</v>
      </c>
      <c r="CK54" s="34"/>
      <c r="CL54" s="14"/>
      <c r="CM54" s="116"/>
      <c r="CN54" s="10"/>
      <c r="CO54" s="10"/>
      <c r="CP54" s="10"/>
      <c r="CQ54" s="13"/>
      <c r="CR54" s="34"/>
      <c r="CS54" s="125"/>
      <c r="CT54" s="14"/>
      <c r="CU54" s="10"/>
      <c r="CV54" s="10"/>
      <c r="CW54" s="10"/>
      <c r="CX54" s="10"/>
      <c r="CY54" s="10"/>
      <c r="CZ54" s="13"/>
      <c r="DA54" s="34"/>
      <c r="DB54" s="34"/>
      <c r="DC54" s="34"/>
      <c r="DD54" s="14"/>
      <c r="DE54" s="13"/>
      <c r="DF54" s="14"/>
      <c r="DG54" s="116"/>
      <c r="DH54" s="10"/>
      <c r="DI54" s="10"/>
      <c r="DJ54" s="10"/>
      <c r="DK54" s="13"/>
      <c r="DL54" s="34"/>
      <c r="DM54" s="34"/>
      <c r="DN54" s="14"/>
      <c r="DO54" s="10"/>
      <c r="DP54" s="10"/>
      <c r="DQ54" s="10"/>
      <c r="DR54" s="10"/>
      <c r="DS54" s="10"/>
      <c r="DT54" s="13"/>
      <c r="DU54" s="34"/>
      <c r="DV54" s="34"/>
      <c r="DW54" s="34"/>
      <c r="DX54" s="14"/>
      <c r="DY54" s="13"/>
      <c r="DZ54" s="14"/>
      <c r="EA54" s="116"/>
      <c r="EB54" s="10"/>
      <c r="EC54" s="10"/>
      <c r="ED54" s="10"/>
      <c r="EE54" s="13"/>
      <c r="EF54" s="34"/>
      <c r="EG54" s="34"/>
      <c r="EH54" s="14"/>
      <c r="EI54" s="10"/>
      <c r="EJ54" s="10"/>
      <c r="EK54" s="10"/>
      <c r="EL54" s="10"/>
      <c r="EM54" s="10"/>
      <c r="EN54" s="13"/>
      <c r="EO54" s="34"/>
      <c r="EP54" s="34"/>
      <c r="EQ54" s="34"/>
      <c r="ER54" s="14"/>
      <c r="ES54" s="13"/>
      <c r="ET54" s="14"/>
      <c r="EU54" s="116"/>
      <c r="EV54" s="10">
        <f>'AX2'!SF51/1000/1000/1000</f>
        <v>2333.3429999999998</v>
      </c>
      <c r="EW54" s="10">
        <f>'AX2'!SC51/1000/1000/1000</f>
        <v>2505.857</v>
      </c>
      <c r="EX54" s="10">
        <f t="shared" si="43"/>
        <v>172.51400000000012</v>
      </c>
      <c r="EY54" s="10">
        <f>'AX2'!QC51/1000/1000/1000</f>
        <v>2.7080000000000002</v>
      </c>
      <c r="EZ54" s="10">
        <f>'AX2'!QD51/1000/1000/1000</f>
        <v>2.3090000000000002</v>
      </c>
      <c r="FA54" s="10">
        <f t="shared" si="39"/>
        <v>499.60800000000006</v>
      </c>
      <c r="FB54" s="10">
        <v>394.98200000000003</v>
      </c>
      <c r="FC54" s="10">
        <v>38.317</v>
      </c>
      <c r="FD54" s="10">
        <v>66.308999999999997</v>
      </c>
      <c r="FE54" s="10"/>
      <c r="FF54" s="10">
        <f t="shared" si="40"/>
        <v>501.654</v>
      </c>
      <c r="FG54" s="10">
        <v>272.52499999999998</v>
      </c>
      <c r="FH54" s="10">
        <v>140.595</v>
      </c>
      <c r="FI54" s="10">
        <v>88.534000000000006</v>
      </c>
      <c r="FJ54" s="10"/>
      <c r="FK54" s="10">
        <f>'AX2'!RA51/1000/1000/1000</f>
        <v>19.535</v>
      </c>
      <c r="FL54" s="10">
        <f>'AX2'!RB51/1000/1000/1000</f>
        <v>7.3310000000000004</v>
      </c>
      <c r="FM54" s="686">
        <f t="shared" si="41"/>
        <v>0.42663032287920777</v>
      </c>
      <c r="FN54" s="686">
        <f t="shared" si="42"/>
        <v>2.1398267861986255</v>
      </c>
      <c r="FQ54" s="12"/>
      <c r="FR54" s="259">
        <v>7.7525000000000004</v>
      </c>
      <c r="FS54" s="69">
        <v>73.8</v>
      </c>
      <c r="FT54" s="780">
        <f t="shared" si="30"/>
        <v>1.2345679012345512E-2</v>
      </c>
      <c r="FU54" s="780">
        <f t="shared" si="27"/>
        <v>0.71098265895953761</v>
      </c>
      <c r="FV54" s="780">
        <f t="shared" si="31"/>
        <v>3.3853211009174311</v>
      </c>
      <c r="FW54" s="781">
        <f t="shared" si="32"/>
        <v>1.0123456790123457</v>
      </c>
      <c r="FX54" s="9">
        <v>92</v>
      </c>
      <c r="FY54" s="161">
        <f t="shared" si="22"/>
        <v>0.3215658860538273</v>
      </c>
      <c r="FZ54" s="161">
        <f t="shared" si="23"/>
        <v>0.45228372591310667</v>
      </c>
      <c r="GA54" s="625">
        <f t="shared" si="35"/>
        <v>1.2619396685770137</v>
      </c>
      <c r="GB54" s="637">
        <v>2.2072289156626503</v>
      </c>
      <c r="GC54" s="475">
        <f t="shared" si="24"/>
        <v>0.50164293537787519</v>
      </c>
      <c r="GD54" s="806">
        <f t="shared" si="25"/>
        <v>0.70556282780790569</v>
      </c>
      <c r="GE54" s="806">
        <f t="shared" si="33"/>
        <v>0.6519998693962844</v>
      </c>
      <c r="GF54" s="814">
        <v>14876</v>
      </c>
      <c r="GG54" s="820">
        <f t="shared" si="28"/>
        <v>201.57181571815718</v>
      </c>
      <c r="GH54" s="806">
        <f t="shared" si="36"/>
        <v>3.5486983950381199</v>
      </c>
      <c r="GI54" s="806">
        <v>0.27</v>
      </c>
      <c r="GJ54" s="806">
        <v>4.1999999999999997E-3</v>
      </c>
      <c r="GK54" s="806">
        <v>0.05</v>
      </c>
      <c r="GL54" s="806">
        <f t="shared" si="37"/>
        <v>1.2345679012345512E-2</v>
      </c>
      <c r="GM54" s="806">
        <f t="shared" si="34"/>
        <v>3.7195121951219434E-2</v>
      </c>
      <c r="GN54" s="806">
        <f t="shared" si="38"/>
        <v>2.3120940734726658</v>
      </c>
      <c r="GO54" s="12"/>
      <c r="GP54" s="716"/>
      <c r="GQ54" s="825"/>
    </row>
    <row r="55" spans="2:200" s="9" customFormat="1" ht="12.75">
      <c r="B55" s="15">
        <v>2006</v>
      </c>
      <c r="C55" s="34">
        <f>'AX2'!VC52/1000/1000/1000</f>
        <v>3228.8229999999999</v>
      </c>
      <c r="D55" s="34">
        <f>'AX2'!VD52/1000/1000/1000</f>
        <v>1755.287</v>
      </c>
      <c r="E55" s="34">
        <f t="shared" si="46"/>
        <v>1473.5359999999998</v>
      </c>
      <c r="F55" s="54">
        <v>227.75935518310501</v>
      </c>
      <c r="G55" s="631">
        <f t="shared" si="5"/>
        <v>0.15092906538031903</v>
      </c>
      <c r="H55" s="14">
        <f t="shared" si="47"/>
        <v>1245.7766448168948</v>
      </c>
      <c r="I55" s="13">
        <f>'AX2'!SY52/1000/1000/1000</f>
        <v>711.28</v>
      </c>
      <c r="J55" s="34">
        <v>29.504000000000001</v>
      </c>
      <c r="K55" s="34">
        <f t="shared" si="8"/>
        <v>732.75199999999984</v>
      </c>
      <c r="L55" s="14">
        <f t="shared" si="9"/>
        <v>504.99264481689477</v>
      </c>
      <c r="M55" s="13">
        <f t="shared" si="10"/>
        <v>1509.0489999999998</v>
      </c>
      <c r="N55" s="34">
        <f t="shared" si="11"/>
        <v>1281.2896448168947</v>
      </c>
      <c r="O55" s="34">
        <f t="shared" si="12"/>
        <v>732.75199999999984</v>
      </c>
      <c r="P55" s="34">
        <f t="shared" si="13"/>
        <v>504.99264481689482</v>
      </c>
      <c r="Q55" s="34">
        <f t="shared" si="29"/>
        <v>710.63799999999992</v>
      </c>
      <c r="R55" s="34">
        <f t="shared" si="26"/>
        <v>29.504000000000001</v>
      </c>
      <c r="S55" s="14">
        <f>('AX2'!TS52-'AX2'!TT52)/1000/1000/1000</f>
        <v>36.155000000000001</v>
      </c>
      <c r="T55" s="13">
        <f>('AX2'!UA52)/1000/1000/1000</f>
        <v>7.4560000000000004</v>
      </c>
      <c r="U55" s="34">
        <f>'AX2'!UB52/1000/1000/1000</f>
        <v>19.957999999999998</v>
      </c>
      <c r="V55" s="34">
        <f t="shared" si="14"/>
        <v>1496.5469999999996</v>
      </c>
      <c r="W55" s="34">
        <f t="shared" si="15"/>
        <v>1268.7876448168945</v>
      </c>
      <c r="X55" s="13">
        <f>'AX2'!VG52/1000/1000/1000</f>
        <v>1000.528</v>
      </c>
      <c r="Y55" s="34">
        <f t="shared" si="48"/>
        <v>131.83699999999999</v>
      </c>
      <c r="Z55" s="125">
        <f t="shared" si="49"/>
        <v>868.69100000000003</v>
      </c>
      <c r="AA55" s="34">
        <f t="shared" si="50"/>
        <v>496.01899999999955</v>
      </c>
      <c r="AB55" s="34">
        <f t="shared" si="51"/>
        <v>268.25964481689448</v>
      </c>
      <c r="AC55" s="34">
        <f t="shared" si="44"/>
        <v>515.40775682012872</v>
      </c>
      <c r="AD55" s="34">
        <f t="shared" si="45"/>
        <v>287.64840163702371</v>
      </c>
      <c r="AE55" s="781">
        <v>0.34977615532985196</v>
      </c>
      <c r="AF55" s="10">
        <f>'AX2'!UE52</f>
        <v>0</v>
      </c>
      <c r="AG55" s="10">
        <f t="shared" si="20"/>
        <v>335.024</v>
      </c>
      <c r="AH55" s="10">
        <v>337.15300000000002</v>
      </c>
      <c r="AI55" s="790">
        <v>296.7</v>
      </c>
      <c r="AJ55" s="790">
        <v>40.453000000000003</v>
      </c>
      <c r="AK55" s="10">
        <f>'AX2'!VI52/1000/1000/1000</f>
        <v>-2.129</v>
      </c>
      <c r="AL55" s="10">
        <f>'AX2'!VA52/1000/1000/1000</f>
        <v>0</v>
      </c>
      <c r="AM55" s="10">
        <f>'AX2'!VL52/1000/1000/1000</f>
        <v>0</v>
      </c>
      <c r="AN55" s="10">
        <f t="shared" si="21"/>
        <v>160.99499999999955</v>
      </c>
      <c r="AO55" s="94"/>
      <c r="AP55" s="11"/>
      <c r="AQ55" s="11"/>
      <c r="AR55" s="11"/>
      <c r="AS55" s="149"/>
      <c r="AT55" s="153"/>
      <c r="AU55" s="102"/>
      <c r="AV55" s="102"/>
      <c r="AW55" s="102"/>
      <c r="AX55" s="103"/>
      <c r="AY55" s="11"/>
      <c r="AZ55" s="10"/>
      <c r="BA55" s="11"/>
      <c r="BB55" s="11"/>
      <c r="BC55" s="10"/>
      <c r="BD55" s="10"/>
      <c r="BE55" s="13"/>
      <c r="BF55" s="34"/>
      <c r="BG55" s="10"/>
      <c r="BH55" s="34"/>
      <c r="BI55" s="34"/>
      <c r="BJ55" s="102"/>
      <c r="BK55" s="103"/>
      <c r="BL55" s="10">
        <f>'AX2'!IF52/1000/1000/1000</f>
        <v>825.32299999999998</v>
      </c>
      <c r="BM55" s="11"/>
      <c r="BN55" s="11"/>
      <c r="BO55" s="12"/>
      <c r="BP55" s="10"/>
      <c r="BQ55" s="10"/>
      <c r="BR55" s="10"/>
      <c r="BS55" s="13"/>
      <c r="BT55" s="34"/>
      <c r="BU55" s="34"/>
      <c r="BV55" s="14"/>
      <c r="BW55" s="10"/>
      <c r="BX55" s="10"/>
      <c r="BY55" s="10"/>
      <c r="BZ55" s="10"/>
      <c r="CA55" s="10"/>
      <c r="CB55" s="10"/>
      <c r="CC55" s="13"/>
      <c r="CD55" s="34"/>
      <c r="CE55" s="34"/>
      <c r="CF55" s="34"/>
      <c r="CG55" s="34"/>
      <c r="CH55" s="34"/>
      <c r="CI55" s="34"/>
      <c r="CJ55" s="13">
        <f>'AX2'!KU52/1000/1000/1000</f>
        <v>131.83699999999999</v>
      </c>
      <c r="CK55" s="34"/>
      <c r="CL55" s="14"/>
      <c r="CM55" s="116"/>
      <c r="CN55" s="10"/>
      <c r="CO55" s="10"/>
      <c r="CP55" s="10"/>
      <c r="CQ55" s="13"/>
      <c r="CR55" s="34"/>
      <c r="CS55" s="125"/>
      <c r="CT55" s="14"/>
      <c r="CU55" s="10"/>
      <c r="CV55" s="10"/>
      <c r="CW55" s="10"/>
      <c r="CX55" s="10"/>
      <c r="CY55" s="10"/>
      <c r="CZ55" s="13"/>
      <c r="DA55" s="34"/>
      <c r="DB55" s="34"/>
      <c r="DC55" s="34"/>
      <c r="DD55" s="14"/>
      <c r="DE55" s="13"/>
      <c r="DF55" s="14"/>
      <c r="DG55" s="116"/>
      <c r="DH55" s="10"/>
      <c r="DI55" s="10"/>
      <c r="DJ55" s="10"/>
      <c r="DK55" s="13"/>
      <c r="DL55" s="34"/>
      <c r="DM55" s="34"/>
      <c r="DN55" s="14"/>
      <c r="DO55" s="10"/>
      <c r="DP55" s="10"/>
      <c r="DQ55" s="10"/>
      <c r="DR55" s="10"/>
      <c r="DS55" s="10"/>
      <c r="DT55" s="13"/>
      <c r="DU55" s="34"/>
      <c r="DV55" s="34"/>
      <c r="DW55" s="34"/>
      <c r="DX55" s="14"/>
      <c r="DY55" s="13"/>
      <c r="DZ55" s="14"/>
      <c r="EA55" s="116"/>
      <c r="EB55" s="10"/>
      <c r="EC55" s="10"/>
      <c r="ED55" s="10"/>
      <c r="EE55" s="13"/>
      <c r="EF55" s="34"/>
      <c r="EG55" s="34"/>
      <c r="EH55" s="14"/>
      <c r="EI55" s="10"/>
      <c r="EJ55" s="10"/>
      <c r="EK55" s="10"/>
      <c r="EL55" s="10"/>
      <c r="EM55" s="10"/>
      <c r="EN55" s="13"/>
      <c r="EO55" s="34"/>
      <c r="EP55" s="34"/>
      <c r="EQ55" s="34"/>
      <c r="ER55" s="14"/>
      <c r="ES55" s="13"/>
      <c r="ET55" s="14"/>
      <c r="EU55" s="116"/>
      <c r="EV55" s="10">
        <f>'AX2'!SF52/1000/1000/1000</f>
        <v>2616.1840000000002</v>
      </c>
      <c r="EW55" s="10">
        <f>'AX2'!SC52/1000/1000/1000</f>
        <v>2783.9830000000002</v>
      </c>
      <c r="EX55" s="10">
        <f t="shared" si="43"/>
        <v>167.79899999999998</v>
      </c>
      <c r="EY55" s="10">
        <f>'AX2'!QC52/1000/1000/1000</f>
        <v>2.9260000000000002</v>
      </c>
      <c r="EZ55" s="10">
        <f>'AX2'!QD52/1000/1000/1000</f>
        <v>2.2839999999999998</v>
      </c>
      <c r="FA55" s="10">
        <f t="shared" si="39"/>
        <v>621.23</v>
      </c>
      <c r="FB55" s="10">
        <v>471.1</v>
      </c>
      <c r="FC55" s="10">
        <v>51.753999999999998</v>
      </c>
      <c r="FD55" s="10">
        <v>98.376000000000005</v>
      </c>
      <c r="FE55" s="10"/>
      <c r="FF55" s="10">
        <f t="shared" si="40"/>
        <v>649.21899999999994</v>
      </c>
      <c r="FG55" s="10">
        <v>346.42399999999998</v>
      </c>
      <c r="FH55" s="10">
        <v>171.06399999999999</v>
      </c>
      <c r="FI55" s="10">
        <v>131.73099999999999</v>
      </c>
      <c r="FJ55" s="10"/>
      <c r="FK55" s="10">
        <f>'AX2'!RA52/1000/1000/1000</f>
        <v>19.957999999999998</v>
      </c>
      <c r="FL55" s="10">
        <f>'AX2'!RB52/1000/1000/1000</f>
        <v>7.4560000000000004</v>
      </c>
      <c r="FM55" s="686">
        <f t="shared" si="41"/>
        <v>0.48484743673143332</v>
      </c>
      <c r="FN55" s="686">
        <f t="shared" si="42"/>
        <v>2.1727975491426461</v>
      </c>
      <c r="FQ55" s="12"/>
      <c r="FR55" s="259">
        <v>7.7744999999999997</v>
      </c>
      <c r="FS55" s="69">
        <v>75.5</v>
      </c>
      <c r="FT55" s="780">
        <f t="shared" si="30"/>
        <v>2.3035230352303593E-2</v>
      </c>
      <c r="FU55" s="780">
        <f t="shared" si="27"/>
        <v>0.72736030828516385</v>
      </c>
      <c r="FV55" s="780">
        <f t="shared" si="31"/>
        <v>3.4633027522935778</v>
      </c>
      <c r="FW55" s="781">
        <f t="shared" si="32"/>
        <v>1.0230352303523036</v>
      </c>
      <c r="FX55" s="9">
        <v>92.7</v>
      </c>
      <c r="FY55" s="161">
        <f t="shared" si="22"/>
        <v>0.32401258301293251</v>
      </c>
      <c r="FZ55" s="161">
        <f t="shared" si="23"/>
        <v>0.44546365717539593</v>
      </c>
      <c r="GA55" s="625">
        <f t="shared" si="35"/>
        <v>1.2429106503094127</v>
      </c>
      <c r="GB55" s="637">
        <v>2.4530120481927709</v>
      </c>
      <c r="GC55" s="475">
        <f t="shared" si="24"/>
        <v>0.55750273822562979</v>
      </c>
      <c r="GD55" s="806">
        <f t="shared" si="25"/>
        <v>0.76647396328238893</v>
      </c>
      <c r="GE55" s="806">
        <f t="shared" si="33"/>
        <v>0.70828692252453518</v>
      </c>
      <c r="GF55" s="814">
        <v>19965</v>
      </c>
      <c r="GG55" s="820">
        <f t="shared" si="28"/>
        <v>264.43708609271522</v>
      </c>
      <c r="GH55" s="806">
        <f t="shared" si="36"/>
        <v>4.6554497694155845</v>
      </c>
      <c r="GJ55" s="806">
        <v>3.0299999999999997E-2</v>
      </c>
      <c r="GK55" s="806">
        <v>7.7499999999999999E-2</v>
      </c>
      <c r="GL55" s="806">
        <f t="shared" si="37"/>
        <v>2.3035230352303593E-2</v>
      </c>
      <c r="GM55" s="806">
        <f t="shared" si="34"/>
        <v>5.3238410596026409E-2</v>
      </c>
      <c r="GN55" s="806">
        <f t="shared" si="38"/>
        <v>2.4351862870928427</v>
      </c>
      <c r="GO55" s="12"/>
      <c r="GP55" s="716"/>
      <c r="GQ55" s="825"/>
    </row>
    <row r="56" spans="2:200" s="9" customFormat="1" ht="12.75">
      <c r="B56" s="15">
        <v>2007</v>
      </c>
      <c r="C56" s="34">
        <f>'AX2'!VC53/1000/1000/1000</f>
        <v>3560.2220000000002</v>
      </c>
      <c r="D56" s="34">
        <f>'AX2'!VD53/1000/1000/1000</f>
        <v>1954.9770000000001</v>
      </c>
      <c r="E56" s="34">
        <f t="shared" si="46"/>
        <v>1605.2450000000001</v>
      </c>
      <c r="F56" s="54">
        <v>248.70267604076599</v>
      </c>
      <c r="G56" s="631">
        <f t="shared" si="5"/>
        <v>0.14999654778895644</v>
      </c>
      <c r="H56" s="14">
        <f t="shared" si="47"/>
        <v>1356.5423239592342</v>
      </c>
      <c r="I56" s="13">
        <f>'AX2'!SY53/1000/1000/1000</f>
        <v>779.6</v>
      </c>
      <c r="J56" s="34">
        <v>28.058</v>
      </c>
      <c r="K56" s="34">
        <f t="shared" si="8"/>
        <v>797.5870000000001</v>
      </c>
      <c r="L56" s="14">
        <f t="shared" si="9"/>
        <v>548.88432395923417</v>
      </c>
      <c r="M56" s="13">
        <f t="shared" si="10"/>
        <v>1658.0560000000003</v>
      </c>
      <c r="N56" s="34">
        <f t="shared" si="11"/>
        <v>1409.3533239592343</v>
      </c>
      <c r="O56" s="34">
        <f t="shared" si="12"/>
        <v>797.5870000000001</v>
      </c>
      <c r="P56" s="34">
        <f t="shared" si="13"/>
        <v>548.88432395923405</v>
      </c>
      <c r="Q56" s="34">
        <f t="shared" si="29"/>
        <v>779.04600000000005</v>
      </c>
      <c r="R56" s="34">
        <f t="shared" si="26"/>
        <v>28.058</v>
      </c>
      <c r="S56" s="14">
        <f>('AX2'!TS53-'AX2'!TT53)/1000/1000/1000</f>
        <v>53.365000000000002</v>
      </c>
      <c r="T56" s="13">
        <f>('AX2'!UA53)/1000/1000/1000</f>
        <v>7.3159999999999998</v>
      </c>
      <c r="U56" s="34">
        <f>'AX2'!UB53/1000/1000/1000</f>
        <v>21.411999999999999</v>
      </c>
      <c r="V56" s="34">
        <f t="shared" si="14"/>
        <v>1643.9600000000003</v>
      </c>
      <c r="W56" s="34">
        <f t="shared" si="15"/>
        <v>1395.2573239592343</v>
      </c>
      <c r="X56" s="13">
        <f>'AX2'!VG53/1000/1000/1000</f>
        <v>1121.335</v>
      </c>
      <c r="Y56" s="34">
        <f t="shared" si="48"/>
        <v>138.96700000000001</v>
      </c>
      <c r="Z56" s="125">
        <f t="shared" si="49"/>
        <v>982.36800000000005</v>
      </c>
      <c r="AA56" s="34">
        <f t="shared" si="50"/>
        <v>522.62500000000023</v>
      </c>
      <c r="AB56" s="34">
        <f t="shared" si="51"/>
        <v>273.92232395923429</v>
      </c>
      <c r="AC56" s="34">
        <f t="shared" si="44"/>
        <v>552.47310000424761</v>
      </c>
      <c r="AD56" s="34">
        <f t="shared" si="45"/>
        <v>303.77042396348162</v>
      </c>
      <c r="AE56" s="781">
        <v>0.34416746353625</v>
      </c>
      <c r="AF56" s="10">
        <f>'AX2'!UE53</f>
        <v>0</v>
      </c>
      <c r="AG56" s="10">
        <f t="shared" si="20"/>
        <v>353.197</v>
      </c>
      <c r="AH56" s="10">
        <v>340.35599999999999</v>
      </c>
      <c r="AI56" s="790">
        <v>302.39800000000002</v>
      </c>
      <c r="AJ56" s="790">
        <v>37.957999999999998</v>
      </c>
      <c r="AK56" s="10">
        <f>'AX2'!VI53/1000/1000/1000</f>
        <v>12.840999999999999</v>
      </c>
      <c r="AL56" s="10">
        <f>'AX2'!VA53/1000/1000/1000</f>
        <v>0</v>
      </c>
      <c r="AM56" s="10">
        <f>'AX2'!VL53/1000/1000/1000</f>
        <v>0</v>
      </c>
      <c r="AN56" s="10">
        <f t="shared" si="21"/>
        <v>169.42800000000022</v>
      </c>
      <c r="AO56" s="94"/>
      <c r="AP56" s="11"/>
      <c r="AQ56" s="11"/>
      <c r="AR56" s="11"/>
      <c r="AS56" s="149"/>
      <c r="AT56" s="153"/>
      <c r="AU56" s="102"/>
      <c r="AV56" s="102"/>
      <c r="AW56" s="102"/>
      <c r="AX56" s="103"/>
      <c r="AY56" s="11"/>
      <c r="AZ56" s="10"/>
      <c r="BA56" s="11"/>
      <c r="BB56" s="11"/>
      <c r="BC56" s="10"/>
      <c r="BD56" s="10"/>
      <c r="BE56" s="13"/>
      <c r="BF56" s="34"/>
      <c r="BG56" s="10"/>
      <c r="BH56" s="34"/>
      <c r="BI56" s="34"/>
      <c r="BJ56" s="102"/>
      <c r="BK56" s="103"/>
      <c r="BL56" s="10">
        <f>'AX2'!IF53/1000/1000/1000</f>
        <v>936.48199999999997</v>
      </c>
      <c r="BM56" s="11"/>
      <c r="BN56" s="11"/>
      <c r="BO56" s="12"/>
      <c r="BP56" s="10"/>
      <c r="BQ56" s="10"/>
      <c r="BR56" s="10"/>
      <c r="BS56" s="13"/>
      <c r="BT56" s="34"/>
      <c r="BU56" s="34"/>
      <c r="BV56" s="14"/>
      <c r="BW56" s="10"/>
      <c r="BX56" s="10"/>
      <c r="BY56" s="10"/>
      <c r="BZ56" s="10"/>
      <c r="CA56" s="10"/>
      <c r="CB56" s="10"/>
      <c r="CC56" s="13"/>
      <c r="CD56" s="34"/>
      <c r="CE56" s="34"/>
      <c r="CF56" s="34"/>
      <c r="CG56" s="34"/>
      <c r="CH56" s="34"/>
      <c r="CI56" s="34"/>
      <c r="CJ56" s="13">
        <f>'AX2'!KU53/1000/1000/1000</f>
        <v>138.96700000000001</v>
      </c>
      <c r="CK56" s="34"/>
      <c r="CL56" s="14"/>
      <c r="CM56" s="116"/>
      <c r="CN56" s="10"/>
      <c r="CO56" s="10"/>
      <c r="CP56" s="10"/>
      <c r="CQ56" s="13"/>
      <c r="CR56" s="34"/>
      <c r="CS56" s="125"/>
      <c r="CT56" s="14"/>
      <c r="CU56" s="10"/>
      <c r="CV56" s="10"/>
      <c r="CW56" s="10"/>
      <c r="CX56" s="10"/>
      <c r="CY56" s="10"/>
      <c r="CZ56" s="13"/>
      <c r="DA56" s="34"/>
      <c r="DB56" s="34"/>
      <c r="DC56" s="34"/>
      <c r="DD56" s="14"/>
      <c r="DE56" s="13"/>
      <c r="DF56" s="14"/>
      <c r="DG56" s="116"/>
      <c r="DH56" s="10"/>
      <c r="DI56" s="10"/>
      <c r="DJ56" s="10"/>
      <c r="DK56" s="13"/>
      <c r="DL56" s="34"/>
      <c r="DM56" s="34"/>
      <c r="DN56" s="14"/>
      <c r="DO56" s="10"/>
      <c r="DP56" s="10"/>
      <c r="DQ56" s="10"/>
      <c r="DR56" s="10"/>
      <c r="DS56" s="10"/>
      <c r="DT56" s="13"/>
      <c r="DU56" s="34"/>
      <c r="DV56" s="34"/>
      <c r="DW56" s="34"/>
      <c r="DX56" s="14"/>
      <c r="DY56" s="13"/>
      <c r="DZ56" s="14"/>
      <c r="EA56" s="116"/>
      <c r="EB56" s="10"/>
      <c r="EC56" s="10"/>
      <c r="ED56" s="10"/>
      <c r="EE56" s="13"/>
      <c r="EF56" s="34"/>
      <c r="EG56" s="34"/>
      <c r="EH56" s="14"/>
      <c r="EI56" s="10"/>
      <c r="EJ56" s="10"/>
      <c r="EK56" s="10"/>
      <c r="EL56" s="10"/>
      <c r="EM56" s="10"/>
      <c r="EN56" s="13"/>
      <c r="EO56" s="34"/>
      <c r="EP56" s="34"/>
      <c r="EQ56" s="34"/>
      <c r="ER56" s="14"/>
      <c r="ES56" s="13"/>
      <c r="ET56" s="14"/>
      <c r="EU56" s="116"/>
      <c r="EV56" s="10">
        <f>'AX2'!SF53/1000/1000/1000</f>
        <v>2900.99</v>
      </c>
      <c r="EW56" s="10">
        <f>'AX2'!SC53/1000/1000/1000</f>
        <v>3077.2139999999999</v>
      </c>
      <c r="EX56" s="10">
        <f t="shared" si="43"/>
        <v>176.22400000000016</v>
      </c>
      <c r="EY56" s="10">
        <f>'AX2'!QC53/1000/1000/1000</f>
        <v>3.024</v>
      </c>
      <c r="EZ56" s="10">
        <f>'AX2'!QD53/1000/1000/1000</f>
        <v>2.4700000000000002</v>
      </c>
      <c r="FA56" s="10">
        <f t="shared" si="39"/>
        <v>847.38900000000001</v>
      </c>
      <c r="FB56" s="10">
        <v>649.06299999999999</v>
      </c>
      <c r="FC56" s="10">
        <v>65.855999999999995</v>
      </c>
      <c r="FD56" s="10">
        <v>132.47</v>
      </c>
      <c r="FE56" s="10"/>
      <c r="FF56" s="10">
        <f t="shared" si="40"/>
        <v>892.37900000000002</v>
      </c>
      <c r="FG56" s="10">
        <v>494.512</v>
      </c>
      <c r="FH56" s="10">
        <v>210.977</v>
      </c>
      <c r="FI56" s="10">
        <v>186.89</v>
      </c>
      <c r="FJ56" s="10"/>
      <c r="FK56" s="10">
        <f>'AX2'!RA53/1000/1000/1000</f>
        <v>21.411999999999999</v>
      </c>
      <c r="FL56" s="10">
        <f>'AX2'!RB53/1000/1000/1000</f>
        <v>7.3159999999999998</v>
      </c>
      <c r="FM56" s="686">
        <f t="shared" si="41"/>
        <v>0.60126086595479644</v>
      </c>
      <c r="FN56" s="686">
        <f t="shared" si="42"/>
        <v>2.1834226717224592</v>
      </c>
      <c r="FQ56" s="12"/>
      <c r="FR56" s="259">
        <v>7.8014999999999999</v>
      </c>
      <c r="FS56" s="69">
        <v>78.400000000000006</v>
      </c>
      <c r="FT56" s="780">
        <f t="shared" si="30"/>
        <v>3.8410596026490218E-2</v>
      </c>
      <c r="FU56" s="780">
        <f t="shared" si="27"/>
        <v>0.75529865125240858</v>
      </c>
      <c r="FV56" s="780">
        <f t="shared" si="31"/>
        <v>3.596330275229358</v>
      </c>
      <c r="FW56" s="781">
        <f t="shared" si="32"/>
        <v>1.0384105960264902</v>
      </c>
      <c r="FX56" s="9">
        <v>103.5</v>
      </c>
      <c r="FY56" s="161">
        <f t="shared" si="22"/>
        <v>0.36176162181055571</v>
      </c>
      <c r="FZ56" s="161">
        <f t="shared" si="23"/>
        <v>0.47896500438693468</v>
      </c>
      <c r="GA56" s="625">
        <f t="shared" si="35"/>
        <v>1.3363844513215122</v>
      </c>
      <c r="GB56" s="637">
        <v>2.7879518072289158</v>
      </c>
      <c r="GC56" s="475">
        <f t="shared" si="24"/>
        <v>0.6336254107338446</v>
      </c>
      <c r="GD56" s="806">
        <f t="shared" si="25"/>
        <v>0.83890711268077878</v>
      </c>
      <c r="GE56" s="806">
        <f t="shared" si="33"/>
        <v>0.77522129333661183</v>
      </c>
      <c r="GF56" s="814">
        <v>27813</v>
      </c>
      <c r="GG56" s="820">
        <f t="shared" si="28"/>
        <v>354.75765306122446</v>
      </c>
      <c r="GH56" s="806">
        <f t="shared" si="36"/>
        <v>6.2455552605931883</v>
      </c>
      <c r="GI56" s="806">
        <v>0.32400000000000001</v>
      </c>
      <c r="GJ56" s="806">
        <v>2.81E-2</v>
      </c>
      <c r="GK56" s="806">
        <v>7.7499999999999999E-2</v>
      </c>
      <c r="GL56" s="806">
        <f t="shared" si="37"/>
        <v>3.8410596026490218E-2</v>
      </c>
      <c r="GM56" s="806">
        <f t="shared" si="34"/>
        <v>3.7643494897958929E-2</v>
      </c>
      <c r="GN56" s="806">
        <f t="shared" si="38"/>
        <v>2.5268552096666017</v>
      </c>
      <c r="GO56" s="12"/>
      <c r="GP56" s="716"/>
      <c r="GQ56" s="825"/>
    </row>
    <row r="57" spans="2:200" s="9" customFormat="1" ht="12.75">
      <c r="B57" s="15">
        <v>2008</v>
      </c>
      <c r="C57" s="34">
        <f>'AX2'!VC54/1000/1000/1000</f>
        <v>3687.7939999999999</v>
      </c>
      <c r="D57" s="34">
        <f>'AX2'!VD54/1000/1000/1000</f>
        <v>2067.7800000000002</v>
      </c>
      <c r="E57" s="34">
        <f t="shared" si="46"/>
        <v>1620.0139999999997</v>
      </c>
      <c r="F57" s="54">
        <v>263.21722905023404</v>
      </c>
      <c r="G57" s="631">
        <f t="shared" si="5"/>
        <v>0.15298684297569815</v>
      </c>
      <c r="H57" s="14">
        <f t="shared" si="47"/>
        <v>1356.7967709497657</v>
      </c>
      <c r="I57" s="13">
        <f>'AX2'!SY54/1000/1000/1000</f>
        <v>802.65599999999995</v>
      </c>
      <c r="J57" s="34">
        <v>23.597000000000001</v>
      </c>
      <c r="K57" s="34">
        <f t="shared" si="8"/>
        <v>793.76099999999974</v>
      </c>
      <c r="L57" s="14">
        <f t="shared" si="9"/>
        <v>530.54377094976576</v>
      </c>
      <c r="M57" s="13">
        <f t="shared" si="10"/>
        <v>1720.5219999999995</v>
      </c>
      <c r="N57" s="34">
        <f t="shared" si="11"/>
        <v>1457.3047709497655</v>
      </c>
      <c r="O57" s="34">
        <f t="shared" si="12"/>
        <v>793.76099999999974</v>
      </c>
      <c r="P57" s="34">
        <f t="shared" si="13"/>
        <v>530.54377094976576</v>
      </c>
      <c r="Q57" s="34">
        <f t="shared" si="29"/>
        <v>802.36199999999997</v>
      </c>
      <c r="R57" s="34">
        <f t="shared" si="26"/>
        <v>23.597000000000001</v>
      </c>
      <c r="S57" s="14">
        <f>('AX2'!TS54-'AX2'!TT54)/1000/1000/1000</f>
        <v>100.80200000000001</v>
      </c>
      <c r="T57" s="13">
        <f>('AX2'!UA54)/1000/1000/1000</f>
        <v>4.7590000000000003</v>
      </c>
      <c r="U57" s="34">
        <f>'AX2'!UB54/1000/1000/1000</f>
        <v>23.17</v>
      </c>
      <c r="V57" s="34">
        <f t="shared" si="14"/>
        <v>1702.1109999999994</v>
      </c>
      <c r="W57" s="34">
        <f t="shared" si="15"/>
        <v>1438.8937709497654</v>
      </c>
      <c r="X57" s="13">
        <f>'AX2'!VG54/1000/1000/1000</f>
        <v>1174.499</v>
      </c>
      <c r="Y57" s="34">
        <f t="shared" si="48"/>
        <v>148.017</v>
      </c>
      <c r="Z57" s="125">
        <f t="shared" si="49"/>
        <v>1026.482</v>
      </c>
      <c r="AA57" s="34">
        <f t="shared" si="50"/>
        <v>527.6119999999994</v>
      </c>
      <c r="AB57" s="34">
        <f t="shared" si="51"/>
        <v>264.39477094976542</v>
      </c>
      <c r="AC57" s="34">
        <f t="shared" si="44"/>
        <v>583.57702411634546</v>
      </c>
      <c r="AD57" s="34">
        <f t="shared" si="45"/>
        <v>320.35979506611142</v>
      </c>
      <c r="AE57" s="781">
        <v>0.36022961784055296</v>
      </c>
      <c r="AF57" s="10">
        <f>'AX2'!UE54</f>
        <v>0</v>
      </c>
      <c r="AG57" s="10">
        <f t="shared" si="20"/>
        <v>359.27600000000001</v>
      </c>
      <c r="AH57" s="10">
        <v>350.79599999999999</v>
      </c>
      <c r="AI57" s="790">
        <v>307.92700000000002</v>
      </c>
      <c r="AJ57" s="790">
        <v>42.869</v>
      </c>
      <c r="AK57" s="10">
        <f>'AX2'!VI54/1000/1000/1000</f>
        <v>8.48</v>
      </c>
      <c r="AL57" s="10">
        <f>'AX2'!VA54/1000/1000/1000</f>
        <v>0</v>
      </c>
      <c r="AM57" s="10">
        <f>'AX2'!VL54/1000/1000/1000</f>
        <v>0</v>
      </c>
      <c r="AN57" s="10">
        <f t="shared" si="21"/>
        <v>168.33599999999939</v>
      </c>
      <c r="AO57" s="94"/>
      <c r="AP57" s="11"/>
      <c r="AQ57" s="11"/>
      <c r="AR57" s="11"/>
      <c r="AS57" s="149"/>
      <c r="AT57" s="153"/>
      <c r="AU57" s="102"/>
      <c r="AV57" s="102"/>
      <c r="AW57" s="102"/>
      <c r="AX57" s="103"/>
      <c r="AY57" s="11"/>
      <c r="AZ57" s="10"/>
      <c r="BA57" s="11"/>
      <c r="BB57" s="11"/>
      <c r="BC57" s="10"/>
      <c r="BD57" s="10"/>
      <c r="BE57" s="13"/>
      <c r="BF57" s="34"/>
      <c r="BG57" s="10"/>
      <c r="BH57" s="34"/>
      <c r="BI57" s="34"/>
      <c r="BJ57" s="102"/>
      <c r="BK57" s="103"/>
      <c r="BL57" s="10">
        <f>'AX2'!IF54/1000/1000/1000</f>
        <v>977.76700000000005</v>
      </c>
      <c r="BM57" s="11"/>
      <c r="BN57" s="11"/>
      <c r="BO57" s="12"/>
      <c r="BP57" s="10"/>
      <c r="BQ57" s="10"/>
      <c r="BR57" s="10"/>
      <c r="BS57" s="13"/>
      <c r="BT57" s="34"/>
      <c r="BU57" s="34"/>
      <c r="BV57" s="14"/>
      <c r="BW57" s="10"/>
      <c r="BX57" s="10"/>
      <c r="BY57" s="10"/>
      <c r="BZ57" s="10"/>
      <c r="CA57" s="10"/>
      <c r="CB57" s="10"/>
      <c r="CC57" s="13"/>
      <c r="CD57" s="34"/>
      <c r="CE57" s="34"/>
      <c r="CF57" s="34"/>
      <c r="CG57" s="34"/>
      <c r="CH57" s="34"/>
      <c r="CI57" s="34"/>
      <c r="CJ57" s="13">
        <f>'AX2'!KU54/1000/1000/1000</f>
        <v>148.017</v>
      </c>
      <c r="CK57" s="34"/>
      <c r="CL57" s="14"/>
      <c r="CM57" s="116"/>
      <c r="CN57" s="10"/>
      <c r="CO57" s="10"/>
      <c r="CP57" s="10"/>
      <c r="CQ57" s="13"/>
      <c r="CR57" s="34"/>
      <c r="CS57" s="125"/>
      <c r="CT57" s="14"/>
      <c r="CU57" s="10"/>
      <c r="CV57" s="10"/>
      <c r="CW57" s="10"/>
      <c r="CX57" s="10"/>
      <c r="CY57" s="10"/>
      <c r="CZ57" s="13"/>
      <c r="DA57" s="34"/>
      <c r="DB57" s="34"/>
      <c r="DC57" s="34"/>
      <c r="DD57" s="14"/>
      <c r="DE57" s="13"/>
      <c r="DF57" s="14"/>
      <c r="DG57" s="116"/>
      <c r="DH57" s="10"/>
      <c r="DI57" s="10"/>
      <c r="DJ57" s="10"/>
      <c r="DK57" s="13"/>
      <c r="DL57" s="34"/>
      <c r="DM57" s="34"/>
      <c r="DN57" s="14"/>
      <c r="DO57" s="10"/>
      <c r="DP57" s="10"/>
      <c r="DQ57" s="10"/>
      <c r="DR57" s="10"/>
      <c r="DS57" s="10"/>
      <c r="DT57" s="13"/>
      <c r="DU57" s="34"/>
      <c r="DV57" s="34"/>
      <c r="DW57" s="34"/>
      <c r="DX57" s="14"/>
      <c r="DY57" s="13"/>
      <c r="DZ57" s="14"/>
      <c r="EA57" s="116"/>
      <c r="EB57" s="10"/>
      <c r="EC57" s="10"/>
      <c r="ED57" s="10"/>
      <c r="EE57" s="13"/>
      <c r="EF57" s="34"/>
      <c r="EG57" s="34"/>
      <c r="EH57" s="14"/>
      <c r="EI57" s="10"/>
      <c r="EJ57" s="10"/>
      <c r="EK57" s="10"/>
      <c r="EL57" s="10"/>
      <c r="EM57" s="10"/>
      <c r="EN57" s="13"/>
      <c r="EO57" s="34"/>
      <c r="EP57" s="34"/>
      <c r="EQ57" s="34"/>
      <c r="ER57" s="14"/>
      <c r="ES57" s="13"/>
      <c r="ET57" s="14"/>
      <c r="EU57" s="116"/>
      <c r="EV57" s="10">
        <f>'AX2'!SF54/1000/1000/1000</f>
        <v>3128.8270000000002</v>
      </c>
      <c r="EW57" s="10">
        <f>'AX2'!SC54/1000/1000/1000</f>
        <v>3302.5390000000002</v>
      </c>
      <c r="EX57" s="10">
        <f t="shared" si="43"/>
        <v>173.71199999999999</v>
      </c>
      <c r="EY57" s="10">
        <f>'AX2'!QC54/1000/1000/1000</f>
        <v>3.0609999999999999</v>
      </c>
      <c r="EZ57" s="10">
        <f>'AX2'!QD54/1000/1000/1000</f>
        <v>2.7669999999999999</v>
      </c>
      <c r="FA57" s="10">
        <f t="shared" si="39"/>
        <v>856.42899999999997</v>
      </c>
      <c r="FB57" s="10">
        <v>672.553</v>
      </c>
      <c r="FC57" s="10">
        <v>80.284999999999997</v>
      </c>
      <c r="FD57" s="10">
        <v>103.59099999999999</v>
      </c>
      <c r="FE57" s="10"/>
      <c r="FF57" s="10">
        <f t="shared" si="40"/>
        <v>938.17299999999989</v>
      </c>
      <c r="FG57" s="10">
        <v>605.27599999999995</v>
      </c>
      <c r="FH57" s="10">
        <v>208.62200000000001</v>
      </c>
      <c r="FI57" s="10">
        <v>124.27500000000001</v>
      </c>
      <c r="FJ57" s="10"/>
      <c r="FK57" s="10">
        <f>'AX2'!RA54/1000/1000/1000</f>
        <v>23.17</v>
      </c>
      <c r="FL57" s="10">
        <f>'AX2'!RB54/1000/1000/1000</f>
        <v>4.7590000000000003</v>
      </c>
      <c r="FM57" s="686">
        <f t="shared" si="41"/>
        <v>0.58768009072106564</v>
      </c>
      <c r="FN57" s="686">
        <f t="shared" si="42"/>
        <v>2.2661965196529517</v>
      </c>
      <c r="FQ57" s="12"/>
      <c r="FR57" s="259">
        <v>7.7504999999999997</v>
      </c>
      <c r="FS57" s="69">
        <v>80</v>
      </c>
      <c r="FT57" s="780">
        <f t="shared" si="30"/>
        <v>2.0408163265306145E-2</v>
      </c>
      <c r="FU57" s="780">
        <f t="shared" si="27"/>
        <v>0.77071290944123316</v>
      </c>
      <c r="FV57" s="780">
        <f t="shared" si="31"/>
        <v>3.6697247706422016</v>
      </c>
      <c r="FW57" s="781">
        <f t="shared" si="32"/>
        <v>1.0204081632653059</v>
      </c>
      <c r="FX57" s="9">
        <v>120.5</v>
      </c>
      <c r="FY57" s="161">
        <f t="shared" si="22"/>
        <v>0.42118140510311075</v>
      </c>
      <c r="FZ57" s="161">
        <f t="shared" si="23"/>
        <v>0.54648287312128618</v>
      </c>
      <c r="GA57" s="625">
        <f t="shared" si="35"/>
        <v>1.5247694672131147</v>
      </c>
      <c r="GB57" s="637">
        <v>2.419277108433735</v>
      </c>
      <c r="GC57" s="475">
        <f t="shared" si="24"/>
        <v>0.54983570646221258</v>
      </c>
      <c r="GD57" s="806">
        <f t="shared" si="25"/>
        <v>0.71341182913472079</v>
      </c>
      <c r="GE57" s="806">
        <f t="shared" si="33"/>
        <v>0.65925301204819287</v>
      </c>
      <c r="GF57" s="814">
        <v>14387</v>
      </c>
      <c r="GG57" s="820">
        <f t="shared" si="28"/>
        <v>179.83750000000001</v>
      </c>
      <c r="GH57" s="806">
        <f t="shared" si="36"/>
        <v>3.1660629009265859</v>
      </c>
      <c r="GJ57" s="806">
        <v>1.9599999999999999E-2</v>
      </c>
      <c r="GK57" s="806">
        <v>6.5599999999999992E-2</v>
      </c>
      <c r="GL57" s="806">
        <f t="shared" si="37"/>
        <v>2.0408163265306145E-2</v>
      </c>
      <c r="GM57" s="806">
        <f t="shared" si="34"/>
        <v>4.4288000000000105E-2</v>
      </c>
      <c r="GN57" s="806">
        <f t="shared" si="38"/>
        <v>2.6387645731923164</v>
      </c>
      <c r="GO57" s="12"/>
      <c r="GP57" s="716"/>
      <c r="GQ57" s="825"/>
    </row>
    <row r="58" spans="2:200" s="9" customFormat="1" ht="12.75">
      <c r="B58" s="15">
        <v>2009</v>
      </c>
      <c r="C58" s="34">
        <f>'AX2'!VC55/1000/1000/1000</f>
        <v>3381.4929999999999</v>
      </c>
      <c r="D58" s="34">
        <f>'AX2'!VD55/1000/1000/1000</f>
        <v>1799.6690000000001</v>
      </c>
      <c r="E58" s="34">
        <f t="shared" si="46"/>
        <v>1581.8239999999998</v>
      </c>
      <c r="F58" s="54">
        <v>270.92969686404695</v>
      </c>
      <c r="G58" s="631">
        <f t="shared" si="5"/>
        <v>0.16605306917141732</v>
      </c>
      <c r="H58" s="14">
        <f t="shared" si="47"/>
        <v>1310.8943031359529</v>
      </c>
      <c r="I58" s="13">
        <f>'AX2'!SY55/1000/1000/1000</f>
        <v>819.94299999999998</v>
      </c>
      <c r="J58" s="34">
        <v>23.361000000000001</v>
      </c>
      <c r="K58" s="34">
        <f t="shared" si="8"/>
        <v>738.51999999999987</v>
      </c>
      <c r="L58" s="14">
        <f t="shared" si="9"/>
        <v>467.59030313595292</v>
      </c>
      <c r="M58" s="13">
        <f t="shared" si="10"/>
        <v>1631.585</v>
      </c>
      <c r="N58" s="34">
        <f t="shared" si="11"/>
        <v>1360.6553031359531</v>
      </c>
      <c r="O58" s="34">
        <f t="shared" si="12"/>
        <v>738.51999999999987</v>
      </c>
      <c r="P58" s="34">
        <f t="shared" si="13"/>
        <v>467.59030313595292</v>
      </c>
      <c r="Q58" s="34">
        <f t="shared" si="29"/>
        <v>819.43500000000006</v>
      </c>
      <c r="R58" s="34">
        <f t="shared" si="26"/>
        <v>23.361000000000001</v>
      </c>
      <c r="S58" s="14">
        <f>('AX2'!TS55-'AX2'!TT55)/1000/1000/1000</f>
        <v>50.268999999999998</v>
      </c>
      <c r="T58" s="13">
        <f>('AX2'!UA55)/1000/1000/1000</f>
        <v>3.637</v>
      </c>
      <c r="U58" s="34">
        <f>'AX2'!UB55/1000/1000/1000</f>
        <v>20.021999999999998</v>
      </c>
      <c r="V58" s="34">
        <f t="shared" si="14"/>
        <v>1615.2</v>
      </c>
      <c r="W58" s="34">
        <f t="shared" si="15"/>
        <v>1344.2703031359531</v>
      </c>
      <c r="X58" s="13">
        <f>'AX2'!VG55/1000/1000/1000</f>
        <v>1166.127</v>
      </c>
      <c r="Y58" s="34">
        <f t="shared" si="48"/>
        <v>152.512</v>
      </c>
      <c r="Z58" s="125">
        <f t="shared" si="49"/>
        <v>1013.615</v>
      </c>
      <c r="AA58" s="34">
        <f t="shared" si="50"/>
        <v>449.07300000000009</v>
      </c>
      <c r="AB58" s="34">
        <f t="shared" si="51"/>
        <v>178.14330313595315</v>
      </c>
      <c r="AC58" s="34">
        <f t="shared" si="44"/>
        <v>501.92741717374997</v>
      </c>
      <c r="AD58" s="34">
        <f t="shared" si="45"/>
        <v>230.99772030970303</v>
      </c>
      <c r="AE58" s="781">
        <v>0.31730926902977197</v>
      </c>
      <c r="AF58" s="10">
        <f>'AX2'!UE55</f>
        <v>0</v>
      </c>
      <c r="AG58" s="10">
        <f t="shared" si="20"/>
        <v>362.49299999999999</v>
      </c>
      <c r="AH58" s="10">
        <v>339.55200000000002</v>
      </c>
      <c r="AI58" s="790">
        <v>291.13200000000001</v>
      </c>
      <c r="AJ58" s="790">
        <v>48.42</v>
      </c>
      <c r="AK58" s="10">
        <f>'AX2'!VI55/1000/1000/1000</f>
        <v>22.940999999999999</v>
      </c>
      <c r="AL58" s="10">
        <f>'AX2'!VA55/1000/1000/1000</f>
        <v>0</v>
      </c>
      <c r="AM58" s="10">
        <f>'AX2'!VL55/1000/1000/1000</f>
        <v>0</v>
      </c>
      <c r="AN58" s="10">
        <f t="shared" si="21"/>
        <v>86.580000000000098</v>
      </c>
      <c r="AO58" s="94"/>
      <c r="AP58" s="11"/>
      <c r="AQ58" s="11"/>
      <c r="AR58" s="11"/>
      <c r="AS58" s="149"/>
      <c r="AT58" s="153"/>
      <c r="AU58" s="102"/>
      <c r="AV58" s="102"/>
      <c r="AW58" s="102"/>
      <c r="AX58" s="103"/>
      <c r="AY58" s="11"/>
      <c r="AZ58" s="10"/>
      <c r="BA58" s="11"/>
      <c r="BB58" s="11"/>
      <c r="BC58" s="10"/>
      <c r="BD58" s="10"/>
      <c r="BE58" s="13"/>
      <c r="BF58" s="34"/>
      <c r="BG58" s="10"/>
      <c r="BH58" s="34"/>
      <c r="BI58" s="34"/>
      <c r="BJ58" s="102"/>
      <c r="BK58" s="103"/>
      <c r="BL58" s="10">
        <f>'AX2'!IF55/1000/1000/1000</f>
        <v>961.62900000000002</v>
      </c>
      <c r="BM58" s="11"/>
      <c r="BN58" s="11"/>
      <c r="BO58" s="12"/>
      <c r="BP58" s="10"/>
      <c r="BQ58" s="10"/>
      <c r="BR58" s="10"/>
      <c r="BS58" s="13"/>
      <c r="BT58" s="34"/>
      <c r="BU58" s="34"/>
      <c r="BV58" s="14"/>
      <c r="BW58" s="10"/>
      <c r="BX58" s="10"/>
      <c r="BY58" s="10"/>
      <c r="BZ58" s="10"/>
      <c r="CA58" s="10"/>
      <c r="CB58" s="10"/>
      <c r="CC58" s="13"/>
      <c r="CD58" s="34"/>
      <c r="CE58" s="34"/>
      <c r="CF58" s="34"/>
      <c r="CG58" s="34"/>
      <c r="CH58" s="34"/>
      <c r="CI58" s="34"/>
      <c r="CJ58" s="13">
        <f>'AX2'!KU55/1000/1000/1000</f>
        <v>152.512</v>
      </c>
      <c r="CK58" s="34"/>
      <c r="CL58" s="14"/>
      <c r="CM58" s="116"/>
      <c r="CN58" s="10"/>
      <c r="CO58" s="10"/>
      <c r="CP58" s="10"/>
      <c r="CQ58" s="13"/>
      <c r="CR58" s="34"/>
      <c r="CS58" s="125"/>
      <c r="CT58" s="14"/>
      <c r="CU58" s="10"/>
      <c r="CV58" s="10"/>
      <c r="CW58" s="10"/>
      <c r="CX58" s="10"/>
      <c r="CY58" s="10"/>
      <c r="CZ58" s="13"/>
      <c r="DA58" s="34"/>
      <c r="DB58" s="34"/>
      <c r="DC58" s="34"/>
      <c r="DD58" s="14"/>
      <c r="DE58" s="13"/>
      <c r="DF58" s="14"/>
      <c r="DG58" s="116"/>
      <c r="DH58" s="10"/>
      <c r="DI58" s="10"/>
      <c r="DJ58" s="10"/>
      <c r="DK58" s="13"/>
      <c r="DL58" s="34"/>
      <c r="DM58" s="34"/>
      <c r="DN58" s="14"/>
      <c r="DO58" s="10"/>
      <c r="DP58" s="10"/>
      <c r="DQ58" s="10"/>
      <c r="DR58" s="10"/>
      <c r="DS58" s="10"/>
      <c r="DT58" s="13"/>
      <c r="DU58" s="34"/>
      <c r="DV58" s="34"/>
      <c r="DW58" s="34"/>
      <c r="DX58" s="14"/>
      <c r="DY58" s="13"/>
      <c r="DZ58" s="14"/>
      <c r="EA58" s="116"/>
      <c r="EB58" s="10"/>
      <c r="EC58" s="10"/>
      <c r="ED58" s="10"/>
      <c r="EE58" s="13"/>
      <c r="EF58" s="34"/>
      <c r="EG58" s="34"/>
      <c r="EH58" s="14"/>
      <c r="EI58" s="10"/>
      <c r="EJ58" s="10"/>
      <c r="EK58" s="10"/>
      <c r="EL58" s="10"/>
      <c r="EM58" s="10"/>
      <c r="EN58" s="13"/>
      <c r="EO58" s="34"/>
      <c r="EP58" s="34"/>
      <c r="EQ58" s="34"/>
      <c r="ER58" s="14"/>
      <c r="ES58" s="13"/>
      <c r="ET58" s="14"/>
      <c r="EU58" s="116"/>
      <c r="EV58" s="10">
        <f>'AX2'!SF55/1000/1000/1000</f>
        <v>2825.0720000000001</v>
      </c>
      <c r="EW58" s="10">
        <f>'AX2'!SC55/1000/1000/1000</f>
        <v>2955.6970000000001</v>
      </c>
      <c r="EX58" s="10">
        <f t="shared" si="43"/>
        <v>130.625</v>
      </c>
      <c r="EY58" s="10">
        <f>'AX2'!QC55/1000/1000/1000</f>
        <v>3.2040000000000002</v>
      </c>
      <c r="EZ58" s="10">
        <f>'AX2'!QD55/1000/1000/1000</f>
        <v>2.6960000000000002</v>
      </c>
      <c r="FA58" s="10">
        <f t="shared" si="39"/>
        <v>737.45399999999995</v>
      </c>
      <c r="FB58" s="10">
        <v>624.30100000000004</v>
      </c>
      <c r="FC58" s="10">
        <v>67.828999999999994</v>
      </c>
      <c r="FD58" s="10">
        <v>42.12</v>
      </c>
      <c r="FE58" s="10">
        <v>3.2040000000000002</v>
      </c>
      <c r="FF58" s="10">
        <f t="shared" si="40"/>
        <v>784.51900000000001</v>
      </c>
      <c r="FG58" s="10">
        <v>575.01400000000001</v>
      </c>
      <c r="FH58" s="10">
        <v>127.72499999999999</v>
      </c>
      <c r="FI58" s="10">
        <v>46.052999999999997</v>
      </c>
      <c r="FJ58" s="10">
        <v>35.726999999999997</v>
      </c>
      <c r="FK58" s="10">
        <f>'AX2'!RA55/1000/1000/1000</f>
        <v>20.021999999999998</v>
      </c>
      <c r="FL58" s="10">
        <f>'AX2'!RB55/1000/1000/1000</f>
        <v>3.637</v>
      </c>
      <c r="FM58" s="686">
        <f t="shared" si="41"/>
        <v>0.54198443816032038</v>
      </c>
      <c r="FN58" s="686">
        <f t="shared" si="42"/>
        <v>2.1722599347446003</v>
      </c>
      <c r="FQ58" s="12"/>
      <c r="FR58" s="259">
        <v>7.7554999999999996</v>
      </c>
      <c r="FS58" s="69">
        <v>81.3</v>
      </c>
      <c r="FT58" s="780">
        <f t="shared" si="30"/>
        <v>1.6249999999999876E-2</v>
      </c>
      <c r="FU58" s="780">
        <f t="shared" si="27"/>
        <v>0.7832369942196532</v>
      </c>
      <c r="FV58" s="780">
        <f t="shared" si="31"/>
        <v>3.7293577981651373</v>
      </c>
      <c r="FW58" s="781">
        <f t="shared" si="32"/>
        <v>1.0162500000000001</v>
      </c>
      <c r="FX58" s="9">
        <v>121.3</v>
      </c>
      <c r="FY58" s="161">
        <f t="shared" si="22"/>
        <v>0.42397763019923101</v>
      </c>
      <c r="FZ58" s="161">
        <f t="shared" si="23"/>
        <v>0.54131461272669346</v>
      </c>
      <c r="GA58" s="625">
        <f t="shared" si="35"/>
        <v>1.5103492428366907</v>
      </c>
      <c r="GB58" s="637">
        <v>2.8843373493975903</v>
      </c>
      <c r="GC58" s="475">
        <f t="shared" si="24"/>
        <v>0.65553121577217965</v>
      </c>
      <c r="GD58" s="806">
        <f t="shared" si="25"/>
        <v>0.83695129393791201</v>
      </c>
      <c r="GE58" s="806">
        <f t="shared" si="33"/>
        <v>0.77341395100697996</v>
      </c>
      <c r="GF58" s="814">
        <v>21873</v>
      </c>
      <c r="GG58" s="820">
        <f t="shared" si="28"/>
        <v>269.04059040590408</v>
      </c>
      <c r="GH58" s="806">
        <f t="shared" si="36"/>
        <v>4.7364950698687318</v>
      </c>
      <c r="GI58" s="806">
        <v>0.32600000000000001</v>
      </c>
      <c r="GJ58" s="806">
        <v>4.8999999999999998E-3</v>
      </c>
      <c r="GK58" s="806">
        <v>0.05</v>
      </c>
      <c r="GL58" s="806">
        <f t="shared" si="37"/>
        <v>1.6249999999999876E-2</v>
      </c>
      <c r="GM58" s="806">
        <f t="shared" si="34"/>
        <v>3.3210332103321027E-2</v>
      </c>
      <c r="GN58" s="806">
        <f t="shared" si="38"/>
        <v>2.7263988210105112</v>
      </c>
      <c r="GO58" s="12"/>
      <c r="GP58" s="716"/>
      <c r="GQ58" s="825"/>
    </row>
    <row r="59" spans="2:200" s="9" customFormat="1" ht="12.75">
      <c r="B59" s="15">
        <v>2010</v>
      </c>
      <c r="C59" s="34">
        <f>'AX2'!VC56/1000/1000/1000</f>
        <v>3804.2359999999999</v>
      </c>
      <c r="D59" s="34">
        <f>'AX2'!VD56/1000/1000/1000</f>
        <v>2066.9380000000001</v>
      </c>
      <c r="E59" s="34">
        <f t="shared" si="46"/>
        <v>1737.2979999999998</v>
      </c>
      <c r="F59" s="54">
        <v>279.963926744312</v>
      </c>
      <c r="G59" s="631">
        <f t="shared" si="5"/>
        <v>0.15773557561426882</v>
      </c>
      <c r="H59" s="14">
        <f t="shared" si="47"/>
        <v>1457.3340732556878</v>
      </c>
      <c r="I59" s="13">
        <f>'AX2'!SY56/1000/1000/1000</f>
        <v>881.096</v>
      </c>
      <c r="J59" s="34">
        <v>25.87</v>
      </c>
      <c r="K59" s="34">
        <f t="shared" si="8"/>
        <v>830.33199999999977</v>
      </c>
      <c r="L59" s="14">
        <f t="shared" si="9"/>
        <v>550.36807325568782</v>
      </c>
      <c r="M59" s="13">
        <f t="shared" si="10"/>
        <v>1774.8939999999998</v>
      </c>
      <c r="N59" s="34">
        <f t="shared" si="11"/>
        <v>1494.9300732556878</v>
      </c>
      <c r="O59" s="34">
        <f t="shared" si="12"/>
        <v>830.33199999999977</v>
      </c>
      <c r="P59" s="34">
        <f t="shared" si="13"/>
        <v>550.3680732556877</v>
      </c>
      <c r="Q59" s="34">
        <f t="shared" si="29"/>
        <v>879.98200000000008</v>
      </c>
      <c r="R59" s="34">
        <f t="shared" si="26"/>
        <v>25.87</v>
      </c>
      <c r="S59" s="14">
        <f>('AX2'!TS56-'AX2'!TT56)/1000/1000/1000</f>
        <v>38.71</v>
      </c>
      <c r="T59" s="13">
        <f>('AX2'!UA56)/1000/1000/1000</f>
        <v>4.4489999999999998</v>
      </c>
      <c r="U59" s="34">
        <f>'AX2'!UB56/1000/1000/1000</f>
        <v>22.03</v>
      </c>
      <c r="V59" s="34">
        <f t="shared" si="14"/>
        <v>1757.3129999999999</v>
      </c>
      <c r="W59" s="34">
        <f t="shared" si="15"/>
        <v>1477.3490732556879</v>
      </c>
      <c r="X59" s="13">
        <f>'AX2'!VG56/1000/1000/1000</f>
        <v>1247.605</v>
      </c>
      <c r="Y59" s="34">
        <f t="shared" si="48"/>
        <v>157.37100000000001</v>
      </c>
      <c r="Z59" s="125">
        <f t="shared" si="49"/>
        <v>1090.2339999999999</v>
      </c>
      <c r="AA59" s="34">
        <f t="shared" si="50"/>
        <v>509.70799999999986</v>
      </c>
      <c r="AB59" s="34">
        <f t="shared" si="51"/>
        <v>229.74407325568791</v>
      </c>
      <c r="AC59" s="34">
        <f t="shared" si="44"/>
        <v>536.68369380085971</v>
      </c>
      <c r="AD59" s="34">
        <f t="shared" si="45"/>
        <v>256.71976705654771</v>
      </c>
      <c r="AE59" s="781">
        <v>0.30891861603527998</v>
      </c>
      <c r="AF59" s="10">
        <f>'AX2'!UE56</f>
        <v>0</v>
      </c>
      <c r="AG59" s="10">
        <f t="shared" si="20"/>
        <v>424.37399999999997</v>
      </c>
      <c r="AH59" s="10">
        <v>386.85199999999998</v>
      </c>
      <c r="AI59" s="790">
        <v>321.83600000000001</v>
      </c>
      <c r="AJ59" s="790">
        <v>65.016000000000005</v>
      </c>
      <c r="AK59" s="10">
        <f>'AX2'!VI56/1000/1000/1000</f>
        <v>37.521999999999998</v>
      </c>
      <c r="AL59" s="10">
        <f>'AX2'!VA56/1000/1000/1000</f>
        <v>0</v>
      </c>
      <c r="AM59" s="10">
        <f>'AX2'!VL56/1000/1000/1000</f>
        <v>0</v>
      </c>
      <c r="AN59" s="10">
        <f t="shared" si="21"/>
        <v>85.333999999999889</v>
      </c>
      <c r="AO59" s="94"/>
      <c r="AP59" s="11"/>
      <c r="AQ59" s="11"/>
      <c r="AR59" s="11"/>
      <c r="AS59" s="149"/>
      <c r="AT59" s="153"/>
      <c r="AU59" s="102"/>
      <c r="AV59" s="102"/>
      <c r="AW59" s="102"/>
      <c r="AX59" s="103"/>
      <c r="AY59" s="11"/>
      <c r="AZ59" s="10"/>
      <c r="BA59" s="11"/>
      <c r="BB59" s="11"/>
      <c r="BC59" s="10"/>
      <c r="BD59" s="10"/>
      <c r="BE59" s="13"/>
      <c r="BF59" s="34"/>
      <c r="BG59" s="10"/>
      <c r="BH59" s="34"/>
      <c r="BI59" s="34"/>
      <c r="BJ59" s="102"/>
      <c r="BK59" s="103"/>
      <c r="BL59" s="10">
        <f>'AX2'!IF56/1000/1000/1000</f>
        <v>1038.7239999999999</v>
      </c>
      <c r="BM59" s="11"/>
      <c r="BN59" s="11"/>
      <c r="BO59" s="12"/>
      <c r="BP59" s="10"/>
      <c r="BQ59" s="10"/>
      <c r="BR59" s="10"/>
      <c r="BS59" s="13"/>
      <c r="BT59" s="34"/>
      <c r="BU59" s="34"/>
      <c r="BV59" s="14"/>
      <c r="BW59" s="10"/>
      <c r="BX59" s="10"/>
      <c r="BY59" s="10"/>
      <c r="BZ59" s="10"/>
      <c r="CA59" s="10"/>
      <c r="CB59" s="10"/>
      <c r="CC59" s="13"/>
      <c r="CD59" s="34"/>
      <c r="CE59" s="34"/>
      <c r="CF59" s="34"/>
      <c r="CG59" s="34"/>
      <c r="CH59" s="34"/>
      <c r="CI59" s="34"/>
      <c r="CJ59" s="13">
        <f>'AX2'!KU56/1000/1000/1000</f>
        <v>157.37100000000001</v>
      </c>
      <c r="CK59" s="34"/>
      <c r="CL59" s="14"/>
      <c r="CM59" s="116"/>
      <c r="CN59" s="10"/>
      <c r="CO59" s="10"/>
      <c r="CP59" s="10"/>
      <c r="CQ59" s="13"/>
      <c r="CR59" s="34"/>
      <c r="CS59" s="125"/>
      <c r="CT59" s="14"/>
      <c r="CU59" s="10"/>
      <c r="CV59" s="10"/>
      <c r="CW59" s="10"/>
      <c r="CX59" s="10"/>
      <c r="CY59" s="10"/>
      <c r="CZ59" s="13"/>
      <c r="DA59" s="34"/>
      <c r="DB59" s="34"/>
      <c r="DC59" s="34"/>
      <c r="DD59" s="14"/>
      <c r="DE59" s="13"/>
      <c r="DF59" s="14"/>
      <c r="DG59" s="116"/>
      <c r="DH59" s="10"/>
      <c r="DI59" s="10"/>
      <c r="DJ59" s="10"/>
      <c r="DK59" s="13"/>
      <c r="DL59" s="34"/>
      <c r="DM59" s="34"/>
      <c r="DN59" s="14"/>
      <c r="DO59" s="10"/>
      <c r="DP59" s="10"/>
      <c r="DQ59" s="10"/>
      <c r="DR59" s="10"/>
      <c r="DS59" s="10"/>
      <c r="DT59" s="13"/>
      <c r="DU59" s="34"/>
      <c r="DV59" s="34"/>
      <c r="DW59" s="34"/>
      <c r="DX59" s="14"/>
      <c r="DY59" s="13"/>
      <c r="DZ59" s="14"/>
      <c r="EA59" s="116"/>
      <c r="EB59" s="10"/>
      <c r="EC59" s="10"/>
      <c r="ED59" s="10"/>
      <c r="EE59" s="13"/>
      <c r="EF59" s="34"/>
      <c r="EG59" s="34"/>
      <c r="EH59" s="14"/>
      <c r="EI59" s="10"/>
      <c r="EJ59" s="10"/>
      <c r="EK59" s="10"/>
      <c r="EL59" s="10"/>
      <c r="EM59" s="10"/>
      <c r="EN59" s="13"/>
      <c r="EO59" s="34"/>
      <c r="EP59" s="34"/>
      <c r="EQ59" s="34"/>
      <c r="ER59" s="14"/>
      <c r="ES59" s="13"/>
      <c r="ET59" s="14"/>
      <c r="EU59" s="116"/>
      <c r="EV59" s="10">
        <f>'AX2'!SF56/1000/1000/1000</f>
        <v>3542.8580000000002</v>
      </c>
      <c r="EW59" s="10">
        <f>'AX2'!SC56/1000/1000/1000</f>
        <v>3647.2109999999998</v>
      </c>
      <c r="EX59" s="10">
        <f t="shared" si="43"/>
        <v>104.35299999999961</v>
      </c>
      <c r="EY59" s="10">
        <f>'AX2'!QC56/1000/1000/1000</f>
        <v>3.7519999999999998</v>
      </c>
      <c r="EZ59" s="10">
        <f>'AX2'!QD56/1000/1000/1000</f>
        <v>2.6379999999999999</v>
      </c>
      <c r="FA59" s="10">
        <f t="shared" si="39"/>
        <v>892.14599999999996</v>
      </c>
      <c r="FB59" s="10">
        <v>793.16499999999996</v>
      </c>
      <c r="FC59" s="10">
        <v>72.003</v>
      </c>
      <c r="FD59" s="10">
        <v>23.225999999999999</v>
      </c>
      <c r="FE59" s="10">
        <v>3.7519999999999998</v>
      </c>
      <c r="FF59" s="10">
        <f t="shared" si="40"/>
        <v>927.10300000000007</v>
      </c>
      <c r="FG59" s="10">
        <v>711.39700000000005</v>
      </c>
      <c r="FH59" s="10">
        <v>156.822</v>
      </c>
      <c r="FI59" s="10">
        <v>26.773</v>
      </c>
      <c r="FJ59" s="10">
        <v>32.110999999999997</v>
      </c>
      <c r="FK59" s="10">
        <f>'AX2'!RA56/1000/1000/1000</f>
        <v>22.03</v>
      </c>
      <c r="FL59" s="10">
        <f>'AX2'!RB56/1000/1000/1000</f>
        <v>4.4489999999999998</v>
      </c>
      <c r="FM59" s="686">
        <f t="shared" si="41"/>
        <v>0.59678109094231213</v>
      </c>
      <c r="FN59" s="686">
        <f t="shared" si="42"/>
        <v>2.4397201349070681</v>
      </c>
      <c r="FQ59" s="12"/>
      <c r="FR59" s="259">
        <v>7.7744999999999997</v>
      </c>
      <c r="FS59" s="69">
        <v>83.6</v>
      </c>
      <c r="FT59" s="780">
        <f t="shared" si="30"/>
        <v>2.8290282902829089E-2</v>
      </c>
      <c r="FU59" s="780">
        <f t="shared" si="27"/>
        <v>0.80539499036608864</v>
      </c>
      <c r="FV59" s="780">
        <f t="shared" si="31"/>
        <v>3.8348623853211006</v>
      </c>
      <c r="FW59" s="781">
        <f t="shared" si="32"/>
        <v>1.0282902829028291</v>
      </c>
      <c r="FX59" s="9">
        <v>150.9</v>
      </c>
      <c r="FY59" s="161">
        <f t="shared" si="22"/>
        <v>0.52743795875567978</v>
      </c>
      <c r="FZ59" s="161">
        <f t="shared" si="23"/>
        <v>0.65488110189999471</v>
      </c>
      <c r="GA59" s="625">
        <f t="shared" si="35"/>
        <v>1.8272168405365126</v>
      </c>
      <c r="GB59" s="637">
        <v>3.2289156626506026</v>
      </c>
      <c r="GC59" s="475">
        <f t="shared" si="24"/>
        <v>0.73384446878422793</v>
      </c>
      <c r="GD59" s="806">
        <f t="shared" si="25"/>
        <v>0.91116095526079977</v>
      </c>
      <c r="GE59" s="806">
        <f t="shared" si="33"/>
        <v>0.84198996944716686</v>
      </c>
      <c r="GF59" s="814">
        <v>23035</v>
      </c>
      <c r="GG59" s="820">
        <f t="shared" si="28"/>
        <v>275.53827751196172</v>
      </c>
      <c r="GH59" s="806">
        <f t="shared" si="36"/>
        <v>4.8508877081578436</v>
      </c>
      <c r="GJ59" s="806">
        <v>1.5E-3</v>
      </c>
      <c r="GK59" s="806">
        <v>0.05</v>
      </c>
      <c r="GL59" s="806">
        <f t="shared" si="37"/>
        <v>2.8290282902829089E-2</v>
      </c>
      <c r="GM59" s="806">
        <f t="shared" si="34"/>
        <v>2.1112440191387583E-2</v>
      </c>
      <c r="GN59" s="806">
        <f t="shared" si="38"/>
        <v>2.7839597530569651</v>
      </c>
      <c r="GO59" s="12"/>
      <c r="GP59" s="716"/>
      <c r="GQ59" s="825"/>
    </row>
    <row r="60" spans="2:200" s="9" customFormat="1" ht="12.75">
      <c r="B60" s="15">
        <v>2011</v>
      </c>
      <c r="C60" s="34">
        <f>'AX2'!VC57/1000/1000/1000</f>
        <v>4115.5129999999999</v>
      </c>
      <c r="D60" s="34">
        <f>'AX2'!VD57/1000/1000/1000</f>
        <v>2214.4639999999999</v>
      </c>
      <c r="E60" s="34">
        <f t="shared" si="46"/>
        <v>1901.049</v>
      </c>
      <c r="F60" s="54">
        <v>299.44666953060698</v>
      </c>
      <c r="G60" s="631">
        <f t="shared" si="5"/>
        <v>0.1532577653498006</v>
      </c>
      <c r="H60" s="14">
        <f t="shared" si="47"/>
        <v>1601.6023304693931</v>
      </c>
      <c r="I60" s="13">
        <f>'AX2'!SY57/1000/1000/1000</f>
        <v>960.726</v>
      </c>
      <c r="J60" s="34">
        <v>27.975999999999999</v>
      </c>
      <c r="K60" s="34">
        <f t="shared" si="8"/>
        <v>912.34699999999998</v>
      </c>
      <c r="L60" s="14">
        <f t="shared" si="9"/>
        <v>612.90033046939311</v>
      </c>
      <c r="M60" s="13">
        <f t="shared" si="10"/>
        <v>1953.876</v>
      </c>
      <c r="N60" s="34">
        <f t="shared" si="11"/>
        <v>1654.4293304693929</v>
      </c>
      <c r="O60" s="34">
        <f t="shared" si="12"/>
        <v>912.34699999999998</v>
      </c>
      <c r="P60" s="34">
        <f t="shared" si="13"/>
        <v>612.900330469393</v>
      </c>
      <c r="Q60" s="34">
        <f t="shared" si="29"/>
        <v>959.14799999999991</v>
      </c>
      <c r="R60" s="34">
        <f t="shared" si="26"/>
        <v>27.975999999999999</v>
      </c>
      <c r="S60" s="14">
        <f>('AX2'!TS57-'AX2'!TT57)/1000/1000/1000</f>
        <v>54.405000000000001</v>
      </c>
      <c r="T60" s="13">
        <f>('AX2'!UA57)/1000/1000/1000</f>
        <v>6.8579999999999997</v>
      </c>
      <c r="U60" s="34">
        <f>'AX2'!UB57/1000/1000/1000</f>
        <v>26.649000000000001</v>
      </c>
      <c r="V60" s="34">
        <f t="shared" si="14"/>
        <v>1934.085</v>
      </c>
      <c r="W60" s="34">
        <f t="shared" si="15"/>
        <v>1634.6383304693927</v>
      </c>
      <c r="X60" s="13">
        <f>'AX2'!VG57/1000/1000/1000</f>
        <v>1392.9190000000001</v>
      </c>
      <c r="Y60" s="34">
        <f t="shared" si="48"/>
        <v>168.517</v>
      </c>
      <c r="Z60" s="125">
        <f t="shared" si="49"/>
        <v>1224.402</v>
      </c>
      <c r="AA60" s="34">
        <f t="shared" si="50"/>
        <v>541.16599999999994</v>
      </c>
      <c r="AB60" s="34">
        <f t="shared" si="51"/>
        <v>241.71933046939262</v>
      </c>
      <c r="AC60" s="34">
        <f t="shared" si="44"/>
        <v>564.63256216100865</v>
      </c>
      <c r="AD60" s="34">
        <f t="shared" si="45"/>
        <v>265.18589263040167</v>
      </c>
      <c r="AE60" s="781">
        <v>0.29701105135165301</v>
      </c>
      <c r="AF60" s="10">
        <f>'AX2'!UE57</f>
        <v>0</v>
      </c>
      <c r="AG60" s="10">
        <f t="shared" si="20"/>
        <v>467.03299999999996</v>
      </c>
      <c r="AH60" s="10">
        <v>455.29399999999998</v>
      </c>
      <c r="AI60" s="790">
        <v>377.86900000000003</v>
      </c>
      <c r="AJ60" s="790">
        <v>77.424999999999997</v>
      </c>
      <c r="AK60" s="10">
        <f>'AX2'!VI57/1000/1000/1000</f>
        <v>11.739000000000001</v>
      </c>
      <c r="AL60" s="10">
        <f>'AX2'!VA57/1000/1000/1000</f>
        <v>0</v>
      </c>
      <c r="AM60" s="10">
        <f>'AX2'!VL57/1000/1000/1000</f>
        <v>0</v>
      </c>
      <c r="AN60" s="10">
        <f t="shared" si="21"/>
        <v>74.132999999999981</v>
      </c>
      <c r="AO60" s="94"/>
      <c r="AP60" s="11"/>
      <c r="AQ60" s="11"/>
      <c r="AR60" s="11"/>
      <c r="AS60" s="149"/>
      <c r="AT60" s="153"/>
      <c r="AU60" s="102"/>
      <c r="AV60" s="102"/>
      <c r="AW60" s="102"/>
      <c r="AX60" s="103"/>
      <c r="AY60" s="11"/>
      <c r="AZ60" s="10"/>
      <c r="BA60" s="11"/>
      <c r="BB60" s="11"/>
      <c r="BC60" s="10"/>
      <c r="BD60" s="10"/>
      <c r="BE60" s="13"/>
      <c r="BF60" s="34"/>
      <c r="BG60" s="10"/>
      <c r="BH60" s="34"/>
      <c r="BI60" s="34"/>
      <c r="BJ60" s="102"/>
      <c r="BK60" s="103"/>
      <c r="BL60" s="10">
        <f>'AX2'!IF57/1000/1000/1000</f>
        <v>1169.2380000000001</v>
      </c>
      <c r="BM60" s="11"/>
      <c r="BN60" s="11"/>
      <c r="BO60" s="12"/>
      <c r="BP60" s="10"/>
      <c r="BQ60" s="10"/>
      <c r="BR60" s="10"/>
      <c r="BS60" s="13"/>
      <c r="BT60" s="34"/>
      <c r="BU60" s="34"/>
      <c r="BV60" s="14"/>
      <c r="BW60" s="10"/>
      <c r="BX60" s="10"/>
      <c r="BY60" s="10"/>
      <c r="BZ60" s="10"/>
      <c r="CA60" s="10"/>
      <c r="CB60" s="10"/>
      <c r="CC60" s="13"/>
      <c r="CD60" s="34"/>
      <c r="CE60" s="34"/>
      <c r="CF60" s="34"/>
      <c r="CG60" s="34"/>
      <c r="CH60" s="34"/>
      <c r="CI60" s="34"/>
      <c r="CJ60" s="13">
        <f>'AX2'!KU57/1000/1000/1000</f>
        <v>168.517</v>
      </c>
      <c r="CK60" s="34"/>
      <c r="CL60" s="14"/>
      <c r="CM60" s="116"/>
      <c r="CN60" s="10"/>
      <c r="CO60" s="10"/>
      <c r="CP60" s="10"/>
      <c r="CQ60" s="13"/>
      <c r="CR60" s="34"/>
      <c r="CS60" s="125"/>
      <c r="CT60" s="14"/>
      <c r="CU60" s="10"/>
      <c r="CV60" s="10"/>
      <c r="CW60" s="10"/>
      <c r="CX60" s="10"/>
      <c r="CY60" s="10"/>
      <c r="CZ60" s="13"/>
      <c r="DA60" s="34"/>
      <c r="DB60" s="34"/>
      <c r="DC60" s="34"/>
      <c r="DD60" s="14"/>
      <c r="DE60" s="13"/>
      <c r="DF60" s="14"/>
      <c r="DG60" s="116"/>
      <c r="DH60" s="10"/>
      <c r="DI60" s="10"/>
      <c r="DJ60" s="10"/>
      <c r="DK60" s="13"/>
      <c r="DL60" s="34"/>
      <c r="DM60" s="34"/>
      <c r="DN60" s="14"/>
      <c r="DO60" s="10"/>
      <c r="DP60" s="10"/>
      <c r="DQ60" s="10"/>
      <c r="DR60" s="10"/>
      <c r="DS60" s="10"/>
      <c r="DT60" s="13"/>
      <c r="DU60" s="34"/>
      <c r="DV60" s="34"/>
      <c r="DW60" s="34"/>
      <c r="DX60" s="14"/>
      <c r="DY60" s="13"/>
      <c r="DZ60" s="14"/>
      <c r="EA60" s="116"/>
      <c r="EB60" s="10"/>
      <c r="EC60" s="10"/>
      <c r="ED60" s="10"/>
      <c r="EE60" s="13"/>
      <c r="EF60" s="34"/>
      <c r="EG60" s="34"/>
      <c r="EH60" s="14"/>
      <c r="EI60" s="10"/>
      <c r="EJ60" s="10"/>
      <c r="EK60" s="10"/>
      <c r="EL60" s="10"/>
      <c r="EM60" s="10"/>
      <c r="EN60" s="13"/>
      <c r="EO60" s="34"/>
      <c r="EP60" s="34"/>
      <c r="EQ60" s="34"/>
      <c r="ER60" s="14"/>
      <c r="ES60" s="13"/>
      <c r="ET60" s="14"/>
      <c r="EU60" s="116"/>
      <c r="EV60" s="10">
        <f>'AX2'!SF57/1000/1000/1000</f>
        <v>4043.0030000000002</v>
      </c>
      <c r="EW60" s="10">
        <f>'AX2'!SC57/1000/1000/1000</f>
        <v>4117.4809999999998</v>
      </c>
      <c r="EX60" s="10">
        <f t="shared" si="43"/>
        <v>74.477999999999611</v>
      </c>
      <c r="EY60" s="10">
        <f>'AX2'!QC57/1000/1000/1000</f>
        <v>4.3150000000000004</v>
      </c>
      <c r="EZ60" s="10">
        <f>'AX2'!QD57/1000/1000/1000</f>
        <v>2.7370000000000001</v>
      </c>
      <c r="FA60" s="10">
        <f t="shared" si="39"/>
        <v>1006.525</v>
      </c>
      <c r="FB60" s="10">
        <v>879.04</v>
      </c>
      <c r="FC60" s="10">
        <v>85.683999999999997</v>
      </c>
      <c r="FD60" s="10">
        <v>37.485999999999997</v>
      </c>
      <c r="FE60" s="10">
        <v>4.3150000000000004</v>
      </c>
      <c r="FF60" s="10">
        <f t="shared" si="40"/>
        <v>1056.614</v>
      </c>
      <c r="FG60" s="10">
        <v>811.52</v>
      </c>
      <c r="FH60" s="10">
        <v>172.03200000000001</v>
      </c>
      <c r="FI60" s="10">
        <v>40.235999999999997</v>
      </c>
      <c r="FJ60" s="10">
        <v>32.826000000000001</v>
      </c>
      <c r="FK60" s="10">
        <f>'AX2'!RA57/1000/1000/1000</f>
        <v>26.649000000000001</v>
      </c>
      <c r="FL60" s="10">
        <f>'AX2'!RB57/1000/1000/1000</f>
        <v>6.8579999999999997</v>
      </c>
      <c r="FM60" s="686">
        <f t="shared" si="41"/>
        <v>0.60838198493158346</v>
      </c>
      <c r="FN60" s="686">
        <f t="shared" si="42"/>
        <v>2.4887620910539541</v>
      </c>
      <c r="FQ60" s="12"/>
      <c r="FR60" s="259">
        <v>7.7655000000000003</v>
      </c>
      <c r="FS60" s="69">
        <v>88.4</v>
      </c>
      <c r="FT60" s="780">
        <f t="shared" si="30"/>
        <v>5.741626794258381E-2</v>
      </c>
      <c r="FU60" s="780">
        <f t="shared" si="27"/>
        <v>0.85163776493256271</v>
      </c>
      <c r="FV60" s="780">
        <f t="shared" si="31"/>
        <v>4.0550458715596331</v>
      </c>
      <c r="FW60" s="781">
        <f t="shared" si="32"/>
        <v>1.0574162679425838</v>
      </c>
      <c r="FX60" s="9">
        <v>182.1</v>
      </c>
      <c r="FY60" s="161">
        <f t="shared" si="22"/>
        <v>0.63649073750436902</v>
      </c>
      <c r="FZ60" s="161">
        <f t="shared" si="23"/>
        <v>0.74737260806508476</v>
      </c>
      <c r="GA60" s="625">
        <f t="shared" si="35"/>
        <v>2.0852820636451299</v>
      </c>
      <c r="GB60" s="637">
        <v>3.4361445783132529</v>
      </c>
      <c r="GC60" s="475">
        <f t="shared" si="24"/>
        <v>0.78094194961664853</v>
      </c>
      <c r="GD60" s="806">
        <f t="shared" si="25"/>
        <v>0.91698839785303288</v>
      </c>
      <c r="GE60" s="806">
        <f t="shared" si="33"/>
        <v>0.847375020443766</v>
      </c>
      <c r="GF60" s="814">
        <v>18434</v>
      </c>
      <c r="GG60" s="820">
        <f t="shared" si="28"/>
        <v>208.52941176470586</v>
      </c>
      <c r="GH60" s="806">
        <f t="shared" si="36"/>
        <v>3.6711877908683066</v>
      </c>
      <c r="GI60" s="806">
        <v>0.33800000000000002</v>
      </c>
      <c r="GJ60" s="806">
        <v>1.5E-3</v>
      </c>
      <c r="GK60" s="806">
        <v>0.05</v>
      </c>
      <c r="GL60" s="806">
        <f t="shared" si="37"/>
        <v>5.741626794258381E-2</v>
      </c>
      <c r="GM60" s="806">
        <f t="shared" si="34"/>
        <v>-7.0135746606335703E-3</v>
      </c>
      <c r="GN60" s="806">
        <f t="shared" si="38"/>
        <v>2.7644342434767011</v>
      </c>
      <c r="GO60" s="12"/>
      <c r="GP60" s="716"/>
      <c r="GQ60" s="825"/>
    </row>
    <row r="61" spans="2:200" s="9" customFormat="1" ht="12.75">
      <c r="B61" s="15">
        <v>2012</v>
      </c>
      <c r="C61" s="34">
        <f>'AX2'!VC58/1000/1000/1000</f>
        <v>4214.6289999999999</v>
      </c>
      <c r="D61" s="34">
        <f>'AX2'!VD58/1000/1000/1000</f>
        <v>2201.5909999999999</v>
      </c>
      <c r="E61" s="34">
        <f t="shared" si="46"/>
        <v>2013.038</v>
      </c>
      <c r="F61" s="54">
        <v>318.58989360607995</v>
      </c>
      <c r="G61" s="631">
        <f t="shared" si="5"/>
        <v>0.15598082227222207</v>
      </c>
      <c r="H61" s="14">
        <f t="shared" si="47"/>
        <v>1694.4481063939202</v>
      </c>
      <c r="I61" s="13">
        <f>'AX2'!SY58/1000/1000/1000</f>
        <v>1027.492</v>
      </c>
      <c r="J61" s="34">
        <v>28.907</v>
      </c>
      <c r="K61" s="34">
        <f t="shared" si="8"/>
        <v>956.63900000000001</v>
      </c>
      <c r="L61" s="14">
        <f t="shared" si="9"/>
        <v>638.04910639392017</v>
      </c>
      <c r="M61" s="13">
        <f t="shared" si="10"/>
        <v>2042.4939999999999</v>
      </c>
      <c r="N61" s="34">
        <f t="shared" si="11"/>
        <v>1723.9041063939198</v>
      </c>
      <c r="O61" s="34">
        <f t="shared" si="12"/>
        <v>956.63900000000001</v>
      </c>
      <c r="P61" s="34">
        <f t="shared" si="13"/>
        <v>638.04910639392006</v>
      </c>
      <c r="Q61" s="34">
        <f t="shared" si="29"/>
        <v>1025.627</v>
      </c>
      <c r="R61" s="34">
        <f t="shared" si="26"/>
        <v>28.907</v>
      </c>
      <c r="S61" s="14">
        <f>('AX2'!TS58-'AX2'!TT58)/1000/1000/1000</f>
        <v>31.321000000000002</v>
      </c>
      <c r="T61" s="13">
        <f>('AX2'!UA58)/1000/1000/1000</f>
        <v>7.0209999999999999</v>
      </c>
      <c r="U61" s="34">
        <f>'AX2'!UB58/1000/1000/1000</f>
        <v>27.356999999999999</v>
      </c>
      <c r="V61" s="34">
        <f t="shared" si="14"/>
        <v>2022.1579999999999</v>
      </c>
      <c r="W61" s="34">
        <f t="shared" si="15"/>
        <v>1703.5681063939198</v>
      </c>
      <c r="X61" s="13">
        <f>'AX2'!VG58/1000/1000/1000</f>
        <v>1500.279</v>
      </c>
      <c r="Y61" s="34">
        <f t="shared" si="48"/>
        <v>185.31</v>
      </c>
      <c r="Z61" s="125">
        <f t="shared" si="49"/>
        <v>1314.9690000000001</v>
      </c>
      <c r="AA61" s="34">
        <f t="shared" si="50"/>
        <v>521.87899999999991</v>
      </c>
      <c r="AB61" s="34">
        <f t="shared" si="51"/>
        <v>203.28910639391984</v>
      </c>
      <c r="AC61" s="34">
        <f t="shared" si="44"/>
        <v>539.46225088667984</v>
      </c>
      <c r="AD61" s="34">
        <f t="shared" si="45"/>
        <v>220.87235728059989</v>
      </c>
      <c r="AE61" s="781">
        <v>0.26798413685518097</v>
      </c>
      <c r="AF61" s="10">
        <f>'AX2'!UE58</f>
        <v>0</v>
      </c>
      <c r="AG61" s="10">
        <f t="shared" si="20"/>
        <v>513.74899999999991</v>
      </c>
      <c r="AH61" s="10">
        <v>517.41099999999994</v>
      </c>
      <c r="AI61" s="790">
        <v>425.96699999999998</v>
      </c>
      <c r="AJ61" s="790">
        <v>91.444000000000003</v>
      </c>
      <c r="AK61" s="10">
        <f>'AX2'!VI58/1000/1000/1000</f>
        <v>-3.6619999999999999</v>
      </c>
      <c r="AL61" s="10">
        <f>'AX2'!VA58/1000/1000/1000</f>
        <v>0</v>
      </c>
      <c r="AM61" s="10">
        <f>'AX2'!VL58/1000/1000/1000</f>
        <v>0</v>
      </c>
      <c r="AN61" s="10">
        <f t="shared" si="21"/>
        <v>8.1299999999999955</v>
      </c>
      <c r="AO61" s="94"/>
      <c r="AP61" s="11"/>
      <c r="AQ61" s="11"/>
      <c r="AR61" s="11"/>
      <c r="AS61" s="149"/>
      <c r="AT61" s="153"/>
      <c r="AU61" s="102"/>
      <c r="AV61" s="102"/>
      <c r="AW61" s="102"/>
      <c r="AX61" s="103"/>
      <c r="AY61" s="11"/>
      <c r="AZ61" s="10"/>
      <c r="BA61" s="11"/>
      <c r="BB61" s="11"/>
      <c r="BC61" s="10"/>
      <c r="BD61" s="10"/>
      <c r="BE61" s="13"/>
      <c r="BF61" s="34"/>
      <c r="BG61" s="10"/>
      <c r="BH61" s="34"/>
      <c r="BI61" s="34"/>
      <c r="BJ61" s="102"/>
      <c r="BK61" s="103"/>
      <c r="BL61" s="10">
        <f>'AX2'!IF58/1000/1000/1000</f>
        <v>1254.9780000000001</v>
      </c>
      <c r="BM61" s="11"/>
      <c r="BN61" s="11"/>
      <c r="BO61" s="12"/>
      <c r="BP61" s="10"/>
      <c r="BQ61" s="10"/>
      <c r="BR61" s="10"/>
      <c r="BS61" s="13"/>
      <c r="BT61" s="34"/>
      <c r="BU61" s="34"/>
      <c r="BV61" s="14"/>
      <c r="BW61" s="10"/>
      <c r="BX61" s="10"/>
      <c r="BY61" s="10"/>
      <c r="BZ61" s="10"/>
      <c r="CA61" s="10"/>
      <c r="CB61" s="10"/>
      <c r="CC61" s="13"/>
      <c r="CD61" s="34"/>
      <c r="CE61" s="34"/>
      <c r="CF61" s="34"/>
      <c r="CG61" s="34"/>
      <c r="CH61" s="34"/>
      <c r="CI61" s="34"/>
      <c r="CJ61" s="13">
        <f>'AX2'!KU58/1000/1000/1000</f>
        <v>185.31</v>
      </c>
      <c r="CK61" s="34"/>
      <c r="CL61" s="14"/>
      <c r="CM61" s="116"/>
      <c r="CN61" s="10"/>
      <c r="CO61" s="10"/>
      <c r="CP61" s="10"/>
      <c r="CQ61" s="13"/>
      <c r="CR61" s="34"/>
      <c r="CS61" s="125"/>
      <c r="CT61" s="14"/>
      <c r="CU61" s="10"/>
      <c r="CV61" s="10"/>
      <c r="CW61" s="10"/>
      <c r="CX61" s="10"/>
      <c r="CY61" s="10"/>
      <c r="CZ61" s="13"/>
      <c r="DA61" s="34"/>
      <c r="DB61" s="34"/>
      <c r="DC61" s="34"/>
      <c r="DD61" s="14"/>
      <c r="DE61" s="13"/>
      <c r="DF61" s="14"/>
      <c r="DG61" s="116"/>
      <c r="DH61" s="10"/>
      <c r="DI61" s="10"/>
      <c r="DJ61" s="10"/>
      <c r="DK61" s="13"/>
      <c r="DL61" s="34"/>
      <c r="DM61" s="34"/>
      <c r="DN61" s="14"/>
      <c r="DO61" s="10"/>
      <c r="DP61" s="10"/>
      <c r="DQ61" s="10"/>
      <c r="DR61" s="10"/>
      <c r="DS61" s="10"/>
      <c r="DT61" s="13"/>
      <c r="DU61" s="34"/>
      <c r="DV61" s="34"/>
      <c r="DW61" s="34"/>
      <c r="DX61" s="14"/>
      <c r="DY61" s="13"/>
      <c r="DZ61" s="14"/>
      <c r="EA61" s="116"/>
      <c r="EB61" s="10"/>
      <c r="EC61" s="10"/>
      <c r="ED61" s="10"/>
      <c r="EE61" s="13"/>
      <c r="EF61" s="34"/>
      <c r="EG61" s="34"/>
      <c r="EH61" s="14"/>
      <c r="EI61" s="10"/>
      <c r="EJ61" s="10"/>
      <c r="EK61" s="10"/>
      <c r="EL61" s="10"/>
      <c r="EM61" s="10"/>
      <c r="EN61" s="13"/>
      <c r="EO61" s="34"/>
      <c r="EP61" s="34"/>
      <c r="EQ61" s="34"/>
      <c r="ER61" s="14"/>
      <c r="ES61" s="13"/>
      <c r="ET61" s="14"/>
      <c r="EU61" s="116"/>
      <c r="EV61" s="10">
        <f>'AX2'!SF58/1000/1000/1000</f>
        <v>4373.9520000000002</v>
      </c>
      <c r="EW61" s="10">
        <f>'AX2'!SC58/1000/1000/1000</f>
        <v>4396.9830000000002</v>
      </c>
      <c r="EX61" s="10">
        <f t="shared" si="43"/>
        <v>23.030999999999949</v>
      </c>
      <c r="EY61" s="10">
        <f>'AX2'!QC58/1000/1000/1000</f>
        <v>4.71</v>
      </c>
      <c r="EZ61" s="10">
        <f>'AX2'!QD58/1000/1000/1000</f>
        <v>2.8450000000000002</v>
      </c>
      <c r="FA61" s="10">
        <f t="shared" si="39"/>
        <v>1061.7780000000002</v>
      </c>
      <c r="FB61" s="10">
        <v>926.03200000000004</v>
      </c>
      <c r="FC61" s="10">
        <v>93.358000000000004</v>
      </c>
      <c r="FD61" s="10">
        <v>37.677999999999997</v>
      </c>
      <c r="FE61" s="10">
        <v>4.71</v>
      </c>
      <c r="FF61" s="10">
        <f t="shared" si="40"/>
        <v>1088.3910000000001</v>
      </c>
      <c r="FG61" s="10">
        <v>838.80799999999999</v>
      </c>
      <c r="FH61" s="10">
        <v>174.339</v>
      </c>
      <c r="FI61" s="10">
        <v>43.893000000000001</v>
      </c>
      <c r="FJ61" s="10">
        <v>31.350999999999999</v>
      </c>
      <c r="FK61" s="10">
        <f>'AX2'!RA58/1000/1000/1000</f>
        <v>27.356999999999999</v>
      </c>
      <c r="FL61" s="10">
        <f>'AX2'!RB58/1000/1000/1000</f>
        <v>7.0209999999999999</v>
      </c>
      <c r="FM61" s="686">
        <f t="shared" si="41"/>
        <v>0.61591476930873967</v>
      </c>
      <c r="FN61" s="686">
        <f t="shared" si="42"/>
        <v>2.5505960474783334</v>
      </c>
      <c r="FQ61" s="12"/>
      <c r="FR61" s="259">
        <v>7.7504999999999997</v>
      </c>
      <c r="FS61" s="69">
        <v>91.7</v>
      </c>
      <c r="FT61" s="780">
        <f t="shared" si="30"/>
        <v>3.7330316742081315E-2</v>
      </c>
      <c r="FU61" s="780">
        <f t="shared" si="27"/>
        <v>0.88342967244701354</v>
      </c>
      <c r="FV61" s="780">
        <f t="shared" si="31"/>
        <v>4.2064220183486238</v>
      </c>
      <c r="FW61" s="781">
        <f t="shared" si="32"/>
        <v>1.0373303167420813</v>
      </c>
      <c r="FX61" s="9">
        <v>206.2</v>
      </c>
      <c r="FY61" s="161">
        <f t="shared" si="22"/>
        <v>0.72072701852499121</v>
      </c>
      <c r="FZ61" s="161">
        <f t="shared" si="23"/>
        <v>0.81582840264879042</v>
      </c>
      <c r="GA61" s="625">
        <f t="shared" si="35"/>
        <v>2.276284033823766</v>
      </c>
      <c r="GB61" s="637">
        <v>3.7228915662650603</v>
      </c>
      <c r="GC61" s="475">
        <f t="shared" si="24"/>
        <v>0.84611171960569564</v>
      </c>
      <c r="GD61" s="806">
        <f t="shared" si="25"/>
        <v>0.95775786799423346</v>
      </c>
      <c r="GE61" s="806">
        <f t="shared" si="33"/>
        <v>0.88504946722549982</v>
      </c>
      <c r="GF61" s="814">
        <v>22657</v>
      </c>
      <c r="GG61" s="820">
        <f t="shared" si="28"/>
        <v>247.07742639040347</v>
      </c>
      <c r="GH61" s="806">
        <f t="shared" si="36"/>
        <v>4.3498306713064618</v>
      </c>
      <c r="GJ61" s="806">
        <v>1.6000000000000001E-3</v>
      </c>
      <c r="GK61" s="806">
        <v>0.05</v>
      </c>
      <c r="GL61" s="806">
        <f t="shared" si="37"/>
        <v>3.7330316742081315E-2</v>
      </c>
      <c r="GM61" s="806">
        <f t="shared" si="34"/>
        <v>1.2213740458015376E-2</v>
      </c>
      <c r="GN61" s="806">
        <f t="shared" si="38"/>
        <v>2.7981983258397758</v>
      </c>
      <c r="GO61" s="12"/>
      <c r="GP61" s="716"/>
      <c r="GQ61" s="825"/>
    </row>
    <row r="62" spans="2:200" s="9" customFormat="1" ht="12.75">
      <c r="B62" s="15">
        <v>2013</v>
      </c>
      <c r="C62" s="34">
        <f>'AX2'!VC59/1000/1000/1000</f>
        <v>4248.6170000000002</v>
      </c>
      <c r="D62" s="34">
        <f>'AX2'!VD59/1000/1000/1000</f>
        <v>2150.5369999999998</v>
      </c>
      <c r="E62" s="34">
        <f t="shared" si="46"/>
        <v>2098.0800000000004</v>
      </c>
      <c r="F62" s="54">
        <v>333.09050403002306</v>
      </c>
      <c r="G62" s="631">
        <f t="shared" si="5"/>
        <v>0.15575173467771328</v>
      </c>
      <c r="H62" s="14">
        <f t="shared" si="47"/>
        <v>1764.9894959699773</v>
      </c>
      <c r="I62" s="13">
        <f>'AX2'!SY59/1000/1000/1000</f>
        <v>1066.9480000000001</v>
      </c>
      <c r="J62" s="34">
        <v>34</v>
      </c>
      <c r="K62" s="34">
        <f t="shared" si="8"/>
        <v>997.13200000000029</v>
      </c>
      <c r="L62" s="14">
        <f t="shared" si="9"/>
        <v>664.04149596997718</v>
      </c>
      <c r="M62" s="13">
        <f t="shared" si="10"/>
        <v>2138.5990000000006</v>
      </c>
      <c r="N62" s="34">
        <f t="shared" si="11"/>
        <v>1805.5084959699775</v>
      </c>
      <c r="O62" s="34">
        <f t="shared" si="12"/>
        <v>997.13200000000029</v>
      </c>
      <c r="P62" s="34">
        <f t="shared" si="13"/>
        <v>664.04149596997718</v>
      </c>
      <c r="Q62" s="34">
        <f t="shared" si="29"/>
        <v>1064.6530000000002</v>
      </c>
      <c r="R62" s="34">
        <f t="shared" si="26"/>
        <v>34</v>
      </c>
      <c r="S62" s="14">
        <f>('AX2'!TS59-'AX2'!TT59)/1000/1000/1000</f>
        <v>42.814</v>
      </c>
      <c r="T62" s="13">
        <f>('AX2'!UA59)/1000/1000/1000</f>
        <v>8.0879999999999992</v>
      </c>
      <c r="U62" s="34">
        <f>'AX2'!UB59/1000/1000/1000</f>
        <v>28.963999999999999</v>
      </c>
      <c r="V62" s="34">
        <f t="shared" si="14"/>
        <v>2117.7230000000009</v>
      </c>
      <c r="W62" s="34">
        <f t="shared" si="15"/>
        <v>1784.6324959699775</v>
      </c>
      <c r="X62" s="13">
        <f>'AX2'!VG59/1000/1000/1000</f>
        <v>1611.63</v>
      </c>
      <c r="Y62" s="34">
        <f t="shared" si="48"/>
        <v>198.572</v>
      </c>
      <c r="Z62" s="125">
        <f t="shared" si="49"/>
        <v>1413.058</v>
      </c>
      <c r="AA62" s="34">
        <f t="shared" si="50"/>
        <v>506.09300000000076</v>
      </c>
      <c r="AB62" s="34">
        <f t="shared" si="51"/>
        <v>173.00249596997742</v>
      </c>
      <c r="AC62" s="34">
        <f t="shared" si="44"/>
        <v>536.04206178880304</v>
      </c>
      <c r="AD62" s="34">
        <f t="shared" si="45"/>
        <v>202.95155775877998</v>
      </c>
      <c r="AE62" s="781">
        <v>0.25549171708838697</v>
      </c>
      <c r="AF62" s="10">
        <f>'AX2'!UE59</f>
        <v>0</v>
      </c>
      <c r="AG62" s="10">
        <f t="shared" si="20"/>
        <v>513.84299999999996</v>
      </c>
      <c r="AH62" s="10">
        <v>515.51599999999996</v>
      </c>
      <c r="AI62" s="790">
        <v>416.07499999999999</v>
      </c>
      <c r="AJ62" s="790">
        <v>99.441000000000003</v>
      </c>
      <c r="AK62" s="10">
        <f>'AX2'!VI59/1000/1000/1000</f>
        <v>-1.673</v>
      </c>
      <c r="AL62" s="10">
        <f>'AX2'!VA59/1000/1000/1000</f>
        <v>0</v>
      </c>
      <c r="AM62" s="10">
        <f>'AX2'!VL59/1000/1000/1000</f>
        <v>0</v>
      </c>
      <c r="AN62" s="10">
        <f t="shared" si="21"/>
        <v>-7.7499999999992042</v>
      </c>
      <c r="AO62" s="94"/>
      <c r="AP62" s="11"/>
      <c r="AQ62" s="11"/>
      <c r="AR62" s="11"/>
      <c r="AS62" s="149"/>
      <c r="AT62" s="153"/>
      <c r="AU62" s="102"/>
      <c r="AV62" s="102"/>
      <c r="AW62" s="102"/>
      <c r="AX62" s="103"/>
      <c r="AY62" s="11"/>
      <c r="AZ62" s="10"/>
      <c r="BA62" s="11"/>
      <c r="BB62" s="11"/>
      <c r="BC62" s="10"/>
      <c r="BD62" s="10"/>
      <c r="BE62" s="13"/>
      <c r="BF62" s="34"/>
      <c r="BG62" s="10"/>
      <c r="BH62" s="34"/>
      <c r="BI62" s="34"/>
      <c r="BJ62" s="102"/>
      <c r="BK62" s="103"/>
      <c r="BL62" s="10">
        <f>'AX2'!IF59/1000/1000/1000</f>
        <v>1348.9459999999999</v>
      </c>
      <c r="BM62" s="11"/>
      <c r="BN62" s="11"/>
      <c r="BO62" s="12"/>
      <c r="BP62" s="10"/>
      <c r="BQ62" s="10"/>
      <c r="BR62" s="10"/>
      <c r="BS62" s="13"/>
      <c r="BT62" s="34"/>
      <c r="BU62" s="34"/>
      <c r="BV62" s="14"/>
      <c r="BW62" s="10"/>
      <c r="BX62" s="10"/>
      <c r="BY62" s="10"/>
      <c r="BZ62" s="10"/>
      <c r="CA62" s="10"/>
      <c r="CB62" s="10"/>
      <c r="CC62" s="13"/>
      <c r="CD62" s="34"/>
      <c r="CE62" s="34"/>
      <c r="CF62" s="34"/>
      <c r="CG62" s="34"/>
      <c r="CH62" s="34"/>
      <c r="CI62" s="34"/>
      <c r="CJ62" s="13">
        <f>'AX2'!KU59/1000/1000/1000</f>
        <v>198.572</v>
      </c>
      <c r="CK62" s="34"/>
      <c r="CL62" s="14"/>
      <c r="CM62" s="116"/>
      <c r="CN62" s="10"/>
      <c r="CO62" s="10"/>
      <c r="CP62" s="10"/>
      <c r="CQ62" s="13"/>
      <c r="CR62" s="34"/>
      <c r="CS62" s="125"/>
      <c r="CT62" s="14"/>
      <c r="CU62" s="10"/>
      <c r="CV62" s="10"/>
      <c r="CW62" s="10"/>
      <c r="CX62" s="10"/>
      <c r="CY62" s="10"/>
      <c r="CZ62" s="13"/>
      <c r="DA62" s="34"/>
      <c r="DB62" s="34"/>
      <c r="DC62" s="34"/>
      <c r="DD62" s="14"/>
      <c r="DE62" s="13"/>
      <c r="DF62" s="14"/>
      <c r="DG62" s="116"/>
      <c r="DH62" s="10"/>
      <c r="DI62" s="10"/>
      <c r="DJ62" s="10"/>
      <c r="DK62" s="13"/>
      <c r="DL62" s="34"/>
      <c r="DM62" s="34"/>
      <c r="DN62" s="14"/>
      <c r="DO62" s="10"/>
      <c r="DP62" s="10"/>
      <c r="DQ62" s="10"/>
      <c r="DR62" s="10"/>
      <c r="DS62" s="10"/>
      <c r="DT62" s="13"/>
      <c r="DU62" s="34"/>
      <c r="DV62" s="34"/>
      <c r="DW62" s="34"/>
      <c r="DX62" s="14"/>
      <c r="DY62" s="13"/>
      <c r="DZ62" s="14"/>
      <c r="EA62" s="116"/>
      <c r="EB62" s="10"/>
      <c r="EC62" s="10"/>
      <c r="ED62" s="10"/>
      <c r="EE62" s="13"/>
      <c r="EF62" s="34"/>
      <c r="EG62" s="34"/>
      <c r="EH62" s="14"/>
      <c r="EI62" s="10"/>
      <c r="EJ62" s="10"/>
      <c r="EK62" s="10"/>
      <c r="EL62" s="10"/>
      <c r="EM62" s="10"/>
      <c r="EN62" s="13"/>
      <c r="EO62" s="34"/>
      <c r="EP62" s="34"/>
      <c r="EQ62" s="34"/>
      <c r="ER62" s="14"/>
      <c r="ES62" s="13"/>
      <c r="ET62" s="14"/>
      <c r="EU62" s="116"/>
      <c r="EV62" s="10">
        <f>'AX2'!SF59/1000/1000/1000</f>
        <v>4725.8670000000002</v>
      </c>
      <c r="EW62" s="10">
        <f>'AX2'!SC59/1000/1000/1000</f>
        <v>4738.6989999999996</v>
      </c>
      <c r="EX62" s="10">
        <f t="shared" si="43"/>
        <v>12.831999999999425</v>
      </c>
      <c r="EY62" s="10">
        <f>'AX2'!QC59/1000/1000/1000</f>
        <v>5.09</v>
      </c>
      <c r="EZ62" s="10">
        <f>'AX2'!QD59/1000/1000/1000</f>
        <v>2.7949999999999999</v>
      </c>
      <c r="FA62" s="10">
        <f t="shared" si="39"/>
        <v>1143.0479999999998</v>
      </c>
      <c r="FB62" s="10">
        <v>996.10699999999997</v>
      </c>
      <c r="FC62" s="10">
        <v>104.80200000000001</v>
      </c>
      <c r="FD62" s="10">
        <v>37.048999999999999</v>
      </c>
      <c r="FE62" s="10">
        <v>5.09</v>
      </c>
      <c r="FF62" s="10">
        <f t="shared" si="40"/>
        <v>1180.7730000000001</v>
      </c>
      <c r="FG62" s="10">
        <v>908.72500000000002</v>
      </c>
      <c r="FH62" s="10">
        <v>196.56100000000001</v>
      </c>
      <c r="FI62" s="10">
        <v>47.835999999999999</v>
      </c>
      <c r="FJ62" s="10">
        <v>27.651</v>
      </c>
      <c r="FK62" s="10">
        <f>'AX2'!RA59/1000/1000/1000</f>
        <v>28.963999999999999</v>
      </c>
      <c r="FL62" s="10">
        <f>'AX2'!RB59/1000/1000/1000</f>
        <v>8.0879999999999992</v>
      </c>
      <c r="FM62" s="686">
        <f t="shared" si="41"/>
        <v>0.63308923915415716</v>
      </c>
      <c r="FN62" s="686">
        <f t="shared" si="42"/>
        <v>2.6245786217994049</v>
      </c>
      <c r="FQ62" s="12"/>
      <c r="FR62" s="259">
        <v>7.7534999999999998</v>
      </c>
      <c r="FS62" s="69">
        <v>95.6</v>
      </c>
      <c r="FT62" s="780">
        <f t="shared" si="30"/>
        <v>4.2529989094874487E-2</v>
      </c>
      <c r="FU62" s="780">
        <f t="shared" si="27"/>
        <v>0.92100192678227355</v>
      </c>
      <c r="FV62" s="780">
        <f t="shared" si="31"/>
        <v>4.3853211009174302</v>
      </c>
      <c r="FW62" s="781">
        <f t="shared" si="32"/>
        <v>1.0425299890948743</v>
      </c>
      <c r="FX62" s="9">
        <v>242.4</v>
      </c>
      <c r="FY62" s="161">
        <f t="shared" si="22"/>
        <v>0.84725620412443192</v>
      </c>
      <c r="FZ62" s="161">
        <f t="shared" si="23"/>
        <v>0.9199288074070715</v>
      </c>
      <c r="GA62" s="625">
        <f t="shared" si="35"/>
        <v>2.5667398312641474</v>
      </c>
      <c r="GB62" s="637">
        <v>3.8433734939759034</v>
      </c>
      <c r="GC62" s="475">
        <f t="shared" si="24"/>
        <v>0.87349397590361455</v>
      </c>
      <c r="GD62" s="806">
        <f t="shared" si="25"/>
        <v>0.94841709935978236</v>
      </c>
      <c r="GE62" s="806">
        <f t="shared" si="33"/>
        <v>0.87641780511166023</v>
      </c>
      <c r="GF62" s="814">
        <v>23306</v>
      </c>
      <c r="GG62" s="820">
        <f t="shared" si="28"/>
        <v>243.78661087866109</v>
      </c>
      <c r="GH62" s="806">
        <f t="shared" si="36"/>
        <v>4.2918954302943186</v>
      </c>
      <c r="GI62" s="806"/>
      <c r="GJ62" s="806">
        <v>1.5E-3</v>
      </c>
      <c r="GK62" s="806">
        <v>0.05</v>
      </c>
      <c r="GL62" s="806">
        <f t="shared" si="37"/>
        <v>4.2529989094874487E-2</v>
      </c>
      <c r="GM62" s="806">
        <f t="shared" si="34"/>
        <v>7.1652719665276088E-3</v>
      </c>
      <c r="GN62" s="806">
        <f t="shared" si="38"/>
        <v>2.8182481778607</v>
      </c>
      <c r="GO62" s="12"/>
      <c r="GP62" s="716"/>
      <c r="GQ62" s="825"/>
    </row>
    <row r="63" spans="2:200" s="9" customFormat="1" ht="12.75">
      <c r="B63" s="15">
        <v>2014</v>
      </c>
      <c r="C63" s="34">
        <f>'AX2'!VC60/1000/1000/1000</f>
        <v>4381.0219999999999</v>
      </c>
      <c r="D63" s="34">
        <f>'AX2'!VD60/1000/1000/1000</f>
        <v>2175.0509999999999</v>
      </c>
      <c r="E63" s="34">
        <f t="shared" si="46"/>
        <v>2205.971</v>
      </c>
      <c r="F63" s="54">
        <v>351.55671101737499</v>
      </c>
      <c r="G63" s="631">
        <f t="shared" si="5"/>
        <v>0.15606867646139289</v>
      </c>
      <c r="H63" s="14">
        <f t="shared" si="47"/>
        <v>1854.4142889826251</v>
      </c>
      <c r="I63" s="13">
        <f>'AX2'!SY60/1000/1000/1000</f>
        <v>1129.222</v>
      </c>
      <c r="J63" s="34">
        <v>43.231999999999999</v>
      </c>
      <c r="K63" s="34">
        <f t="shared" si="8"/>
        <v>1033.5170000000001</v>
      </c>
      <c r="L63" s="14">
        <f t="shared" si="9"/>
        <v>681.96028898262512</v>
      </c>
      <c r="M63" s="13">
        <f t="shared" si="10"/>
        <v>2252.5769999999998</v>
      </c>
      <c r="N63" s="34">
        <f t="shared" si="11"/>
        <v>1901.0202889826248</v>
      </c>
      <c r="O63" s="34">
        <f t="shared" si="12"/>
        <v>1033.5170000000001</v>
      </c>
      <c r="P63" s="34">
        <f t="shared" si="13"/>
        <v>681.96028898262512</v>
      </c>
      <c r="Q63" s="34">
        <f t="shared" si="29"/>
        <v>1126.5919999999999</v>
      </c>
      <c r="R63" s="34">
        <f t="shared" si="26"/>
        <v>43.231999999999999</v>
      </c>
      <c r="S63" s="14">
        <f>('AX2'!TS60-'AX2'!TT60)/1000/1000/1000</f>
        <v>49.235999999999997</v>
      </c>
      <c r="T63" s="13">
        <f>('AX2'!UA60)/1000/1000/1000</f>
        <v>8.8019999999999996</v>
      </c>
      <c r="U63" s="34">
        <f>'AX2'!UB60/1000/1000/1000</f>
        <v>28.588000000000001</v>
      </c>
      <c r="V63" s="34">
        <f t="shared" si="14"/>
        <v>2232.7909999999997</v>
      </c>
      <c r="W63" s="34">
        <f t="shared" si="15"/>
        <v>1881.2342889826248</v>
      </c>
      <c r="X63" s="13">
        <f>'AX2'!VG60/1000/1000/1000</f>
        <v>1716.9839999999999</v>
      </c>
      <c r="Y63" s="34">
        <f t="shared" si="48"/>
        <v>214.21600000000001</v>
      </c>
      <c r="Z63" s="125">
        <f t="shared" si="49"/>
        <v>1502.768</v>
      </c>
      <c r="AA63" s="34">
        <f t="shared" si="50"/>
        <v>515.80699999999979</v>
      </c>
      <c r="AB63" s="34">
        <f t="shared" si="51"/>
        <v>164.25028898262485</v>
      </c>
      <c r="AC63" s="34">
        <f t="shared" si="44"/>
        <v>556.21858646500948</v>
      </c>
      <c r="AD63" s="34">
        <f t="shared" si="45"/>
        <v>204.66187544763449</v>
      </c>
      <c r="AE63" s="781">
        <v>0.25214229310585201</v>
      </c>
      <c r="AF63" s="10">
        <f>'AX2'!UE60</f>
        <v>0</v>
      </c>
      <c r="AG63" s="10">
        <f t="shared" si="20"/>
        <v>538.38900000000001</v>
      </c>
      <c r="AH63" s="10">
        <v>530.91600000000005</v>
      </c>
      <c r="AI63" s="790">
        <v>419.27300000000002</v>
      </c>
      <c r="AJ63" s="790">
        <v>111.643</v>
      </c>
      <c r="AK63" s="10">
        <f>'AX2'!VI60/1000/1000/1000</f>
        <v>7.4729999999999999</v>
      </c>
      <c r="AL63" s="10">
        <f>'AX2'!VA60/1000/1000/1000</f>
        <v>0</v>
      </c>
      <c r="AM63" s="10">
        <f>'AX2'!VL60/1000/1000/1000</f>
        <v>0</v>
      </c>
      <c r="AN63" s="10">
        <f t="shared" si="21"/>
        <v>-22.582000000000221</v>
      </c>
      <c r="AO63" s="94"/>
      <c r="AP63" s="11"/>
      <c r="AQ63" s="11"/>
      <c r="AR63" s="11"/>
      <c r="AS63" s="149"/>
      <c r="AT63" s="153"/>
      <c r="AU63" s="102"/>
      <c r="AV63" s="102"/>
      <c r="AW63" s="102"/>
      <c r="AX63" s="103"/>
      <c r="AY63" s="11"/>
      <c r="AZ63" s="10"/>
      <c r="BA63" s="11"/>
      <c r="BB63" s="11"/>
      <c r="BC63" s="10"/>
      <c r="BD63" s="10"/>
      <c r="BE63" s="13"/>
      <c r="BF63" s="34"/>
      <c r="BG63" s="10"/>
      <c r="BH63" s="34"/>
      <c r="BI63" s="34"/>
      <c r="BJ63" s="102"/>
      <c r="BK63" s="103"/>
      <c r="BL63" s="10">
        <f>'AX2'!IF60/1000/1000/1000</f>
        <v>1434.7249999999999</v>
      </c>
      <c r="BM63" s="11"/>
      <c r="BN63" s="11"/>
      <c r="BO63" s="12"/>
      <c r="BP63" s="10"/>
      <c r="BQ63" s="10"/>
      <c r="BR63" s="10"/>
      <c r="BS63" s="13"/>
      <c r="BT63" s="34"/>
      <c r="BU63" s="34"/>
      <c r="BV63" s="14"/>
      <c r="BW63" s="10"/>
      <c r="BX63" s="10"/>
      <c r="BY63" s="10"/>
      <c r="BZ63" s="10"/>
      <c r="CA63" s="10"/>
      <c r="CB63" s="10"/>
      <c r="CC63" s="13"/>
      <c r="CD63" s="34"/>
      <c r="CE63" s="34"/>
      <c r="CF63" s="34"/>
      <c r="CG63" s="34"/>
      <c r="CH63" s="34"/>
      <c r="CI63" s="34"/>
      <c r="CJ63" s="13">
        <f>'AX2'!KU60/1000/1000/1000</f>
        <v>214.21600000000001</v>
      </c>
      <c r="CK63" s="34"/>
      <c r="CL63" s="14"/>
      <c r="CM63" s="116"/>
      <c r="CN63" s="10"/>
      <c r="CO63" s="10"/>
      <c r="CP63" s="10"/>
      <c r="CQ63" s="13"/>
      <c r="CR63" s="34"/>
      <c r="CS63" s="125"/>
      <c r="CT63" s="14"/>
      <c r="CU63" s="10"/>
      <c r="CV63" s="10"/>
      <c r="CW63" s="10"/>
      <c r="CX63" s="10"/>
      <c r="CY63" s="10"/>
      <c r="CZ63" s="13"/>
      <c r="DA63" s="34"/>
      <c r="DB63" s="34"/>
      <c r="DC63" s="34"/>
      <c r="DD63" s="14"/>
      <c r="DE63" s="13"/>
      <c r="DF63" s="14"/>
      <c r="DG63" s="116"/>
      <c r="DH63" s="10"/>
      <c r="DI63" s="10"/>
      <c r="DJ63" s="10"/>
      <c r="DK63" s="13"/>
      <c r="DL63" s="34"/>
      <c r="DM63" s="34"/>
      <c r="DN63" s="14"/>
      <c r="DO63" s="10"/>
      <c r="DP63" s="10"/>
      <c r="DQ63" s="10"/>
      <c r="DR63" s="10"/>
      <c r="DS63" s="10"/>
      <c r="DT63" s="13"/>
      <c r="DU63" s="34"/>
      <c r="DV63" s="34"/>
      <c r="DW63" s="34"/>
      <c r="DX63" s="14"/>
      <c r="DY63" s="13"/>
      <c r="DZ63" s="14"/>
      <c r="EA63" s="116"/>
      <c r="EB63" s="10"/>
      <c r="EC63" s="10"/>
      <c r="ED63" s="10"/>
      <c r="EE63" s="13"/>
      <c r="EF63" s="34"/>
      <c r="EG63" s="34"/>
      <c r="EH63" s="14"/>
      <c r="EI63" s="10"/>
      <c r="EJ63" s="10"/>
      <c r="EK63" s="10"/>
      <c r="EL63" s="10"/>
      <c r="EM63" s="10"/>
      <c r="EN63" s="13"/>
      <c r="EO63" s="34"/>
      <c r="EP63" s="34"/>
      <c r="EQ63" s="34"/>
      <c r="ER63" s="14"/>
      <c r="ES63" s="13"/>
      <c r="ET63" s="14"/>
      <c r="EU63" s="116"/>
      <c r="EV63" s="10">
        <f>'AX2'!SF60/1000/1000/1000</f>
        <v>4811.2219999999998</v>
      </c>
      <c r="EW63" s="10">
        <f>'AX2'!SC60/1000/1000/1000</f>
        <v>4815.8540000000003</v>
      </c>
      <c r="EX63" s="10">
        <f t="shared" si="43"/>
        <v>4.6320000000005166</v>
      </c>
      <c r="EY63" s="10">
        <f>'AX2'!QC60/1000/1000/1000</f>
        <v>5.5179999999999998</v>
      </c>
      <c r="EZ63" s="10">
        <f>'AX2'!QD60/1000/1000/1000</f>
        <v>2.8879999999999999</v>
      </c>
      <c r="FA63" s="10">
        <f t="shared" ref="FA63:FA68" si="52">SUM(FB63:FE63)</f>
        <v>1208.1259999999997</v>
      </c>
      <c r="FB63" s="728">
        <v>1040.9469999999999</v>
      </c>
      <c r="FC63" s="728">
        <v>112.581</v>
      </c>
      <c r="FD63" s="728">
        <v>49.08</v>
      </c>
      <c r="FE63" s="728">
        <v>5.5179999999999998</v>
      </c>
      <c r="FF63" s="10">
        <f t="shared" ref="FF63:FF68" si="53">SUM(FG63:FJ63)</f>
        <v>1251.8440000000001</v>
      </c>
      <c r="FG63" s="728">
        <v>933.03599999999994</v>
      </c>
      <c r="FH63" s="728">
        <v>225.64599999999999</v>
      </c>
      <c r="FI63" s="728">
        <v>65.938000000000002</v>
      </c>
      <c r="FJ63" s="728">
        <v>27.224</v>
      </c>
      <c r="FK63" s="10">
        <f>'AX2'!RA60/1000/1000/1000</f>
        <v>28.588000000000001</v>
      </c>
      <c r="FL63" s="10">
        <f>'AX2'!RB60/1000/1000/1000</f>
        <v>8.8019999999999996</v>
      </c>
      <c r="FM63" s="686">
        <f t="shared" si="41"/>
        <v>0.63551452186055124</v>
      </c>
      <c r="FN63" s="686">
        <f t="shared" si="42"/>
        <v>2.5332996327868318</v>
      </c>
      <c r="FQ63" s="12"/>
      <c r="FR63" s="259">
        <v>7.7554999999999996</v>
      </c>
      <c r="FS63" s="69">
        <v>100.3</v>
      </c>
      <c r="FT63" s="780">
        <f t="shared" si="30"/>
        <v>4.9163179916318134E-2</v>
      </c>
      <c r="FU63" s="780">
        <f t="shared" si="27"/>
        <v>0.96628131021194608</v>
      </c>
      <c r="FV63" s="780">
        <f t="shared" si="31"/>
        <v>4.6009174311926602</v>
      </c>
      <c r="FW63" s="781">
        <f t="shared" si="32"/>
        <v>1.0491631799163181</v>
      </c>
      <c r="FX63" s="9">
        <v>256.89999999999998</v>
      </c>
      <c r="FY63" s="161">
        <f t="shared" si="22"/>
        <v>0.89793778399161117</v>
      </c>
      <c r="FZ63" s="161">
        <f t="shared" si="23"/>
        <v>0.92927160496838723</v>
      </c>
      <c r="GA63" s="625">
        <f t="shared" si="35"/>
        <v>2.5928076426458331</v>
      </c>
      <c r="GB63" s="637">
        <v>4.1638554216867476</v>
      </c>
      <c r="GC63" s="475">
        <f t="shared" si="24"/>
        <v>0.94633077765607909</v>
      </c>
      <c r="GD63" s="806">
        <f t="shared" si="25"/>
        <v>0.97935328734497518</v>
      </c>
      <c r="GE63" s="806">
        <f t="shared" si="33"/>
        <v>0.90500546553111771</v>
      </c>
      <c r="GF63" s="814">
        <v>23605</v>
      </c>
      <c r="GG63" s="820">
        <f t="shared" si="28"/>
        <v>235.34396809571288</v>
      </c>
      <c r="GH63" s="806">
        <f t="shared" si="36"/>
        <v>4.1432615908511101</v>
      </c>
      <c r="GI63" s="806"/>
      <c r="GJ63" s="806">
        <v>1.6000000000000001E-3</v>
      </c>
      <c r="GK63" s="806">
        <v>0.05</v>
      </c>
      <c r="GL63" s="806">
        <f t="shared" si="37"/>
        <v>4.9163179916318134E-2</v>
      </c>
      <c r="GM63" s="806">
        <f t="shared" si="34"/>
        <v>7.9760717846455442E-4</v>
      </c>
      <c r="GN63" s="806">
        <f t="shared" si="38"/>
        <v>2.8204960328380562</v>
      </c>
      <c r="GO63" s="12"/>
      <c r="GP63" s="716"/>
      <c r="GQ63" s="825"/>
    </row>
    <row r="64" spans="2:200" s="9" customFormat="1" ht="12.75">
      <c r="B64" s="15">
        <v>2015</v>
      </c>
      <c r="C64" s="34">
        <f>'AX2'!VC61/1000/1000/1000</f>
        <v>4463.4880000000003</v>
      </c>
      <c r="D64" s="34">
        <f>'AX2'!VD61/1000/1000/1000</f>
        <v>2138.0309999999999</v>
      </c>
      <c r="E64" s="34">
        <f t="shared" si="46"/>
        <v>2325.4570000000003</v>
      </c>
      <c r="F64" s="54">
        <v>373.41423459634802</v>
      </c>
      <c r="G64" s="631">
        <f t="shared" si="5"/>
        <v>0.15756978530831611</v>
      </c>
      <c r="H64" s="14">
        <f t="shared" si="47"/>
        <v>1952.0427654036523</v>
      </c>
      <c r="I64" s="13">
        <f>'AX2'!SY61/1000/1000/1000</f>
        <v>1181.0899999999999</v>
      </c>
      <c r="J64" s="34">
        <v>48.756</v>
      </c>
      <c r="K64" s="34">
        <f t="shared" si="8"/>
        <v>1095.6110000000003</v>
      </c>
      <c r="L64" s="14">
        <f t="shared" si="9"/>
        <v>722.19676540365242</v>
      </c>
      <c r="M64" s="13">
        <f t="shared" si="10"/>
        <v>2369.8340000000003</v>
      </c>
      <c r="N64" s="34">
        <f t="shared" si="11"/>
        <v>1996.4197654036523</v>
      </c>
      <c r="O64" s="34">
        <f t="shared" si="12"/>
        <v>1095.6110000000003</v>
      </c>
      <c r="P64" s="34">
        <f t="shared" si="13"/>
        <v>722.19676540365231</v>
      </c>
      <c r="Q64" s="34">
        <f t="shared" si="29"/>
        <v>1178.2079999999999</v>
      </c>
      <c r="R64" s="34">
        <f t="shared" si="26"/>
        <v>48.756</v>
      </c>
      <c r="S64" s="14">
        <f>('AX2'!TS61-'AX2'!TT61)/1000/1000/1000</f>
        <v>47.259</v>
      </c>
      <c r="T64" s="13">
        <f>('AX2'!UA61)/1000/1000/1000</f>
        <v>9.65</v>
      </c>
      <c r="U64" s="34">
        <f>'AX2'!UB61/1000/1000/1000</f>
        <v>31.774999999999999</v>
      </c>
      <c r="V64" s="34">
        <f t="shared" si="14"/>
        <v>2347.7090000000003</v>
      </c>
      <c r="W64" s="34">
        <f t="shared" si="15"/>
        <v>1974.2947654036523</v>
      </c>
      <c r="X64" s="13">
        <f>'AX2'!VG61/1000/1000/1000</f>
        <v>1824.354</v>
      </c>
      <c r="Y64" s="34">
        <f t="shared" si="48"/>
        <v>231.26300000000001</v>
      </c>
      <c r="Z64" s="125">
        <f t="shared" si="49"/>
        <v>1593.0910000000001</v>
      </c>
      <c r="AA64" s="34">
        <f t="shared" si="50"/>
        <v>523.35500000000025</v>
      </c>
      <c r="AB64" s="34">
        <f t="shared" si="51"/>
        <v>149.94076540365222</v>
      </c>
      <c r="AC64" s="34">
        <f t="shared" si="44"/>
        <v>578.0754249967855</v>
      </c>
      <c r="AD64" s="34">
        <f t="shared" si="45"/>
        <v>204.66119040043748</v>
      </c>
      <c r="AE64" s="781">
        <v>0.24858572959929401</v>
      </c>
      <c r="AF64" s="10">
        <f>'AX2'!UE61</f>
        <v>0</v>
      </c>
      <c r="AG64" s="10">
        <f t="shared" si="20"/>
        <v>516.625</v>
      </c>
      <c r="AH64" s="10">
        <v>537.20500000000004</v>
      </c>
      <c r="AI64" s="790">
        <v>418.92500000000001</v>
      </c>
      <c r="AJ64" s="790">
        <v>118.28</v>
      </c>
      <c r="AK64" s="10">
        <f>'AX2'!VI61/1000/1000/1000</f>
        <v>-20.58</v>
      </c>
      <c r="AL64" s="10">
        <f>'AX2'!VA61/1000/1000/1000</f>
        <v>0</v>
      </c>
      <c r="AM64" s="10">
        <f>'AX2'!VL61/1000/1000/1000</f>
        <v>0</v>
      </c>
      <c r="AN64" s="10">
        <f t="shared" si="21"/>
        <v>6.7300000000002456</v>
      </c>
      <c r="AO64" s="94"/>
      <c r="AP64" s="11"/>
      <c r="AQ64" s="11"/>
      <c r="AR64" s="11"/>
      <c r="AS64" s="149"/>
      <c r="AT64" s="153"/>
      <c r="AU64" s="102"/>
      <c r="AV64" s="102"/>
      <c r="AW64" s="102"/>
      <c r="AX64" s="103"/>
      <c r="AY64" s="11"/>
      <c r="AZ64" s="10"/>
      <c r="BA64" s="11"/>
      <c r="BB64" s="11"/>
      <c r="BC64" s="10"/>
      <c r="BD64" s="10"/>
      <c r="BE64" s="13"/>
      <c r="BF64" s="34"/>
      <c r="BG64" s="10"/>
      <c r="BH64" s="34"/>
      <c r="BI64" s="34"/>
      <c r="BJ64" s="102"/>
      <c r="BK64" s="103"/>
      <c r="BL64" s="10">
        <f>'AX2'!IF61/1000/1000/1000</f>
        <v>1518.433</v>
      </c>
      <c r="BM64" s="11"/>
      <c r="BN64" s="11"/>
      <c r="BO64" s="12"/>
      <c r="BP64" s="10"/>
      <c r="BQ64" s="10"/>
      <c r="BR64" s="10"/>
      <c r="BS64" s="13"/>
      <c r="BT64" s="34"/>
      <c r="BU64" s="34"/>
      <c r="BV64" s="14"/>
      <c r="BW64" s="10"/>
      <c r="BX64" s="10"/>
      <c r="BY64" s="10"/>
      <c r="BZ64" s="10"/>
      <c r="CA64" s="10"/>
      <c r="CB64" s="10"/>
      <c r="CC64" s="13"/>
      <c r="CD64" s="34"/>
      <c r="CE64" s="34"/>
      <c r="CF64" s="34"/>
      <c r="CG64" s="34"/>
      <c r="CH64" s="34"/>
      <c r="CI64" s="34"/>
      <c r="CJ64" s="13">
        <f>'AX2'!KU61/1000/1000/1000</f>
        <v>231.26300000000001</v>
      </c>
      <c r="CK64" s="34"/>
      <c r="CL64" s="14"/>
      <c r="CM64" s="116"/>
      <c r="CN64" s="10"/>
      <c r="CO64" s="10"/>
      <c r="CP64" s="10"/>
      <c r="CQ64" s="13"/>
      <c r="CR64" s="34"/>
      <c r="CS64" s="125"/>
      <c r="CT64" s="14"/>
      <c r="CU64" s="10"/>
      <c r="CV64" s="10"/>
      <c r="CW64" s="10"/>
      <c r="CX64" s="10"/>
      <c r="CY64" s="10"/>
      <c r="CZ64" s="13"/>
      <c r="DA64" s="34"/>
      <c r="DB64" s="34"/>
      <c r="DC64" s="34"/>
      <c r="DD64" s="14"/>
      <c r="DE64" s="13"/>
      <c r="DF64" s="14"/>
      <c r="DG64" s="116"/>
      <c r="DH64" s="10"/>
      <c r="DI64" s="10"/>
      <c r="DJ64" s="10"/>
      <c r="DK64" s="13"/>
      <c r="DL64" s="34"/>
      <c r="DM64" s="34"/>
      <c r="DN64" s="14"/>
      <c r="DO64" s="10"/>
      <c r="DP64" s="10"/>
      <c r="DQ64" s="10"/>
      <c r="DR64" s="10"/>
      <c r="DS64" s="10"/>
      <c r="DT64" s="13"/>
      <c r="DU64" s="34"/>
      <c r="DV64" s="34"/>
      <c r="DW64" s="34"/>
      <c r="DX64" s="14"/>
      <c r="DY64" s="13"/>
      <c r="DZ64" s="14"/>
      <c r="EA64" s="116"/>
      <c r="EB64" s="10"/>
      <c r="EC64" s="10"/>
      <c r="ED64" s="10"/>
      <c r="EE64" s="13"/>
      <c r="EF64" s="34"/>
      <c r="EG64" s="34"/>
      <c r="EH64" s="14"/>
      <c r="EI64" s="10"/>
      <c r="EJ64" s="10"/>
      <c r="EK64" s="10"/>
      <c r="EL64" s="10"/>
      <c r="EM64" s="10"/>
      <c r="EN64" s="13"/>
      <c r="EO64" s="34"/>
      <c r="EP64" s="34"/>
      <c r="EQ64" s="34"/>
      <c r="ER64" s="14"/>
      <c r="ES64" s="13"/>
      <c r="ET64" s="14"/>
      <c r="EU64" s="116"/>
      <c r="EV64" s="10">
        <f>'AX2'!SF61/1000/1000/1000</f>
        <v>4640.8720000000003</v>
      </c>
      <c r="EW64" s="10">
        <f>'AX2'!SC61/1000/1000/1000</f>
        <v>4698.1729999999998</v>
      </c>
      <c r="EX64" s="10">
        <f t="shared" si="43"/>
        <v>57.300999999999476</v>
      </c>
      <c r="EY64" s="10">
        <f>'AX2'!QC61/1000/1000/1000</f>
        <v>5.88</v>
      </c>
      <c r="EZ64" s="10">
        <f>'AX2'!QD61/1000/1000/1000</f>
        <v>2.9980000000000002</v>
      </c>
      <c r="FA64" s="10">
        <f t="shared" si="52"/>
        <v>1230.0810000000001</v>
      </c>
      <c r="FB64" s="728">
        <v>1058.2249999999999</v>
      </c>
      <c r="FC64" s="728">
        <v>116.172</v>
      </c>
      <c r="FD64" s="728">
        <v>49.804000000000002</v>
      </c>
      <c r="FE64" s="728">
        <v>5.88</v>
      </c>
      <c r="FF64" s="10">
        <f t="shared" si="53"/>
        <v>1271.4580000000001</v>
      </c>
      <c r="FG64" s="728">
        <v>943.27700000000004</v>
      </c>
      <c r="FH64" s="728">
        <v>241.71600000000001</v>
      </c>
      <c r="FI64" s="728">
        <v>58.872999999999998</v>
      </c>
      <c r="FJ64" s="728">
        <v>27.591999999999999</v>
      </c>
      <c r="FK64" s="10">
        <f>'AX2'!RA61/1000/1000/1000</f>
        <v>31.774999999999999</v>
      </c>
      <c r="FL64" s="10">
        <f>'AX2'!RB61/1000/1000/1000</f>
        <v>9.65</v>
      </c>
      <c r="FM64" s="686">
        <f t="shared" si="41"/>
        <v>0.61614346908216089</v>
      </c>
      <c r="FN64" s="686">
        <f t="shared" si="42"/>
        <v>2.3532991815727118</v>
      </c>
      <c r="FQ64" s="12"/>
      <c r="FR64" s="259">
        <v>7.7504999999999997</v>
      </c>
      <c r="FS64" s="69">
        <v>102.6</v>
      </c>
      <c r="FT64" s="780">
        <f t="shared" si="30"/>
        <v>2.2931206380857327E-2</v>
      </c>
      <c r="FU64" s="780">
        <f t="shared" si="27"/>
        <v>0.98843930635838151</v>
      </c>
      <c r="FV64" s="780">
        <f t="shared" si="31"/>
        <v>4.7064220183486229</v>
      </c>
      <c r="FW64" s="781">
        <f t="shared" si="32"/>
        <v>1.0229312063808573</v>
      </c>
      <c r="FX64" s="9">
        <v>296.8</v>
      </c>
      <c r="FY64" s="161">
        <f t="shared" si="22"/>
        <v>1.0373995106606082</v>
      </c>
      <c r="FZ64" s="161">
        <f t="shared" si="23"/>
        <v>1.0495328382706739</v>
      </c>
      <c r="GA64" s="625">
        <f t="shared" si="35"/>
        <v>2.9283545840922898</v>
      </c>
      <c r="GB64" s="637">
        <v>4.0530120481927705</v>
      </c>
      <c r="GC64" s="475">
        <f t="shared" si="24"/>
        <v>0.92113910186199344</v>
      </c>
      <c r="GD64" s="806">
        <f t="shared" si="25"/>
        <v>0.93191265860891737</v>
      </c>
      <c r="GE64" s="806">
        <f t="shared" si="33"/>
        <v>0.86116630263745042</v>
      </c>
      <c r="GF64" s="814">
        <v>21914</v>
      </c>
      <c r="GG64" s="820">
        <f t="shared" si="28"/>
        <v>213.58674463937623</v>
      </c>
      <c r="GH64" s="806">
        <f t="shared" si="36"/>
        <v>3.7602228029883058</v>
      </c>
      <c r="GI64" s="806">
        <v>0.34499999999999997</v>
      </c>
      <c r="GJ64" s="806">
        <v>1.6000000000000001E-3</v>
      </c>
      <c r="GK64" s="806">
        <v>0.05</v>
      </c>
      <c r="GL64" s="806">
        <f t="shared" si="37"/>
        <v>2.2931206380857327E-2</v>
      </c>
      <c r="GM64" s="806">
        <f t="shared" si="34"/>
        <v>2.6461988304093742E-2</v>
      </c>
      <c r="GN64" s="806">
        <f t="shared" si="38"/>
        <v>2.8951319658707595</v>
      </c>
      <c r="GO64" s="12"/>
      <c r="GP64" s="716"/>
      <c r="GQ64" s="825"/>
    </row>
    <row r="65" spans="2:206" s="9" customFormat="1" ht="12.75">
      <c r="B65" s="15">
        <v>2016</v>
      </c>
      <c r="C65" s="34">
        <f>'AX2'!VC62/1000/1000/1000</f>
        <v>4563.5540000000001</v>
      </c>
      <c r="D65" s="34">
        <f>'AX2'!VD62/1000/1000/1000</f>
        <v>2145.6410000000001</v>
      </c>
      <c r="E65" s="34">
        <f t="shared" si="46"/>
        <v>2417.913</v>
      </c>
      <c r="F65" s="54">
        <v>389.42729830399998</v>
      </c>
      <c r="G65" s="631">
        <f t="shared" si="5"/>
        <v>0.15699510434725816</v>
      </c>
      <c r="H65" s="14">
        <f t="shared" si="47"/>
        <v>2028.485701696</v>
      </c>
      <c r="I65" s="13">
        <v>1248</v>
      </c>
      <c r="J65" s="34">
        <v>46.697000000000003</v>
      </c>
      <c r="K65" s="34">
        <f t="shared" si="8"/>
        <v>1123.2159999999999</v>
      </c>
      <c r="L65" s="14">
        <f t="shared" si="9"/>
        <v>733.78870169599998</v>
      </c>
      <c r="M65" s="13">
        <f t="shared" si="10"/>
        <v>2480.5060000000003</v>
      </c>
      <c r="N65" s="34">
        <f t="shared" si="11"/>
        <v>2091.0787016960003</v>
      </c>
      <c r="O65" s="34">
        <f t="shared" si="12"/>
        <v>1123.2159999999999</v>
      </c>
      <c r="P65" s="34">
        <f t="shared" si="13"/>
        <v>733.78870169599986</v>
      </c>
      <c r="Q65" s="34">
        <f t="shared" si="29"/>
        <v>1244.7640000000001</v>
      </c>
      <c r="R65" s="34">
        <f t="shared" si="26"/>
        <v>46.697000000000003</v>
      </c>
      <c r="S65" s="14">
        <f>('AX2'!TS62-'AX2'!TT62)/1000/1000/1000</f>
        <v>65.828999999999994</v>
      </c>
      <c r="T65" s="13">
        <f>('AX2'!UA62)/1000/1000/1000</f>
        <v>10.442</v>
      </c>
      <c r="U65" s="34">
        <f>'AX2'!UB62/1000/1000/1000</f>
        <v>31.411000000000001</v>
      </c>
      <c r="V65" s="34">
        <f t="shared" si="14"/>
        <v>2459.5370000000003</v>
      </c>
      <c r="W65" s="34">
        <f t="shared" si="15"/>
        <v>2070.1097016960002</v>
      </c>
      <c r="X65" s="13">
        <f>'AX2'!VG62/1000/1000/1000</f>
        <v>1897.193</v>
      </c>
      <c r="Y65" s="34">
        <f t="shared" si="48"/>
        <v>247.608</v>
      </c>
      <c r="Z65" s="125">
        <f t="shared" si="49"/>
        <v>1649.585</v>
      </c>
      <c r="AA65" s="34">
        <f t="shared" si="50"/>
        <v>562.34400000000028</v>
      </c>
      <c r="AB65" s="34">
        <f t="shared" si="51"/>
        <v>172.91670169600025</v>
      </c>
      <c r="AC65" s="34">
        <f t="shared" si="44"/>
        <v>615.6797677223999</v>
      </c>
      <c r="AD65" s="34">
        <f t="shared" si="45"/>
        <v>226.25246941839993</v>
      </c>
      <c r="AE65" s="781">
        <v>0.254632721575342</v>
      </c>
      <c r="AF65" s="10">
        <f>'AX2'!UE62</f>
        <v>0</v>
      </c>
      <c r="AG65" s="10">
        <f t="shared" si="20"/>
        <v>535.66300000000001</v>
      </c>
      <c r="AH65" s="10">
        <v>535.21600000000001</v>
      </c>
      <c r="AI65" s="790">
        <v>411.66800000000001</v>
      </c>
      <c r="AJ65" s="790">
        <v>123.548</v>
      </c>
      <c r="AK65" s="10">
        <f>'AX2'!VI62/1000/1000/1000</f>
        <v>0.44700000000000001</v>
      </c>
      <c r="AL65" s="10">
        <f>'AX2'!VA62/1000/1000/1000</f>
        <v>0</v>
      </c>
      <c r="AM65" s="10">
        <f>'AX2'!VL62/1000/1000/1000</f>
        <v>0</v>
      </c>
      <c r="AN65" s="10">
        <f t="shared" si="21"/>
        <v>26.681000000000267</v>
      </c>
      <c r="AO65" s="94"/>
      <c r="AP65" s="11"/>
      <c r="AQ65" s="11"/>
      <c r="AR65" s="11"/>
      <c r="AS65" s="149"/>
      <c r="AT65" s="153"/>
      <c r="AU65" s="102"/>
      <c r="AV65" s="102"/>
      <c r="AW65" s="102"/>
      <c r="AX65" s="103"/>
      <c r="AY65" s="11"/>
      <c r="AZ65" s="10"/>
      <c r="BA65" s="11"/>
      <c r="BB65" s="11"/>
      <c r="BC65" s="10"/>
      <c r="BD65" s="10"/>
      <c r="BE65" s="13"/>
      <c r="BF65" s="34"/>
      <c r="BG65" s="10"/>
      <c r="BH65" s="34"/>
      <c r="BI65" s="34"/>
      <c r="BJ65" s="102"/>
      <c r="BK65" s="103"/>
      <c r="BL65" s="10">
        <f>'AX2'!IF62/1000/1000/1000</f>
        <v>1570.8209999999999</v>
      </c>
      <c r="BM65" s="11"/>
      <c r="BN65" s="11"/>
      <c r="BO65" s="12"/>
      <c r="BP65" s="10"/>
      <c r="BQ65" s="10"/>
      <c r="BR65" s="10"/>
      <c r="BS65" s="13"/>
      <c r="BT65" s="34"/>
      <c r="BU65" s="34"/>
      <c r="BV65" s="14"/>
      <c r="BW65" s="10"/>
      <c r="BX65" s="10"/>
      <c r="BY65" s="10"/>
      <c r="BZ65" s="10"/>
      <c r="CA65" s="10"/>
      <c r="CB65" s="10"/>
      <c r="CC65" s="13"/>
      <c r="CD65" s="34"/>
      <c r="CE65" s="34"/>
      <c r="CF65" s="34"/>
      <c r="CG65" s="34"/>
      <c r="CH65" s="34"/>
      <c r="CI65" s="34"/>
      <c r="CJ65" s="13">
        <f>'AX2'!KU62/1000/1000/1000</f>
        <v>247.608</v>
      </c>
      <c r="CK65" s="34"/>
      <c r="CL65" s="14"/>
      <c r="CM65" s="116"/>
      <c r="CN65" s="10"/>
      <c r="CO65" s="10"/>
      <c r="CP65" s="10"/>
      <c r="CQ65" s="13"/>
      <c r="CR65" s="34"/>
      <c r="CS65" s="125"/>
      <c r="CT65" s="14"/>
      <c r="CU65" s="10"/>
      <c r="CV65" s="10"/>
      <c r="CW65" s="10"/>
      <c r="CX65" s="10"/>
      <c r="CY65" s="10"/>
      <c r="CZ65" s="13"/>
      <c r="DA65" s="34"/>
      <c r="DB65" s="34"/>
      <c r="DC65" s="34"/>
      <c r="DD65" s="14"/>
      <c r="DE65" s="13"/>
      <c r="DF65" s="14"/>
      <c r="DG65" s="116"/>
      <c r="DH65" s="10"/>
      <c r="DI65" s="10"/>
      <c r="DJ65" s="10"/>
      <c r="DK65" s="13"/>
      <c r="DL65" s="34"/>
      <c r="DM65" s="34"/>
      <c r="DN65" s="14"/>
      <c r="DO65" s="10"/>
      <c r="DP65" s="10"/>
      <c r="DQ65" s="10"/>
      <c r="DR65" s="10"/>
      <c r="DS65" s="10"/>
      <c r="DT65" s="13"/>
      <c r="DU65" s="34"/>
      <c r="DV65" s="34"/>
      <c r="DW65" s="34"/>
      <c r="DX65" s="14"/>
      <c r="DY65" s="13"/>
      <c r="DZ65" s="14"/>
      <c r="EA65" s="116"/>
      <c r="EB65" s="10"/>
      <c r="EC65" s="10"/>
      <c r="ED65" s="10"/>
      <c r="EE65" s="13"/>
      <c r="EF65" s="34"/>
      <c r="EG65" s="34"/>
      <c r="EH65" s="14"/>
      <c r="EI65" s="10"/>
      <c r="EJ65" s="10"/>
      <c r="EK65" s="10"/>
      <c r="EL65" s="10"/>
      <c r="EM65" s="10"/>
      <c r="EN65" s="13"/>
      <c r="EO65" s="34"/>
      <c r="EP65" s="34"/>
      <c r="EQ65" s="34"/>
      <c r="ER65" s="14"/>
      <c r="ES65" s="13"/>
      <c r="ET65" s="14"/>
      <c r="EU65" s="116"/>
      <c r="EV65" s="10">
        <f>'AX2'!SF62/1000/1000/1000</f>
        <v>4600.6850000000004</v>
      </c>
      <c r="EW65" s="10">
        <f>'AX2'!SC62/1000/1000/1000</f>
        <v>4657.7250000000004</v>
      </c>
      <c r="EX65" s="10">
        <f t="shared" si="43"/>
        <v>57.039999999999964</v>
      </c>
      <c r="EY65" s="10">
        <f>'AX2'!QC62/1000/1000/1000</f>
        <v>6.3380000000000001</v>
      </c>
      <c r="EZ65" s="10">
        <f>'AX2'!QD62/1000/1000/1000</f>
        <v>3.1019999999999999</v>
      </c>
      <c r="FA65" s="10">
        <f t="shared" si="52"/>
        <v>1210.942</v>
      </c>
      <c r="FB65" s="728">
        <v>1039.0840000000001</v>
      </c>
      <c r="FC65" s="728">
        <v>108.71599999999999</v>
      </c>
      <c r="FD65" s="728">
        <v>56.804000000000002</v>
      </c>
      <c r="FE65" s="728">
        <v>6.3380000000000001</v>
      </c>
      <c r="FF65" s="10">
        <f t="shared" si="53"/>
        <v>1270.433</v>
      </c>
      <c r="FG65" s="728">
        <v>914.91300000000001</v>
      </c>
      <c r="FH65" s="728">
        <v>264.76299999999998</v>
      </c>
      <c r="FI65" s="728">
        <v>58.036999999999999</v>
      </c>
      <c r="FJ65" s="728">
        <v>32.72</v>
      </c>
      <c r="FK65" s="10">
        <f>'AX2'!RA62/1000/1000/1000</f>
        <v>31.411000000000001</v>
      </c>
      <c r="FL65" s="10">
        <f>'AX2'!RB62/1000/1000/1000</f>
        <v>10.442</v>
      </c>
      <c r="FM65" s="686">
        <f t="shared" si="41"/>
        <v>0.57909919842703561</v>
      </c>
      <c r="FN65" s="686">
        <f t="shared" si="42"/>
        <v>2.2274269238275362</v>
      </c>
      <c r="FQ65" s="12"/>
      <c r="FR65" s="259">
        <v>7.7539999999999996</v>
      </c>
      <c r="FS65" s="69">
        <v>103.8</v>
      </c>
      <c r="FT65" s="780">
        <f t="shared" si="30"/>
        <v>1.1695906432748648E-2</v>
      </c>
      <c r="FU65" s="780">
        <f t="shared" si="27"/>
        <v>1</v>
      </c>
      <c r="FV65" s="780">
        <f t="shared" si="31"/>
        <v>4.7614678899082561</v>
      </c>
      <c r="FW65" s="781">
        <f t="shared" si="32"/>
        <v>1.0116959064327486</v>
      </c>
      <c r="FX65" s="9">
        <v>286.10000000000002</v>
      </c>
      <c r="FY65" s="161">
        <f>FX65/FX$65</f>
        <v>1</v>
      </c>
      <c r="FZ65" s="161">
        <f t="shared" si="23"/>
        <v>1</v>
      </c>
      <c r="GA65" s="625">
        <f t="shared" si="35"/>
        <v>2.790150510123504</v>
      </c>
      <c r="GB65" s="637">
        <v>4.3999999999999995</v>
      </c>
      <c r="GC65" s="475">
        <f>1</f>
        <v>1</v>
      </c>
      <c r="GD65" s="806">
        <f t="shared" si="25"/>
        <v>1</v>
      </c>
      <c r="GE65" s="806">
        <f t="shared" si="33"/>
        <v>0.92408477842003856</v>
      </c>
      <c r="GF65" s="814">
        <v>22001</v>
      </c>
      <c r="GG65" s="820">
        <f t="shared" si="28"/>
        <v>211.95568400770713</v>
      </c>
      <c r="GH65" s="806">
        <f t="shared" si="36"/>
        <v>3.7315077654956279</v>
      </c>
      <c r="GI65" s="806"/>
      <c r="GJ65" s="806">
        <v>1.4000000000000002E-3</v>
      </c>
      <c r="GK65" s="806">
        <v>0.05</v>
      </c>
      <c r="GL65" s="806">
        <f t="shared" si="37"/>
        <v>1.1695906432748648E-2</v>
      </c>
      <c r="GM65" s="806">
        <f t="shared" si="34"/>
        <v>3.786127167630049E-2</v>
      </c>
      <c r="GN65" s="806">
        <f t="shared" si="38"/>
        <v>3.0047453437693341</v>
      </c>
      <c r="GO65" s="12"/>
      <c r="GP65" s="716"/>
      <c r="GQ65" s="825"/>
      <c r="GR65" s="161" t="e">
        <f>GQ65/GQ45/(FV65/FV45)</f>
        <v>#DIV/0!</v>
      </c>
    </row>
    <row r="66" spans="2:206" s="9" customFormat="1" ht="12.75">
      <c r="B66" s="15">
        <v>2017</v>
      </c>
      <c r="C66" s="34">
        <v>4798.9889999999996</v>
      </c>
      <c r="D66" s="34">
        <v>2247.9029999999998</v>
      </c>
      <c r="E66" s="34">
        <v>2659.384</v>
      </c>
      <c r="F66" s="54">
        <f>G66*M65</f>
        <v>388.13277249283806</v>
      </c>
      <c r="G66" s="630">
        <f>AVERAGE(G61:G65)</f>
        <v>0.15647322461338051</v>
      </c>
      <c r="H66" s="14">
        <f t="shared" si="47"/>
        <v>2271.2512275071622</v>
      </c>
      <c r="I66" s="13">
        <v>1317.1220000000001</v>
      </c>
      <c r="J66" s="10">
        <v>46.996000000000002</v>
      </c>
      <c r="K66" s="10">
        <v>1186.972</v>
      </c>
      <c r="L66" s="14">
        <f>K66-F66</f>
        <v>798.83922750716192</v>
      </c>
      <c r="M66" s="10">
        <v>2774.9360000000001</v>
      </c>
      <c r="N66" s="10">
        <f t="shared" si="11"/>
        <v>2386.8032275071619</v>
      </c>
      <c r="O66" s="34">
        <f t="shared" si="12"/>
        <v>1186.972</v>
      </c>
      <c r="P66" s="34">
        <f t="shared" si="13"/>
        <v>798.83922750716192</v>
      </c>
      <c r="Q66" s="34">
        <f t="shared" si="29"/>
        <v>1313.7060000000001</v>
      </c>
      <c r="R66" s="34">
        <f>J66</f>
        <v>46.996000000000002</v>
      </c>
      <c r="S66" s="14"/>
      <c r="T66" s="10"/>
      <c r="U66" s="10"/>
      <c r="V66" s="10"/>
      <c r="W66" s="10"/>
      <c r="X66" s="13"/>
      <c r="Y66" s="34"/>
      <c r="Z66" s="34"/>
      <c r="AA66" s="34">
        <f>V66-X66</f>
        <v>0</v>
      </c>
      <c r="AB66" s="34">
        <f>W66-X66</f>
        <v>0</v>
      </c>
      <c r="AC66" s="34">
        <f t="shared" si="44"/>
        <v>708.79108634215152</v>
      </c>
      <c r="AD66" s="34">
        <f t="shared" si="45"/>
        <v>320.65831384931346</v>
      </c>
      <c r="AE66" s="781">
        <v>0.26652453588581099</v>
      </c>
      <c r="AF66" s="10"/>
      <c r="AG66" s="10"/>
      <c r="AH66" s="10">
        <v>575.97699999999998</v>
      </c>
      <c r="AI66" s="790">
        <v>445.13900000000001</v>
      </c>
      <c r="AJ66" s="790">
        <v>130.83799999999999</v>
      </c>
      <c r="AK66" s="10"/>
      <c r="AL66" s="10"/>
      <c r="AM66" s="10"/>
      <c r="AN66" s="10"/>
      <c r="AO66" s="94"/>
      <c r="AP66" s="11"/>
      <c r="AQ66" s="11"/>
      <c r="AR66" s="11"/>
      <c r="AS66" s="11"/>
      <c r="AT66" s="102"/>
      <c r="AU66" s="11"/>
      <c r="AV66" s="11"/>
      <c r="AW66" s="11"/>
      <c r="AX66" s="11"/>
      <c r="AY66" s="11"/>
      <c r="AZ66" s="10"/>
      <c r="BA66" s="11"/>
      <c r="BO66" s="12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16"/>
      <c r="CN66" s="10"/>
      <c r="CO66" s="10"/>
      <c r="CS66" s="127"/>
      <c r="DG66" s="12"/>
      <c r="DH66" s="10"/>
      <c r="DI66" s="10"/>
      <c r="EA66" s="12"/>
      <c r="EB66" s="10"/>
      <c r="EC66" s="10"/>
      <c r="EU66" s="12"/>
      <c r="EY66" s="10">
        <v>6.8220000000000001</v>
      </c>
      <c r="EZ66" s="10">
        <v>3.4060000000000001</v>
      </c>
      <c r="FA66" s="10">
        <f t="shared" si="52"/>
        <v>1307.1129999999998</v>
      </c>
      <c r="FB66" s="728">
        <v>1091.31</v>
      </c>
      <c r="FC66" s="728">
        <v>116.53700000000001</v>
      </c>
      <c r="FD66" s="728">
        <v>92.444000000000003</v>
      </c>
      <c r="FE66" s="728">
        <v>6.8220000000000001</v>
      </c>
      <c r="FF66" s="10">
        <f t="shared" si="53"/>
        <v>1419.2579999999998</v>
      </c>
      <c r="FG66" s="728">
        <v>973.79399999999998</v>
      </c>
      <c r="FH66" s="728">
        <v>305.32499999999999</v>
      </c>
      <c r="FI66" s="728">
        <v>95.242999999999995</v>
      </c>
      <c r="FJ66" s="728">
        <v>44.896000000000001</v>
      </c>
      <c r="FM66" s="161"/>
      <c r="FN66" s="161"/>
      <c r="FQ66" s="12"/>
      <c r="FR66" s="259">
        <v>7.8140000000000001</v>
      </c>
      <c r="FS66" s="69">
        <v>105.6</v>
      </c>
      <c r="FT66" s="780">
        <f t="shared" si="30"/>
        <v>1.7341040462427681E-2</v>
      </c>
      <c r="FU66" s="780">
        <f t="shared" si="27"/>
        <v>1.0173410404624277</v>
      </c>
      <c r="FV66" s="780">
        <f t="shared" si="31"/>
        <v>4.8440366972477058</v>
      </c>
      <c r="FW66" s="781">
        <f t="shared" si="32"/>
        <v>1.0173410404624277</v>
      </c>
      <c r="FX66" s="9">
        <v>333.9</v>
      </c>
      <c r="FY66" s="161">
        <f>FX66/FX$65</f>
        <v>1.167074449493184</v>
      </c>
      <c r="FZ66" s="161">
        <f t="shared" si="23"/>
        <v>1.1471811350131866</v>
      </c>
      <c r="GA66" s="625">
        <f t="shared" si="35"/>
        <v>3.2008080290611032</v>
      </c>
      <c r="GB66" s="807"/>
      <c r="GC66" s="780"/>
      <c r="GD66" s="806"/>
      <c r="GE66" s="806"/>
      <c r="GF66" s="814">
        <v>29919</v>
      </c>
      <c r="GG66" s="820">
        <f t="shared" si="28"/>
        <v>283.32386363636363</v>
      </c>
      <c r="GH66" s="806">
        <f t="shared" si="36"/>
        <v>4.9879539784876563</v>
      </c>
      <c r="GI66" s="806"/>
      <c r="GJ66" s="806">
        <v>1.5E-3</v>
      </c>
      <c r="GK66" s="806">
        <v>0.05</v>
      </c>
      <c r="GL66" s="806">
        <f t="shared" si="37"/>
        <v>1.7341040462427681E-2</v>
      </c>
      <c r="GM66" s="806">
        <f t="shared" si="34"/>
        <v>3.210227272727284E-2</v>
      </c>
      <c r="GN66" s="806">
        <f t="shared" si="38"/>
        <v>3.1012044982710205</v>
      </c>
      <c r="GO66" s="12"/>
      <c r="GP66" s="716"/>
      <c r="GQ66" s="825"/>
      <c r="GR66" s="161" t="e">
        <f>GR65^(0.05)-1</f>
        <v>#DIV/0!</v>
      </c>
    </row>
    <row r="67" spans="2:206" s="9" customFormat="1" ht="12.75">
      <c r="B67" s="15">
        <v>2018</v>
      </c>
      <c r="C67" s="34">
        <v>5071.9920000000002</v>
      </c>
      <c r="D67" s="34">
        <v>2371.5659999999998</v>
      </c>
      <c r="E67" s="34">
        <v>2835.1190000000001</v>
      </c>
      <c r="F67" s="54">
        <f>G67*M66</f>
        <v>434.47646101234864</v>
      </c>
      <c r="G67" s="630">
        <f>AVERAGE(G62:G66)</f>
        <v>0.15657170508161219</v>
      </c>
      <c r="H67" s="14">
        <f t="shared" si="47"/>
        <v>2400.6425389876513</v>
      </c>
      <c r="I67" s="13">
        <v>1377.72</v>
      </c>
      <c r="J67" s="10">
        <v>46.835000000000001</v>
      </c>
      <c r="K67" s="10">
        <v>1274.2819999999999</v>
      </c>
      <c r="L67" s="14">
        <f>K67-F67</f>
        <v>839.80553898765129</v>
      </c>
      <c r="M67" s="10">
        <v>2969.9459999999999</v>
      </c>
      <c r="N67" s="10">
        <f t="shared" si="11"/>
        <v>2535.4695389876515</v>
      </c>
      <c r="O67" s="34">
        <f t="shared" si="12"/>
        <v>1274.2819999999999</v>
      </c>
      <c r="P67" s="34">
        <f t="shared" si="13"/>
        <v>839.80553898765129</v>
      </c>
      <c r="Q67" s="34">
        <f t="shared" si="29"/>
        <v>1373.7270000000001</v>
      </c>
      <c r="R67" s="34">
        <f t="shared" si="26"/>
        <v>46.835000000000001</v>
      </c>
      <c r="S67" s="14"/>
      <c r="T67" s="10"/>
      <c r="U67" s="10"/>
      <c r="V67" s="10"/>
      <c r="W67" s="10"/>
      <c r="X67" s="13"/>
      <c r="Y67" s="34"/>
      <c r="Z67" s="34"/>
      <c r="AA67" s="34">
        <f>V67-X67</f>
        <v>0</v>
      </c>
      <c r="AB67" s="34">
        <f>W67-X67</f>
        <v>0</v>
      </c>
      <c r="AC67" s="34">
        <f t="shared" si="44"/>
        <v>729.59463283228536</v>
      </c>
      <c r="AD67" s="34">
        <f t="shared" si="45"/>
        <v>295.11817181993672</v>
      </c>
      <c r="AE67" s="781">
        <v>0.25734180217207298</v>
      </c>
      <c r="AF67" s="10"/>
      <c r="AG67" s="10"/>
      <c r="AH67" s="10">
        <v>612.43899999999996</v>
      </c>
      <c r="AI67" s="790">
        <v>477.923</v>
      </c>
      <c r="AJ67" s="790">
        <v>134.51599999999999</v>
      </c>
      <c r="AK67" s="10"/>
      <c r="AL67" s="10"/>
      <c r="AM67" s="10"/>
      <c r="AN67" s="10"/>
      <c r="AO67" s="94"/>
      <c r="AP67" s="11"/>
      <c r="AQ67" s="11"/>
      <c r="AR67" s="11"/>
      <c r="AS67" s="11"/>
      <c r="AT67" s="102"/>
      <c r="AU67" s="11"/>
      <c r="AV67" s="11"/>
      <c r="AW67" s="11"/>
      <c r="AX67" s="11"/>
      <c r="AY67" s="11"/>
      <c r="AZ67" s="10"/>
      <c r="BA67" s="11"/>
      <c r="BO67" s="12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16"/>
      <c r="CN67" s="10"/>
      <c r="CO67" s="10"/>
      <c r="CS67" s="127"/>
      <c r="DG67" s="12"/>
      <c r="DH67" s="10"/>
      <c r="DI67" s="10"/>
      <c r="EA67" s="12"/>
      <c r="EB67" s="10"/>
      <c r="EC67" s="10"/>
      <c r="EU67" s="12"/>
      <c r="EY67" s="10">
        <v>7.3220000000000001</v>
      </c>
      <c r="EZ67" s="10">
        <v>3.3290000000000002</v>
      </c>
      <c r="FA67" s="10">
        <f t="shared" si="52"/>
        <v>1495.7609999999997</v>
      </c>
      <c r="FB67" s="728">
        <v>1192.3789999999999</v>
      </c>
      <c r="FC67" s="728">
        <v>138.077</v>
      </c>
      <c r="FD67" s="728">
        <v>157.983</v>
      </c>
      <c r="FE67" s="728">
        <v>7.3220000000000001</v>
      </c>
      <c r="FF67" s="10">
        <f t="shared" si="53"/>
        <v>1627.2470000000001</v>
      </c>
      <c r="FG67" s="728">
        <v>1060.336</v>
      </c>
      <c r="FH67" s="728">
        <v>341.86399999999998</v>
      </c>
      <c r="FI67" s="728">
        <v>159.608</v>
      </c>
      <c r="FJ67" s="728">
        <v>65.438999999999993</v>
      </c>
      <c r="FM67" s="161"/>
      <c r="FN67" s="161"/>
      <c r="FQ67" s="12"/>
      <c r="FR67" s="259">
        <v>7.8339999999999996</v>
      </c>
      <c r="FS67" s="69">
        <v>108.3</v>
      </c>
      <c r="FT67" s="780">
        <f t="shared" si="30"/>
        <v>2.5568181818181879E-2</v>
      </c>
      <c r="FU67" s="780">
        <f t="shared" si="27"/>
        <v>1.0433526011560694</v>
      </c>
      <c r="FV67" s="780">
        <f t="shared" si="31"/>
        <v>4.9678899082568808</v>
      </c>
      <c r="FW67" s="781">
        <f t="shared" si="32"/>
        <v>1.0255681818181819</v>
      </c>
      <c r="GB67" s="69" t="s">
        <v>1544</v>
      </c>
      <c r="GC67" s="45"/>
      <c r="GD67" s="806"/>
      <c r="GE67" s="806"/>
      <c r="GF67" s="814">
        <v>25846</v>
      </c>
      <c r="GG67" s="820">
        <f t="shared" si="28"/>
        <v>238.65189289012005</v>
      </c>
      <c r="GH67" s="806">
        <f t="shared" si="36"/>
        <v>4.2014980430406021</v>
      </c>
      <c r="GI67" s="806"/>
      <c r="GJ67" s="806">
        <v>1.5E-3</v>
      </c>
      <c r="GK67" s="806">
        <v>0.05</v>
      </c>
      <c r="GL67" s="806">
        <f t="shared" si="37"/>
        <v>2.5568181818181879E-2</v>
      </c>
      <c r="GM67" s="806"/>
      <c r="GN67" s="806">
        <f t="shared" si="38"/>
        <v>3.1012044982710205</v>
      </c>
      <c r="GO67" s="12"/>
      <c r="GP67" s="716"/>
      <c r="GQ67" s="825"/>
    </row>
    <row r="68" spans="2:206" s="9" customFormat="1" ht="12.75">
      <c r="B68" s="15">
        <v>2019</v>
      </c>
      <c r="C68" s="34">
        <v>5041.3100000000004</v>
      </c>
      <c r="D68" s="34">
        <v>2301.9949999999999</v>
      </c>
      <c r="E68" s="34">
        <v>2865.6590000000001</v>
      </c>
      <c r="F68" s="54">
        <f>G68*M67</f>
        <v>465.49656278454944</v>
      </c>
      <c r="G68" s="630">
        <f>AVERAGE(G63:G67)</f>
        <v>0.15673569916239199</v>
      </c>
      <c r="H68" s="14">
        <f t="shared" si="47"/>
        <v>2400.1624372154506</v>
      </c>
      <c r="I68" s="13">
        <f>I67*I67/I66</f>
        <v>1441.1059859299289</v>
      </c>
      <c r="J68" s="10">
        <v>46.728000000000002</v>
      </c>
      <c r="K68" s="10">
        <f>K67*K67/K66</f>
        <v>1368.014254358148</v>
      </c>
      <c r="L68" s="14">
        <f>K68-F68</f>
        <v>902.51769157359854</v>
      </c>
      <c r="M68" s="10">
        <v>3009.3760000000002</v>
      </c>
      <c r="N68" s="10">
        <f t="shared" si="11"/>
        <v>2543.8794372154507</v>
      </c>
      <c r="O68" s="34">
        <f t="shared" si="12"/>
        <v>1368.014254358148</v>
      </c>
      <c r="P68" s="34">
        <f t="shared" si="13"/>
        <v>902.51769157359854</v>
      </c>
      <c r="Q68" s="34">
        <f t="shared" si="29"/>
        <v>1436.5010805367181</v>
      </c>
      <c r="R68" s="34">
        <f t="shared" si="26"/>
        <v>46.728000000000002</v>
      </c>
      <c r="S68" s="14"/>
      <c r="T68" s="10"/>
      <c r="U68" s="10"/>
      <c r="V68" s="10"/>
      <c r="W68" s="10"/>
      <c r="X68" s="13"/>
      <c r="Y68" s="34"/>
      <c r="Z68" s="34"/>
      <c r="AA68" s="34">
        <f>V68-X68</f>
        <v>0</v>
      </c>
      <c r="AB68" s="34">
        <f>W68-X68</f>
        <v>0</v>
      </c>
      <c r="AC68" s="34">
        <f t="shared" si="44"/>
        <v>716.73369316497838</v>
      </c>
      <c r="AD68" s="34">
        <f t="shared" si="45"/>
        <v>251.23713038042894</v>
      </c>
      <c r="AE68" s="781">
        <v>0.250111298366267</v>
      </c>
      <c r="AF68" s="10"/>
      <c r="AG68" s="10"/>
      <c r="AH68" s="10"/>
      <c r="AI68" s="789"/>
      <c r="AJ68" s="789"/>
      <c r="AK68" s="10"/>
      <c r="AL68" s="10"/>
      <c r="AM68" s="10"/>
      <c r="AN68" s="10"/>
      <c r="AO68" s="94"/>
      <c r="AP68" s="11"/>
      <c r="AQ68" s="11"/>
      <c r="AR68" s="11"/>
      <c r="AS68" s="11"/>
      <c r="AT68" s="102"/>
      <c r="AU68" s="11"/>
      <c r="AV68" s="11"/>
      <c r="AW68" s="11"/>
      <c r="AX68" s="11"/>
      <c r="AY68" s="11"/>
      <c r="AZ68" s="10"/>
      <c r="BA68" s="11"/>
      <c r="BO68" s="12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16"/>
      <c r="CN68" s="10"/>
      <c r="CO68" s="10"/>
      <c r="CS68" s="127"/>
      <c r="DG68" s="12"/>
      <c r="DH68" s="10"/>
      <c r="DI68" s="10"/>
      <c r="EA68" s="12"/>
      <c r="EB68" s="10"/>
      <c r="EC68" s="10"/>
      <c r="EU68" s="12"/>
      <c r="EY68" s="10">
        <f>EY67*EY67/EY66</f>
        <v>7.8586461448255651</v>
      </c>
      <c r="EZ68" s="10">
        <f>EZ67/EZ66*EZ67</f>
        <v>3.2537407516147976</v>
      </c>
      <c r="FA68" s="10">
        <f t="shared" si="52"/>
        <v>1522.462</v>
      </c>
      <c r="FB68" s="728">
        <v>1208.6600000000001</v>
      </c>
      <c r="FC68" s="728">
        <v>143.167</v>
      </c>
      <c r="FD68" s="728">
        <v>162.74199999999999</v>
      </c>
      <c r="FE68" s="728">
        <v>7.8929999999999998</v>
      </c>
      <c r="FF68" s="10">
        <f t="shared" si="53"/>
        <v>1667.0929999999998</v>
      </c>
      <c r="FG68" s="728">
        <v>1077.1590000000001</v>
      </c>
      <c r="FH68" s="728">
        <v>351.91699999999997</v>
      </c>
      <c r="FI68" s="728">
        <v>164.303</v>
      </c>
      <c r="FJ68" s="728">
        <v>73.713999999999999</v>
      </c>
      <c r="FM68" s="161"/>
      <c r="FN68" s="161"/>
      <c r="FQ68" s="12"/>
      <c r="FR68" s="903">
        <v>7.7869999999999999</v>
      </c>
      <c r="FS68" s="45">
        <v>111.4</v>
      </c>
      <c r="FT68" s="780">
        <f t="shared" si="30"/>
        <v>2.8624192059095277E-2</v>
      </c>
      <c r="FU68" s="780">
        <f t="shared" si="27"/>
        <v>1.0732177263969171</v>
      </c>
      <c r="FV68" s="780">
        <f t="shared" si="31"/>
        <v>5.1100917431192654</v>
      </c>
      <c r="FW68" s="781">
        <f t="shared" si="32"/>
        <v>1.0286241920590951</v>
      </c>
      <c r="GB68" s="69"/>
      <c r="GC68" s="45"/>
      <c r="GD68" s="806"/>
      <c r="GE68" s="806"/>
      <c r="GF68" s="814">
        <v>28190</v>
      </c>
      <c r="GG68" s="820">
        <f t="shared" si="28"/>
        <v>253.05206463195691</v>
      </c>
      <c r="GH68" s="806">
        <f t="shared" si="36"/>
        <v>4.4550149653665967</v>
      </c>
      <c r="GI68" s="806"/>
      <c r="GJ68" s="806">
        <v>3.3E-3</v>
      </c>
      <c r="GK68" s="806">
        <v>5.1299999999999998E-2</v>
      </c>
      <c r="GL68" s="806">
        <f t="shared" si="37"/>
        <v>2.8624192059095277E-2</v>
      </c>
      <c r="GM68" s="806"/>
      <c r="GN68" s="806">
        <f t="shared" si="38"/>
        <v>3.1012044982710205</v>
      </c>
      <c r="GO68" s="12"/>
      <c r="GP68" s="716"/>
      <c r="GQ68" s="825"/>
    </row>
    <row r="69" spans="2:206" s="9" customFormat="1" ht="12.75">
      <c r="B69" s="15">
        <v>2020</v>
      </c>
      <c r="D69" s="45"/>
      <c r="E69" s="34"/>
      <c r="F69" s="54">
        <f>G69*M68</f>
        <v>472.07811582409101</v>
      </c>
      <c r="G69" s="630">
        <f>AVERAGE(G64:G68)</f>
        <v>0.15686910370259183</v>
      </c>
      <c r="H69" s="10"/>
      <c r="I69" s="885"/>
      <c r="J69" s="10"/>
      <c r="K69" s="10"/>
      <c r="L69" s="14"/>
      <c r="M69" s="10">
        <v>2836.9569999999999</v>
      </c>
      <c r="N69" s="10">
        <f t="shared" si="11"/>
        <v>2364.8788841759088</v>
      </c>
      <c r="O69" s="34"/>
      <c r="P69" s="34"/>
      <c r="Q69" s="34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34"/>
      <c r="AD69" s="34"/>
      <c r="AE69" s="780"/>
      <c r="AF69" s="10"/>
      <c r="AG69" s="10"/>
      <c r="AH69" s="10"/>
      <c r="AI69" s="789"/>
      <c r="AJ69" s="789"/>
      <c r="AK69" s="10"/>
      <c r="AL69" s="10"/>
      <c r="AM69" s="10"/>
      <c r="AN69" s="10"/>
      <c r="AO69" s="94"/>
      <c r="AP69" s="11"/>
      <c r="AQ69" s="11"/>
      <c r="AR69" s="11"/>
      <c r="AS69" s="11"/>
      <c r="AT69" s="102"/>
      <c r="AU69" s="11"/>
      <c r="AV69" s="11"/>
      <c r="AW69" s="11"/>
      <c r="AX69" s="11"/>
      <c r="AY69" s="11"/>
      <c r="AZ69" s="10"/>
      <c r="BA69" s="11"/>
      <c r="BO69" s="12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16"/>
      <c r="CN69" s="10"/>
      <c r="CO69" s="10"/>
      <c r="CS69" s="127"/>
      <c r="DG69" s="12"/>
      <c r="DH69" s="10"/>
      <c r="DI69" s="10"/>
      <c r="EA69" s="12"/>
      <c r="EB69" s="10"/>
      <c r="EC69" s="10"/>
      <c r="EU69" s="12"/>
      <c r="EY69" s="10"/>
      <c r="EZ69" s="10"/>
      <c r="FA69" s="10"/>
      <c r="FB69" s="728"/>
      <c r="FC69" s="728"/>
      <c r="FD69" s="728"/>
      <c r="FE69" s="728"/>
      <c r="FF69" s="10"/>
      <c r="FG69" s="728"/>
      <c r="FH69" s="728"/>
      <c r="FI69" s="728"/>
      <c r="FJ69" s="728"/>
      <c r="FM69" s="161"/>
      <c r="FN69" s="161"/>
      <c r="FQ69" s="12"/>
      <c r="FR69" s="903">
        <f>1/0.129</f>
        <v>7.7519379844961236</v>
      </c>
      <c r="FU69" s="161">
        <f>FU68*1.033</f>
        <v>1.1086339113680153</v>
      </c>
      <c r="FV69" s="161">
        <f t="shared" si="31"/>
        <v>5.2787247706422002</v>
      </c>
      <c r="FW69" s="781">
        <f t="shared" si="32"/>
        <v>1.0329999999999999</v>
      </c>
      <c r="GD69" s="716"/>
      <c r="GE69" s="716"/>
      <c r="GF69" s="816"/>
      <c r="GG69" s="806"/>
      <c r="GH69" s="716"/>
      <c r="GI69" s="716"/>
      <c r="GJ69" s="716"/>
      <c r="GK69" s="716"/>
      <c r="GL69" s="716"/>
      <c r="GM69" s="716"/>
      <c r="GN69" s="716"/>
      <c r="GO69" s="12"/>
    </row>
    <row r="70" spans="2:206">
      <c r="H70" s="10"/>
      <c r="I70" s="161"/>
      <c r="GW70" s="9"/>
      <c r="GX70" s="9"/>
    </row>
    <row r="71" spans="2:206">
      <c r="H71" s="10"/>
      <c r="I71" s="161"/>
      <c r="GW71" s="9"/>
      <c r="GX71" s="9"/>
    </row>
    <row r="72" spans="2:206">
      <c r="H72" s="10"/>
      <c r="I72" s="161"/>
    </row>
    <row r="73" spans="2:206">
      <c r="H73" s="10"/>
      <c r="I73" s="161"/>
    </row>
    <row r="74" spans="2:206">
      <c r="H74" s="10"/>
      <c r="I74" s="161"/>
    </row>
    <row r="75" spans="2:206">
      <c r="H75" s="10"/>
    </row>
    <row r="76" spans="2:206">
      <c r="H76" s="10"/>
    </row>
  </sheetData>
  <mergeCells count="33">
    <mergeCell ref="AF5:AN5"/>
    <mergeCell ref="C5:H5"/>
    <mergeCell ref="I5:L5"/>
    <mergeCell ref="M5:S5"/>
    <mergeCell ref="T5:W5"/>
    <mergeCell ref="X5:AE5"/>
    <mergeCell ref="CN5:CP5"/>
    <mergeCell ref="AP5:AR5"/>
    <mergeCell ref="AS5:AX5"/>
    <mergeCell ref="AY5:BD5"/>
    <mergeCell ref="BE5:BK5"/>
    <mergeCell ref="BL5:BN5"/>
    <mergeCell ref="BP5:BR5"/>
    <mergeCell ref="BS5:BV5"/>
    <mergeCell ref="BW5:CB5"/>
    <mergeCell ref="CC5:CI5"/>
    <mergeCell ref="CJ5:CL5"/>
    <mergeCell ref="EB5:ED5"/>
    <mergeCell ref="CQ5:CT5"/>
    <mergeCell ref="CU5:CY5"/>
    <mergeCell ref="CZ5:DD5"/>
    <mergeCell ref="DE5:DF5"/>
    <mergeCell ref="DH5:DJ5"/>
    <mergeCell ref="DK5:DN5"/>
    <mergeCell ref="DO5:DS5"/>
    <mergeCell ref="DT5:DX5"/>
    <mergeCell ref="DY5:DZ5"/>
    <mergeCell ref="FO5:FP5"/>
    <mergeCell ref="EV5:FN5"/>
    <mergeCell ref="EE5:EH5"/>
    <mergeCell ref="EI5:EM5"/>
    <mergeCell ref="EN5:ER5"/>
    <mergeCell ref="ES5:ET5"/>
  </mergeCells>
  <phoneticPr fontId="11" type="noConversion"/>
  <hyperlinks>
    <hyperlink ref="B1" location="Index!A1" display="Index" xr:uid="{50E852CE-E4CD-4746-90B1-39EB4EF31459}"/>
    <hyperlink ref="GF8" r:id="rId1" xr:uid="{0A42513B-FA9D-473A-8750-C0FDA94FDD2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VS63"/>
  <sheetViews>
    <sheetView workbookViewId="0">
      <pane xSplit="3" ySplit="6" topLeftCell="KS44" activePane="bottomRight" state="frozen"/>
      <selection pane="topRight" activeCell="D1" sqref="D1"/>
      <selection pane="bottomLeft" activeCell="A5" sqref="A5"/>
      <selection pane="bottomRight" activeCell="KU51" sqref="KU51"/>
    </sheetView>
  </sheetViews>
  <sheetFormatPr defaultColWidth="9" defaultRowHeight="15"/>
  <cols>
    <col min="1" max="183" width="10.625" style="1" customWidth="1"/>
    <col min="184" max="184" width="10.625" style="38" customWidth="1"/>
    <col min="185" max="206" width="10.625" style="1" customWidth="1"/>
    <col min="207" max="207" width="10.625" style="41" customWidth="1"/>
    <col min="208" max="212" width="10.625" style="72" customWidth="1"/>
    <col min="213" max="213" width="10.625" style="55" customWidth="1"/>
    <col min="214" max="234" width="10.625" style="1" customWidth="1"/>
    <col min="235" max="235" width="10.625" style="41" customWidth="1"/>
    <col min="236" max="245" width="10.625" style="1" customWidth="1"/>
    <col min="246" max="246" width="10.625" style="38" customWidth="1"/>
    <col min="247" max="260" width="10.625" style="1" customWidth="1"/>
    <col min="261" max="261" width="10.625" style="41" customWidth="1"/>
    <col min="262" max="263" width="10.625" style="72" customWidth="1"/>
    <col min="264" max="264" width="10.625" style="55" customWidth="1"/>
    <col min="265" max="270" width="10.625" style="72" customWidth="1"/>
    <col min="271" max="271" width="10.625" style="41" customWidth="1"/>
    <col min="272" max="272" width="10.625" style="55" customWidth="1"/>
    <col min="273" max="273" width="10.625" style="72" customWidth="1"/>
    <col min="274" max="278" width="10.625" style="1" customWidth="1"/>
    <col min="279" max="279" width="10.625" style="72" customWidth="1"/>
    <col min="280" max="280" width="10.625" style="41" customWidth="1"/>
    <col min="281" max="312" width="10.625" style="1" customWidth="1"/>
    <col min="313" max="313" width="10.625" style="38" customWidth="1"/>
    <col min="314" max="376" width="10.625" style="1" customWidth="1"/>
    <col min="377" max="377" width="10.625" style="38" customWidth="1"/>
    <col min="378" max="437" width="10.625" style="1" customWidth="1"/>
    <col min="438" max="438" width="10.625" style="38" customWidth="1"/>
    <col min="439" max="460" width="10.625" style="1" customWidth="1"/>
    <col min="461" max="461" width="10.625" style="41" customWidth="1"/>
    <col min="462" max="462" width="10.625" style="486" customWidth="1"/>
    <col min="463" max="501" width="10.625" style="1" customWidth="1"/>
    <col min="502" max="502" width="10.625" style="38" customWidth="1"/>
    <col min="503" max="505" width="10.625" style="1" customWidth="1"/>
    <col min="506" max="506" width="10.625" style="41" customWidth="1"/>
    <col min="507" max="507" width="10.625" style="55" customWidth="1"/>
    <col min="508" max="517" width="10.625" style="1" customWidth="1"/>
    <col min="518" max="518" width="10.625" style="41" customWidth="1"/>
    <col min="519" max="519" width="10.625" style="55" customWidth="1"/>
    <col min="520" max="520" width="10.625" style="72" customWidth="1"/>
    <col min="521" max="521" width="10.625" style="36" customWidth="1"/>
    <col min="522" max="528" width="10.625" style="1" customWidth="1"/>
    <col min="529" max="531" width="10.625" style="36" customWidth="1"/>
    <col min="532" max="536" width="10.625" style="1" customWidth="1"/>
    <col min="537" max="538" width="10.625" style="36" customWidth="1"/>
    <col min="539" max="539" width="10.625" style="41" customWidth="1"/>
    <col min="540" max="540" width="10.625" style="55" customWidth="1"/>
    <col min="541" max="541" width="10.625" style="72" customWidth="1"/>
    <col min="542" max="550" width="10.625" style="1" customWidth="1"/>
    <col min="551" max="551" width="10.625" style="41" customWidth="1"/>
    <col min="552" max="553" width="10.625" style="72" customWidth="1"/>
    <col min="554" max="554" width="10.625" style="55" customWidth="1"/>
    <col min="555" max="571" width="10.625" style="1" customWidth="1"/>
    <col min="572" max="572" width="10.625" style="41" customWidth="1"/>
    <col min="573" max="591" width="10.625" style="1" customWidth="1"/>
    <col min="592" max="16384" width="9" style="1"/>
  </cols>
  <sheetData>
    <row r="1" spans="1:591" ht="39.75" customHeight="1">
      <c r="A1" s="241" t="s">
        <v>1008</v>
      </c>
    </row>
    <row r="2" spans="1:591" s="2" customFormat="1" ht="30">
      <c r="C2" s="2" t="s">
        <v>591</v>
      </c>
      <c r="D2" s="2" t="s">
        <v>991</v>
      </c>
      <c r="E2" s="2" t="s">
        <v>991</v>
      </c>
      <c r="F2" s="2" t="s">
        <v>991</v>
      </c>
      <c r="G2" s="2" t="s">
        <v>991</v>
      </c>
      <c r="H2" s="2" t="s">
        <v>991</v>
      </c>
      <c r="I2" s="2" t="s">
        <v>991</v>
      </c>
      <c r="J2" s="2" t="s">
        <v>991</v>
      </c>
      <c r="K2" s="2" t="s">
        <v>991</v>
      </c>
      <c r="L2" s="2" t="s">
        <v>991</v>
      </c>
      <c r="M2" s="2" t="s">
        <v>991</v>
      </c>
      <c r="N2" s="2" t="s">
        <v>991</v>
      </c>
      <c r="O2" s="2" t="s">
        <v>991</v>
      </c>
      <c r="P2" s="2" t="s">
        <v>991</v>
      </c>
      <c r="Q2" s="2" t="s">
        <v>991</v>
      </c>
      <c r="R2" s="2" t="s">
        <v>991</v>
      </c>
      <c r="S2" s="2" t="s">
        <v>991</v>
      </c>
      <c r="T2" s="2" t="s">
        <v>991</v>
      </c>
      <c r="U2" s="2" t="s">
        <v>991</v>
      </c>
      <c r="V2" s="2" t="s">
        <v>991</v>
      </c>
      <c r="W2" s="2" t="s">
        <v>991</v>
      </c>
      <c r="X2" s="2" t="s">
        <v>991</v>
      </c>
      <c r="Y2" s="2" t="s">
        <v>991</v>
      </c>
      <c r="Z2" s="2" t="s">
        <v>991</v>
      </c>
      <c r="AA2" s="2" t="s">
        <v>991</v>
      </c>
      <c r="AB2" s="2" t="s">
        <v>991</v>
      </c>
      <c r="AC2" s="2" t="s">
        <v>991</v>
      </c>
      <c r="AD2" s="2" t="s">
        <v>991</v>
      </c>
      <c r="AE2" s="2" t="s">
        <v>991</v>
      </c>
      <c r="AF2" s="2" t="s">
        <v>991</v>
      </c>
      <c r="AG2" s="2" t="s">
        <v>991</v>
      </c>
      <c r="AH2" s="2" t="s">
        <v>991</v>
      </c>
      <c r="AI2" s="2" t="s">
        <v>991</v>
      </c>
      <c r="AJ2" s="2" t="s">
        <v>991</v>
      </c>
      <c r="AK2" s="2" t="s">
        <v>991</v>
      </c>
      <c r="AL2" s="2" t="s">
        <v>991</v>
      </c>
      <c r="AM2" s="2" t="s">
        <v>991</v>
      </c>
      <c r="AN2" s="2" t="s">
        <v>991</v>
      </c>
      <c r="AO2" s="2" t="s">
        <v>991</v>
      </c>
      <c r="AP2" s="2" t="s">
        <v>991</v>
      </c>
      <c r="AQ2" s="2" t="s">
        <v>991</v>
      </c>
      <c r="AR2" s="2" t="s">
        <v>991</v>
      </c>
      <c r="AS2" s="2" t="s">
        <v>991</v>
      </c>
      <c r="AT2" s="2" t="s">
        <v>991</v>
      </c>
      <c r="AU2" s="2" t="s">
        <v>991</v>
      </c>
      <c r="AV2" s="2" t="s">
        <v>991</v>
      </c>
      <c r="AW2" s="2" t="s">
        <v>991</v>
      </c>
      <c r="AX2" s="2" t="s">
        <v>991</v>
      </c>
      <c r="AY2" s="2" t="s">
        <v>991</v>
      </c>
      <c r="AZ2" s="2" t="s">
        <v>991</v>
      </c>
      <c r="BA2" s="2" t="s">
        <v>991</v>
      </c>
      <c r="BB2" s="2" t="s">
        <v>991</v>
      </c>
      <c r="BC2" s="2" t="s">
        <v>991</v>
      </c>
      <c r="BD2" s="2" t="s">
        <v>991</v>
      </c>
      <c r="BE2" s="2" t="s">
        <v>991</v>
      </c>
      <c r="BF2" s="2" t="s">
        <v>991</v>
      </c>
      <c r="BG2" s="2" t="s">
        <v>991</v>
      </c>
      <c r="BH2" s="2" t="s">
        <v>991</v>
      </c>
      <c r="BI2" s="2" t="s">
        <v>991</v>
      </c>
      <c r="BJ2" s="2" t="s">
        <v>991</v>
      </c>
      <c r="BK2" s="2" t="s">
        <v>991</v>
      </c>
      <c r="BL2" s="2" t="s">
        <v>991</v>
      </c>
      <c r="BM2" s="2" t="s">
        <v>991</v>
      </c>
      <c r="BN2" s="2" t="s">
        <v>991</v>
      </c>
      <c r="BO2" s="2" t="s">
        <v>992</v>
      </c>
      <c r="BP2" s="2" t="s">
        <v>992</v>
      </c>
      <c r="BQ2" s="2" t="s">
        <v>992</v>
      </c>
      <c r="BR2" s="2" t="s">
        <v>992</v>
      </c>
      <c r="BS2" s="2" t="s">
        <v>992</v>
      </c>
      <c r="BT2" s="2" t="s">
        <v>992</v>
      </c>
      <c r="BU2" s="2" t="s">
        <v>992</v>
      </c>
      <c r="BV2" s="2" t="s">
        <v>992</v>
      </c>
      <c r="BW2" s="2" t="s">
        <v>992</v>
      </c>
      <c r="BX2" s="2" t="s">
        <v>992</v>
      </c>
      <c r="BY2" s="2" t="s">
        <v>992</v>
      </c>
      <c r="BZ2" s="2" t="s">
        <v>992</v>
      </c>
      <c r="CA2" s="2" t="s">
        <v>992</v>
      </c>
      <c r="CB2" s="2" t="s">
        <v>992</v>
      </c>
      <c r="CC2" s="2" t="s">
        <v>992</v>
      </c>
      <c r="CD2" s="2" t="s">
        <v>992</v>
      </c>
      <c r="CE2" s="2" t="s">
        <v>992</v>
      </c>
      <c r="CF2" s="2" t="s">
        <v>992</v>
      </c>
      <c r="CG2" s="2" t="s">
        <v>992</v>
      </c>
      <c r="CH2" s="2" t="s">
        <v>992</v>
      </c>
      <c r="CI2" s="2" t="s">
        <v>992</v>
      </c>
      <c r="CJ2" s="2" t="s">
        <v>992</v>
      </c>
      <c r="CK2" s="2" t="s">
        <v>992</v>
      </c>
      <c r="CL2" s="2" t="s">
        <v>992</v>
      </c>
      <c r="CM2" s="2" t="s">
        <v>992</v>
      </c>
      <c r="CN2" s="2" t="s">
        <v>992</v>
      </c>
      <c r="CO2" s="2" t="s">
        <v>992</v>
      </c>
      <c r="CP2" s="2" t="s">
        <v>992</v>
      </c>
      <c r="CQ2" s="2" t="s">
        <v>992</v>
      </c>
      <c r="CR2" s="2" t="s">
        <v>992</v>
      </c>
      <c r="CS2" s="2" t="s">
        <v>992</v>
      </c>
      <c r="CT2" s="2" t="s">
        <v>992</v>
      </c>
      <c r="CU2" s="2" t="s">
        <v>992</v>
      </c>
      <c r="CV2" s="2" t="s">
        <v>992</v>
      </c>
      <c r="CW2" s="2" t="s">
        <v>992</v>
      </c>
      <c r="CX2" s="2" t="s">
        <v>992</v>
      </c>
      <c r="CY2" s="2" t="s">
        <v>992</v>
      </c>
      <c r="CZ2" s="2" t="s">
        <v>992</v>
      </c>
      <c r="DA2" s="2" t="s">
        <v>992</v>
      </c>
      <c r="DB2" s="2" t="s">
        <v>992</v>
      </c>
      <c r="DC2" s="2" t="s">
        <v>992</v>
      </c>
      <c r="DD2" s="2" t="s">
        <v>992</v>
      </c>
      <c r="DE2" s="2" t="s">
        <v>992</v>
      </c>
      <c r="DF2" s="2" t="s">
        <v>992</v>
      </c>
      <c r="DG2" s="2" t="s">
        <v>992</v>
      </c>
      <c r="DH2" s="2" t="s">
        <v>992</v>
      </c>
      <c r="DI2" s="2" t="s">
        <v>992</v>
      </c>
      <c r="DJ2" s="2" t="s">
        <v>992</v>
      </c>
      <c r="DK2" s="2" t="s">
        <v>992</v>
      </c>
      <c r="DL2" s="2" t="s">
        <v>992</v>
      </c>
      <c r="DM2" s="2" t="s">
        <v>992</v>
      </c>
      <c r="DN2" s="2" t="s">
        <v>992</v>
      </c>
      <c r="DO2" s="2" t="s">
        <v>992</v>
      </c>
      <c r="DP2" s="2" t="s">
        <v>992</v>
      </c>
      <c r="DQ2" s="2" t="s">
        <v>992</v>
      </c>
      <c r="DR2" s="2" t="s">
        <v>992</v>
      </c>
      <c r="DS2" s="2" t="s">
        <v>992</v>
      </c>
      <c r="DT2" s="2" t="s">
        <v>992</v>
      </c>
      <c r="DU2" s="2" t="s">
        <v>992</v>
      </c>
      <c r="DV2" s="2" t="s">
        <v>992</v>
      </c>
      <c r="DW2" s="2" t="s">
        <v>993</v>
      </c>
      <c r="DX2" s="2" t="s">
        <v>993</v>
      </c>
      <c r="DY2" s="2" t="s">
        <v>993</v>
      </c>
      <c r="DZ2" s="2" t="s">
        <v>993</v>
      </c>
      <c r="EA2" s="2" t="s">
        <v>993</v>
      </c>
      <c r="EB2" s="2" t="s">
        <v>993</v>
      </c>
      <c r="EC2" s="2" t="s">
        <v>993</v>
      </c>
      <c r="ED2" s="2" t="s">
        <v>993</v>
      </c>
      <c r="EE2" s="2" t="s">
        <v>993</v>
      </c>
      <c r="EF2" s="2" t="s">
        <v>993</v>
      </c>
      <c r="EG2" s="2" t="s">
        <v>993</v>
      </c>
      <c r="EH2" s="2" t="s">
        <v>993</v>
      </c>
      <c r="EI2" s="2" t="s">
        <v>993</v>
      </c>
      <c r="EJ2" s="2" t="s">
        <v>993</v>
      </c>
      <c r="EK2" s="2" t="s">
        <v>993</v>
      </c>
      <c r="EL2" s="2" t="s">
        <v>993</v>
      </c>
      <c r="EM2" s="2" t="s">
        <v>993</v>
      </c>
      <c r="EN2" s="2" t="s">
        <v>993</v>
      </c>
      <c r="EO2" s="2" t="s">
        <v>993</v>
      </c>
      <c r="EP2" s="2" t="s">
        <v>993</v>
      </c>
      <c r="EQ2" s="2" t="s">
        <v>993</v>
      </c>
      <c r="ER2" s="2" t="s">
        <v>993</v>
      </c>
      <c r="ES2" s="2" t="s">
        <v>993</v>
      </c>
      <c r="ET2" s="2" t="s">
        <v>993</v>
      </c>
      <c r="EU2" s="2" t="s">
        <v>993</v>
      </c>
      <c r="EV2" s="2" t="s">
        <v>993</v>
      </c>
      <c r="EW2" s="2" t="s">
        <v>993</v>
      </c>
      <c r="EX2" s="2" t="s">
        <v>993</v>
      </c>
      <c r="EY2" s="2" t="s">
        <v>993</v>
      </c>
      <c r="EZ2" s="2" t="s">
        <v>993</v>
      </c>
      <c r="FA2" s="2" t="s">
        <v>993</v>
      </c>
      <c r="FB2" s="2" t="s">
        <v>993</v>
      </c>
      <c r="FC2" s="2" t="s">
        <v>993</v>
      </c>
      <c r="FD2" s="2" t="s">
        <v>993</v>
      </c>
      <c r="FE2" s="2" t="s">
        <v>993</v>
      </c>
      <c r="FF2" s="2" t="s">
        <v>993</v>
      </c>
      <c r="FG2" s="2" t="s">
        <v>993</v>
      </c>
      <c r="FH2" s="2" t="s">
        <v>993</v>
      </c>
      <c r="FI2" s="2" t="s">
        <v>993</v>
      </c>
      <c r="FJ2" s="2" t="s">
        <v>993</v>
      </c>
      <c r="FK2" s="2" t="s">
        <v>993</v>
      </c>
      <c r="FL2" s="2" t="s">
        <v>993</v>
      </c>
      <c r="FM2" s="2" t="s">
        <v>993</v>
      </c>
      <c r="FN2" s="2" t="s">
        <v>993</v>
      </c>
      <c r="FO2" s="2" t="s">
        <v>993</v>
      </c>
      <c r="FP2" s="2" t="s">
        <v>993</v>
      </c>
      <c r="FQ2" s="2" t="s">
        <v>993</v>
      </c>
      <c r="FR2" s="2" t="s">
        <v>993</v>
      </c>
      <c r="FS2" s="2" t="s">
        <v>993</v>
      </c>
      <c r="FT2" s="2" t="s">
        <v>993</v>
      </c>
      <c r="FU2" s="2" t="s">
        <v>993</v>
      </c>
      <c r="FV2" s="2" t="s">
        <v>993</v>
      </c>
      <c r="FW2" s="2" t="s">
        <v>993</v>
      </c>
      <c r="FX2" s="2" t="s">
        <v>993</v>
      </c>
      <c r="FY2" s="2" t="s">
        <v>993</v>
      </c>
      <c r="FZ2" s="2" t="s">
        <v>993</v>
      </c>
      <c r="GA2" s="2" t="s">
        <v>993</v>
      </c>
      <c r="GB2" s="39" t="s">
        <v>994</v>
      </c>
      <c r="GC2" s="2" t="s">
        <v>994</v>
      </c>
      <c r="GD2" s="2" t="s">
        <v>994</v>
      </c>
      <c r="GE2" s="2" t="s">
        <v>994</v>
      </c>
      <c r="GF2" s="2" t="s">
        <v>994</v>
      </c>
      <c r="GG2" s="2" t="s">
        <v>994</v>
      </c>
      <c r="GH2" s="2" t="s">
        <v>994</v>
      </c>
      <c r="GI2" s="2" t="s">
        <v>994</v>
      </c>
      <c r="GJ2" s="2" t="s">
        <v>994</v>
      </c>
      <c r="GK2" s="2" t="s">
        <v>994</v>
      </c>
      <c r="GL2" s="2" t="s">
        <v>994</v>
      </c>
      <c r="GM2" s="2" t="s">
        <v>994</v>
      </c>
      <c r="GN2" s="2" t="s">
        <v>994</v>
      </c>
      <c r="GO2" s="2" t="s">
        <v>994</v>
      </c>
      <c r="GP2" s="2" t="s">
        <v>994</v>
      </c>
      <c r="GQ2" s="2" t="s">
        <v>994</v>
      </c>
      <c r="GR2" s="2" t="s">
        <v>994</v>
      </c>
      <c r="GS2" s="2" t="s">
        <v>994</v>
      </c>
      <c r="GT2" s="2" t="s">
        <v>994</v>
      </c>
      <c r="GU2" s="2" t="s">
        <v>994</v>
      </c>
      <c r="GV2" s="2" t="s">
        <v>994</v>
      </c>
      <c r="GW2" s="2" t="s">
        <v>994</v>
      </c>
      <c r="GX2" s="2" t="s">
        <v>994</v>
      </c>
      <c r="GY2" s="42" t="s">
        <v>994</v>
      </c>
      <c r="GZ2" s="73" t="s">
        <v>994</v>
      </c>
      <c r="HA2" s="73" t="s">
        <v>994</v>
      </c>
      <c r="HB2" s="73" t="s">
        <v>994</v>
      </c>
      <c r="HC2" s="73" t="s">
        <v>994</v>
      </c>
      <c r="HD2" s="73" t="s">
        <v>994</v>
      </c>
      <c r="HE2" s="56" t="s">
        <v>994</v>
      </c>
      <c r="HF2" s="2" t="s">
        <v>994</v>
      </c>
      <c r="HG2" s="2" t="s">
        <v>994</v>
      </c>
      <c r="HH2" s="2" t="s">
        <v>994</v>
      </c>
      <c r="HI2" s="2" t="s">
        <v>994</v>
      </c>
      <c r="HJ2" s="2" t="s">
        <v>994</v>
      </c>
      <c r="HK2" s="2" t="s">
        <v>994</v>
      </c>
      <c r="HL2" s="2" t="s">
        <v>994</v>
      </c>
      <c r="HM2" s="2" t="s">
        <v>994</v>
      </c>
      <c r="HN2" s="2" t="s">
        <v>994</v>
      </c>
      <c r="HO2" s="2" t="s">
        <v>994</v>
      </c>
      <c r="HP2" s="2" t="s">
        <v>994</v>
      </c>
      <c r="HQ2" s="2" t="s">
        <v>994</v>
      </c>
      <c r="HR2" s="2" t="s">
        <v>994</v>
      </c>
      <c r="HS2" s="2" t="s">
        <v>994</v>
      </c>
      <c r="HT2" s="2" t="s">
        <v>994</v>
      </c>
      <c r="HU2" s="2" t="s">
        <v>994</v>
      </c>
      <c r="HV2" s="2" t="s">
        <v>994</v>
      </c>
      <c r="HW2" s="2" t="s">
        <v>994</v>
      </c>
      <c r="HX2" s="2" t="s">
        <v>994</v>
      </c>
      <c r="HY2" s="2" t="s">
        <v>994</v>
      </c>
      <c r="HZ2" s="2" t="s">
        <v>994</v>
      </c>
      <c r="IA2" s="42" t="s">
        <v>994</v>
      </c>
      <c r="IB2" s="2" t="s">
        <v>994</v>
      </c>
      <c r="IC2" s="2" t="s">
        <v>994</v>
      </c>
      <c r="ID2" s="2" t="s">
        <v>994</v>
      </c>
      <c r="IE2" s="2" t="s">
        <v>994</v>
      </c>
      <c r="IF2" s="2" t="s">
        <v>994</v>
      </c>
      <c r="IG2" s="2" t="s">
        <v>994</v>
      </c>
      <c r="IH2" s="2" t="s">
        <v>994</v>
      </c>
      <c r="II2" s="2" t="s">
        <v>994</v>
      </c>
      <c r="IJ2" s="2" t="s">
        <v>994</v>
      </c>
      <c r="IK2" s="2" t="s">
        <v>994</v>
      </c>
      <c r="IL2" s="39" t="s">
        <v>995</v>
      </c>
      <c r="IM2" s="2" t="s">
        <v>995</v>
      </c>
      <c r="IN2" s="2" t="s">
        <v>995</v>
      </c>
      <c r="IO2" s="2" t="s">
        <v>995</v>
      </c>
      <c r="IP2" s="2" t="s">
        <v>995</v>
      </c>
      <c r="IQ2" s="2" t="s">
        <v>995</v>
      </c>
      <c r="IR2" s="2" t="s">
        <v>995</v>
      </c>
      <c r="IS2" s="2" t="s">
        <v>995</v>
      </c>
      <c r="IT2" s="2" t="s">
        <v>995</v>
      </c>
      <c r="IU2" s="2" t="s">
        <v>995</v>
      </c>
      <c r="IV2" s="2" t="s">
        <v>995</v>
      </c>
      <c r="IW2" s="2" t="s">
        <v>995</v>
      </c>
      <c r="IX2" s="2" t="s">
        <v>995</v>
      </c>
      <c r="IY2" s="2" t="s">
        <v>995</v>
      </c>
      <c r="IZ2" s="2" t="s">
        <v>995</v>
      </c>
      <c r="JA2" s="42" t="s">
        <v>995</v>
      </c>
      <c r="JB2" s="73" t="s">
        <v>995</v>
      </c>
      <c r="JC2" s="73" t="s">
        <v>995</v>
      </c>
      <c r="JD2" s="56" t="s">
        <v>995</v>
      </c>
      <c r="JE2" s="73" t="s">
        <v>995</v>
      </c>
      <c r="JF2" s="73" t="s">
        <v>995</v>
      </c>
      <c r="JG2" s="73" t="s">
        <v>995</v>
      </c>
      <c r="JH2" s="73" t="s">
        <v>995</v>
      </c>
      <c r="JI2" s="73" t="s">
        <v>995</v>
      </c>
      <c r="JJ2" s="73" t="s">
        <v>995</v>
      </c>
      <c r="JK2" s="42" t="s">
        <v>995</v>
      </c>
      <c r="JL2" s="56" t="s">
        <v>995</v>
      </c>
      <c r="JM2" s="73" t="s">
        <v>995</v>
      </c>
      <c r="JN2" s="2" t="s">
        <v>995</v>
      </c>
      <c r="JO2" s="2" t="s">
        <v>995</v>
      </c>
      <c r="JP2" s="2" t="s">
        <v>995</v>
      </c>
      <c r="JQ2" s="2" t="s">
        <v>995</v>
      </c>
      <c r="JR2" s="2" t="s">
        <v>995</v>
      </c>
      <c r="JS2" s="73" t="s">
        <v>995</v>
      </c>
      <c r="JT2" s="42" t="s">
        <v>995</v>
      </c>
      <c r="JU2" s="2" t="s">
        <v>995</v>
      </c>
      <c r="JV2" s="2" t="s">
        <v>995</v>
      </c>
      <c r="JW2" s="2" t="s">
        <v>995</v>
      </c>
      <c r="JX2" s="2" t="s">
        <v>995</v>
      </c>
      <c r="JY2" s="2" t="s">
        <v>995</v>
      </c>
      <c r="JZ2" s="2" t="s">
        <v>995</v>
      </c>
      <c r="KA2" s="2" t="s">
        <v>995</v>
      </c>
      <c r="KB2" s="2" t="s">
        <v>995</v>
      </c>
      <c r="KC2" s="2" t="s">
        <v>995</v>
      </c>
      <c r="KD2" s="2" t="s">
        <v>995</v>
      </c>
      <c r="KE2" s="2" t="s">
        <v>995</v>
      </c>
      <c r="KF2" s="2" t="s">
        <v>995</v>
      </c>
      <c r="KG2" s="2" t="s">
        <v>995</v>
      </c>
      <c r="KH2" s="2" t="s">
        <v>995</v>
      </c>
      <c r="KI2" s="2" t="s">
        <v>995</v>
      </c>
      <c r="KJ2" s="2" t="s">
        <v>995</v>
      </c>
      <c r="KK2" s="2" t="s">
        <v>995</v>
      </c>
      <c r="KL2" s="2" t="s">
        <v>995</v>
      </c>
      <c r="KM2" s="2" t="s">
        <v>995</v>
      </c>
      <c r="KN2" s="2" t="s">
        <v>995</v>
      </c>
      <c r="KO2" s="2" t="s">
        <v>995</v>
      </c>
      <c r="KP2" s="2" t="s">
        <v>995</v>
      </c>
      <c r="KQ2" s="2" t="s">
        <v>995</v>
      </c>
      <c r="KR2" s="2" t="s">
        <v>995</v>
      </c>
      <c r="KS2" s="2" t="s">
        <v>995</v>
      </c>
      <c r="KT2" s="2" t="s">
        <v>995</v>
      </c>
      <c r="KU2" s="2" t="s">
        <v>995</v>
      </c>
      <c r="KV2" s="2" t="s">
        <v>995</v>
      </c>
      <c r="KW2" s="2" t="s">
        <v>995</v>
      </c>
      <c r="KX2" s="2" t="s">
        <v>995</v>
      </c>
      <c r="KY2" s="2" t="s">
        <v>995</v>
      </c>
      <c r="KZ2" s="2" t="s">
        <v>995</v>
      </c>
      <c r="LA2" s="39" t="s">
        <v>996</v>
      </c>
      <c r="LB2" s="2" t="s">
        <v>996</v>
      </c>
      <c r="LC2" s="2" t="s">
        <v>996</v>
      </c>
      <c r="LD2" s="2" t="s">
        <v>996</v>
      </c>
      <c r="LE2" s="2" t="s">
        <v>996</v>
      </c>
      <c r="LF2" s="2" t="s">
        <v>996</v>
      </c>
      <c r="LG2" s="2" t="s">
        <v>996</v>
      </c>
      <c r="LH2" s="2" t="s">
        <v>996</v>
      </c>
      <c r="LI2" s="2" t="s">
        <v>996</v>
      </c>
      <c r="LJ2" s="2" t="s">
        <v>996</v>
      </c>
      <c r="LK2" s="2" t="s">
        <v>996</v>
      </c>
      <c r="LL2" s="2" t="s">
        <v>996</v>
      </c>
      <c r="LM2" s="2" t="s">
        <v>996</v>
      </c>
      <c r="LN2" s="2" t="s">
        <v>996</v>
      </c>
      <c r="LO2" s="2" t="s">
        <v>996</v>
      </c>
      <c r="LP2" s="2" t="s">
        <v>996</v>
      </c>
      <c r="LQ2" s="2" t="s">
        <v>996</v>
      </c>
      <c r="LR2" s="2" t="s">
        <v>996</v>
      </c>
      <c r="LS2" s="2" t="s">
        <v>996</v>
      </c>
      <c r="LT2" s="2" t="s">
        <v>996</v>
      </c>
      <c r="LU2" s="2" t="s">
        <v>996</v>
      </c>
      <c r="LV2" s="2" t="s">
        <v>996</v>
      </c>
      <c r="LW2" s="2" t="s">
        <v>996</v>
      </c>
      <c r="LX2" s="2" t="s">
        <v>996</v>
      </c>
      <c r="LY2" s="2" t="s">
        <v>996</v>
      </c>
      <c r="LZ2" s="2" t="s">
        <v>996</v>
      </c>
      <c r="MA2" s="2" t="s">
        <v>996</v>
      </c>
      <c r="MB2" s="2" t="s">
        <v>996</v>
      </c>
      <c r="MC2" s="2" t="s">
        <v>996</v>
      </c>
      <c r="MD2" s="2" t="s">
        <v>996</v>
      </c>
      <c r="ME2" s="2" t="s">
        <v>996</v>
      </c>
      <c r="MF2" s="2" t="s">
        <v>996</v>
      </c>
      <c r="MG2" s="2" t="s">
        <v>996</v>
      </c>
      <c r="MH2" s="2" t="s">
        <v>996</v>
      </c>
      <c r="MI2" s="2" t="s">
        <v>996</v>
      </c>
      <c r="MJ2" s="2" t="s">
        <v>996</v>
      </c>
      <c r="MK2" s="2" t="s">
        <v>996</v>
      </c>
      <c r="ML2" s="2" t="s">
        <v>996</v>
      </c>
      <c r="MM2" s="2" t="s">
        <v>996</v>
      </c>
      <c r="MN2" s="2" t="s">
        <v>996</v>
      </c>
      <c r="MO2" s="2" t="s">
        <v>996</v>
      </c>
      <c r="MP2" s="2" t="s">
        <v>996</v>
      </c>
      <c r="MQ2" s="2" t="s">
        <v>996</v>
      </c>
      <c r="MR2" s="2" t="s">
        <v>996</v>
      </c>
      <c r="MS2" s="2" t="s">
        <v>996</v>
      </c>
      <c r="MT2" s="2" t="s">
        <v>996</v>
      </c>
      <c r="MU2" s="2" t="s">
        <v>996</v>
      </c>
      <c r="MV2" s="2" t="s">
        <v>996</v>
      </c>
      <c r="MW2" s="2" t="s">
        <v>996</v>
      </c>
      <c r="MX2" s="2" t="s">
        <v>996</v>
      </c>
      <c r="MY2" s="2" t="s">
        <v>996</v>
      </c>
      <c r="MZ2" s="2" t="s">
        <v>996</v>
      </c>
      <c r="NA2" s="2" t="s">
        <v>996</v>
      </c>
      <c r="NB2" s="2" t="s">
        <v>996</v>
      </c>
      <c r="NC2" s="2" t="s">
        <v>996</v>
      </c>
      <c r="ND2" s="2" t="s">
        <v>996</v>
      </c>
      <c r="NE2" s="2" t="s">
        <v>996</v>
      </c>
      <c r="NF2" s="2" t="s">
        <v>996</v>
      </c>
      <c r="NG2" s="2" t="s">
        <v>996</v>
      </c>
      <c r="NH2" s="2" t="s">
        <v>996</v>
      </c>
      <c r="NI2" s="2" t="s">
        <v>996</v>
      </c>
      <c r="NJ2" s="2" t="s">
        <v>996</v>
      </c>
      <c r="NK2" s="2" t="s">
        <v>996</v>
      </c>
      <c r="NL2" s="2" t="s">
        <v>996</v>
      </c>
      <c r="NM2" s="39" t="s">
        <v>997</v>
      </c>
      <c r="NN2" s="2" t="s">
        <v>997</v>
      </c>
      <c r="NO2" s="2" t="s">
        <v>997</v>
      </c>
      <c r="NP2" s="2" t="s">
        <v>997</v>
      </c>
      <c r="NQ2" s="2" t="s">
        <v>997</v>
      </c>
      <c r="NR2" s="2" t="s">
        <v>997</v>
      </c>
      <c r="NS2" s="2" t="s">
        <v>997</v>
      </c>
      <c r="NT2" s="2" t="s">
        <v>997</v>
      </c>
      <c r="NU2" s="2" t="s">
        <v>997</v>
      </c>
      <c r="NV2" s="2" t="s">
        <v>997</v>
      </c>
      <c r="NW2" s="2" t="s">
        <v>997</v>
      </c>
      <c r="NX2" s="2" t="s">
        <v>997</v>
      </c>
      <c r="NY2" s="2" t="s">
        <v>997</v>
      </c>
      <c r="NZ2" s="2" t="s">
        <v>997</v>
      </c>
      <c r="OA2" s="2" t="s">
        <v>997</v>
      </c>
      <c r="OB2" s="2" t="s">
        <v>997</v>
      </c>
      <c r="OC2" s="2" t="s">
        <v>997</v>
      </c>
      <c r="OD2" s="2" t="s">
        <v>997</v>
      </c>
      <c r="OE2" s="2" t="s">
        <v>997</v>
      </c>
      <c r="OF2" s="2" t="s">
        <v>997</v>
      </c>
      <c r="OG2" s="2" t="s">
        <v>997</v>
      </c>
      <c r="OH2" s="2" t="s">
        <v>997</v>
      </c>
      <c r="OI2" s="2" t="s">
        <v>997</v>
      </c>
      <c r="OJ2" s="2" t="s">
        <v>997</v>
      </c>
      <c r="OK2" s="2" t="s">
        <v>997</v>
      </c>
      <c r="OL2" s="2" t="s">
        <v>997</v>
      </c>
      <c r="OM2" s="2" t="s">
        <v>997</v>
      </c>
      <c r="ON2" s="2" t="s">
        <v>997</v>
      </c>
      <c r="OO2" s="2" t="s">
        <v>997</v>
      </c>
      <c r="OP2" s="2" t="s">
        <v>997</v>
      </c>
      <c r="OQ2" s="2" t="s">
        <v>997</v>
      </c>
      <c r="OR2" s="2" t="s">
        <v>997</v>
      </c>
      <c r="OS2" s="2" t="s">
        <v>997</v>
      </c>
      <c r="OT2" s="2" t="s">
        <v>997</v>
      </c>
      <c r="OU2" s="2" t="s">
        <v>997</v>
      </c>
      <c r="OV2" s="2" t="s">
        <v>997</v>
      </c>
      <c r="OW2" s="2" t="s">
        <v>997</v>
      </c>
      <c r="OX2" s="2" t="s">
        <v>997</v>
      </c>
      <c r="OY2" s="2" t="s">
        <v>997</v>
      </c>
      <c r="OZ2" s="2" t="s">
        <v>997</v>
      </c>
      <c r="PA2" s="2" t="s">
        <v>997</v>
      </c>
      <c r="PB2" s="2" t="s">
        <v>997</v>
      </c>
      <c r="PC2" s="2" t="s">
        <v>997</v>
      </c>
      <c r="PD2" s="2" t="s">
        <v>997</v>
      </c>
      <c r="PE2" s="2" t="s">
        <v>997</v>
      </c>
      <c r="PF2" s="2" t="s">
        <v>997</v>
      </c>
      <c r="PG2" s="2" t="s">
        <v>997</v>
      </c>
      <c r="PH2" s="2" t="s">
        <v>997</v>
      </c>
      <c r="PI2" s="2" t="s">
        <v>997</v>
      </c>
      <c r="PJ2" s="2" t="s">
        <v>997</v>
      </c>
      <c r="PK2" s="2" t="s">
        <v>997</v>
      </c>
      <c r="PL2" s="2" t="s">
        <v>997</v>
      </c>
      <c r="PM2" s="2" t="s">
        <v>997</v>
      </c>
      <c r="PN2" s="2" t="s">
        <v>997</v>
      </c>
      <c r="PO2" s="2" t="s">
        <v>997</v>
      </c>
      <c r="PP2" s="2" t="s">
        <v>997</v>
      </c>
      <c r="PQ2" s="2" t="s">
        <v>997</v>
      </c>
      <c r="PR2" s="2" t="s">
        <v>997</v>
      </c>
      <c r="PS2" s="2" t="s">
        <v>997</v>
      </c>
      <c r="PT2" s="2" t="s">
        <v>997</v>
      </c>
      <c r="PU2" s="2" t="s">
        <v>997</v>
      </c>
      <c r="PV2" s="39" t="s">
        <v>998</v>
      </c>
      <c r="PW2" s="2" t="s">
        <v>998</v>
      </c>
      <c r="PX2" s="2" t="s">
        <v>998</v>
      </c>
      <c r="PY2" s="2" t="s">
        <v>998</v>
      </c>
      <c r="PZ2" s="2" t="s">
        <v>998</v>
      </c>
      <c r="QA2" s="2" t="s">
        <v>998</v>
      </c>
      <c r="QB2" s="2" t="s">
        <v>998</v>
      </c>
      <c r="QC2" s="2" t="s">
        <v>998</v>
      </c>
      <c r="QD2" s="2" t="s">
        <v>998</v>
      </c>
      <c r="QE2" s="2" t="s">
        <v>998</v>
      </c>
      <c r="QF2" s="2" t="s">
        <v>998</v>
      </c>
      <c r="QG2" s="2" t="s">
        <v>998</v>
      </c>
      <c r="QH2" s="2" t="s">
        <v>998</v>
      </c>
      <c r="QI2" s="2" t="s">
        <v>998</v>
      </c>
      <c r="QJ2" s="2" t="s">
        <v>998</v>
      </c>
      <c r="QK2" s="2" t="s">
        <v>998</v>
      </c>
      <c r="QL2" s="2" t="s">
        <v>998</v>
      </c>
      <c r="QM2" s="2" t="s">
        <v>998</v>
      </c>
      <c r="QN2" s="2" t="s">
        <v>998</v>
      </c>
      <c r="QO2" s="2" t="s">
        <v>998</v>
      </c>
      <c r="QP2" s="2" t="s">
        <v>998</v>
      </c>
      <c r="QQ2" s="2" t="s">
        <v>998</v>
      </c>
      <c r="QR2" s="2" t="s">
        <v>998</v>
      </c>
      <c r="QS2" s="42" t="s">
        <v>998</v>
      </c>
      <c r="QT2" s="56" t="s">
        <v>998</v>
      </c>
      <c r="QU2" s="2" t="s">
        <v>998</v>
      </c>
      <c r="QV2" s="2" t="s">
        <v>998</v>
      </c>
      <c r="QW2" s="2" t="s">
        <v>998</v>
      </c>
      <c r="QX2" s="2" t="s">
        <v>998</v>
      </c>
      <c r="QY2" s="2" t="s">
        <v>998</v>
      </c>
      <c r="QZ2" s="2" t="s">
        <v>998</v>
      </c>
      <c r="RA2" s="2" t="s">
        <v>998</v>
      </c>
      <c r="RB2" s="2" t="s">
        <v>998</v>
      </c>
      <c r="RC2" s="2" t="s">
        <v>998</v>
      </c>
      <c r="RD2" s="2" t="s">
        <v>998</v>
      </c>
      <c r="RE2" s="2" t="s">
        <v>998</v>
      </c>
      <c r="RF2" s="2" t="s">
        <v>998</v>
      </c>
      <c r="RG2" s="2" t="s">
        <v>998</v>
      </c>
      <c r="RH2" s="2" t="s">
        <v>998</v>
      </c>
      <c r="RI2" s="2" t="s">
        <v>998</v>
      </c>
      <c r="RJ2" s="2" t="s">
        <v>998</v>
      </c>
      <c r="RK2" s="2" t="s">
        <v>998</v>
      </c>
      <c r="RL2" s="2" t="s">
        <v>998</v>
      </c>
      <c r="RM2" s="2" t="s">
        <v>998</v>
      </c>
      <c r="RN2" s="2" t="s">
        <v>998</v>
      </c>
      <c r="RO2" s="2" t="s">
        <v>998</v>
      </c>
      <c r="RP2" s="2" t="s">
        <v>998</v>
      </c>
      <c r="RQ2" s="2" t="s">
        <v>998</v>
      </c>
      <c r="RR2" s="2" t="s">
        <v>998</v>
      </c>
      <c r="RS2" s="2" t="s">
        <v>998</v>
      </c>
      <c r="RT2" s="2" t="s">
        <v>998</v>
      </c>
      <c r="RU2" s="2" t="s">
        <v>998</v>
      </c>
      <c r="RV2" s="2" t="s">
        <v>998</v>
      </c>
      <c r="RW2" s="2" t="s">
        <v>998</v>
      </c>
      <c r="RX2" s="2" t="s">
        <v>998</v>
      </c>
      <c r="RY2" s="2" t="s">
        <v>998</v>
      </c>
      <c r="RZ2" s="2" t="s">
        <v>998</v>
      </c>
      <c r="SA2" s="2" t="s">
        <v>998</v>
      </c>
      <c r="SB2" s="2" t="s">
        <v>998</v>
      </c>
      <c r="SC2" s="2" t="s">
        <v>998</v>
      </c>
      <c r="SD2" s="2" t="s">
        <v>998</v>
      </c>
      <c r="SE2" s="2" t="s">
        <v>998</v>
      </c>
      <c r="SF2" s="2" t="s">
        <v>998</v>
      </c>
      <c r="SG2" s="2" t="s">
        <v>998</v>
      </c>
      <c r="SH2" s="39" t="s">
        <v>999</v>
      </c>
      <c r="SI2" s="2" t="s">
        <v>999</v>
      </c>
      <c r="SJ2" s="2" t="s">
        <v>999</v>
      </c>
      <c r="SK2" s="2" t="s">
        <v>999</v>
      </c>
      <c r="SL2" s="42" t="s">
        <v>999</v>
      </c>
      <c r="SM2" s="56" t="s">
        <v>999</v>
      </c>
      <c r="SN2" s="2" t="s">
        <v>999</v>
      </c>
      <c r="SO2" s="2" t="s">
        <v>999</v>
      </c>
      <c r="SP2" s="2" t="s">
        <v>999</v>
      </c>
      <c r="SQ2" s="2" t="s">
        <v>999</v>
      </c>
      <c r="SR2" s="2" t="s">
        <v>999</v>
      </c>
      <c r="SS2" s="2" t="s">
        <v>999</v>
      </c>
      <c r="ST2" s="2" t="s">
        <v>999</v>
      </c>
      <c r="SU2" s="2" t="s">
        <v>999</v>
      </c>
      <c r="SV2" s="2" t="s">
        <v>999</v>
      </c>
      <c r="SW2" s="2" t="s">
        <v>999</v>
      </c>
      <c r="SX2" s="42" t="s">
        <v>999</v>
      </c>
      <c r="SY2" s="56" t="s">
        <v>999</v>
      </c>
      <c r="SZ2" s="73" t="s">
        <v>999</v>
      </c>
      <c r="TA2" s="35" t="s">
        <v>999</v>
      </c>
      <c r="TB2" s="2" t="s">
        <v>999</v>
      </c>
      <c r="TC2" s="2" t="s">
        <v>999</v>
      </c>
      <c r="TD2" s="2" t="s">
        <v>999</v>
      </c>
      <c r="TE2" s="2" t="s">
        <v>999</v>
      </c>
      <c r="TF2" s="2" t="s">
        <v>999</v>
      </c>
      <c r="TG2" s="2" t="s">
        <v>999</v>
      </c>
      <c r="TH2" s="2" t="s">
        <v>999</v>
      </c>
      <c r="TI2" s="35" t="s">
        <v>999</v>
      </c>
      <c r="TJ2" s="35" t="s">
        <v>999</v>
      </c>
      <c r="TK2" s="35" t="s">
        <v>999</v>
      </c>
      <c r="TL2" s="2" t="s">
        <v>999</v>
      </c>
      <c r="TM2" s="2" t="s">
        <v>999</v>
      </c>
      <c r="TN2" s="2" t="s">
        <v>999</v>
      </c>
      <c r="TO2" s="2" t="s">
        <v>999</v>
      </c>
      <c r="TP2" s="2" t="s">
        <v>999</v>
      </c>
      <c r="TQ2" s="35" t="s">
        <v>999</v>
      </c>
      <c r="TR2" s="35" t="s">
        <v>999</v>
      </c>
      <c r="TS2" s="42" t="s">
        <v>999</v>
      </c>
      <c r="TT2" s="56" t="s">
        <v>999</v>
      </c>
      <c r="TU2" s="73" t="s">
        <v>999</v>
      </c>
      <c r="TV2" s="2" t="s">
        <v>999</v>
      </c>
      <c r="TW2" s="2" t="s">
        <v>999</v>
      </c>
      <c r="TX2" s="2" t="s">
        <v>999</v>
      </c>
      <c r="TY2" s="2" t="s">
        <v>999</v>
      </c>
      <c r="TZ2" s="2" t="s">
        <v>999</v>
      </c>
      <c r="UA2" s="2" t="s">
        <v>999</v>
      </c>
      <c r="UB2" s="2" t="s">
        <v>999</v>
      </c>
      <c r="UC2" s="2" t="s">
        <v>999</v>
      </c>
      <c r="UD2" s="2" t="s">
        <v>999</v>
      </c>
      <c r="UE2" s="42" t="s">
        <v>999</v>
      </c>
      <c r="UF2" s="73" t="s">
        <v>999</v>
      </c>
      <c r="UG2" s="73" t="s">
        <v>999</v>
      </c>
      <c r="UH2" s="56" t="s">
        <v>999</v>
      </c>
      <c r="UI2" s="2" t="s">
        <v>999</v>
      </c>
      <c r="UJ2" s="2" t="s">
        <v>999</v>
      </c>
      <c r="UK2" s="2" t="s">
        <v>999</v>
      </c>
      <c r="UL2" s="2" t="s">
        <v>999</v>
      </c>
      <c r="UM2" s="2" t="s">
        <v>999</v>
      </c>
      <c r="UN2" s="2" t="s">
        <v>999</v>
      </c>
      <c r="UO2" s="2" t="s">
        <v>999</v>
      </c>
      <c r="UP2" s="2" t="s">
        <v>999</v>
      </c>
      <c r="UQ2" s="2" t="s">
        <v>999</v>
      </c>
      <c r="UR2" s="2" t="s">
        <v>999</v>
      </c>
      <c r="US2" s="2" t="s">
        <v>999</v>
      </c>
      <c r="UT2" s="2" t="s">
        <v>999</v>
      </c>
      <c r="UU2" s="2" t="s">
        <v>999</v>
      </c>
      <c r="UV2" s="2" t="s">
        <v>999</v>
      </c>
      <c r="UW2" s="2" t="s">
        <v>999</v>
      </c>
      <c r="UX2" s="2" t="s">
        <v>999</v>
      </c>
      <c r="UY2" s="2" t="s">
        <v>999</v>
      </c>
      <c r="UZ2" s="42" t="s">
        <v>999</v>
      </c>
      <c r="VA2" s="2" t="s">
        <v>999</v>
      </c>
      <c r="VB2" s="2" t="s">
        <v>999</v>
      </c>
      <c r="VC2" s="2" t="s">
        <v>999</v>
      </c>
      <c r="VD2" s="2" t="s">
        <v>999</v>
      </c>
      <c r="VE2" s="2" t="s">
        <v>999</v>
      </c>
      <c r="VF2" s="2" t="s">
        <v>999</v>
      </c>
      <c r="VG2" s="2" t="s">
        <v>999</v>
      </c>
      <c r="VH2" s="2" t="s">
        <v>999</v>
      </c>
      <c r="VI2" s="2" t="s">
        <v>999</v>
      </c>
      <c r="VJ2" s="2" t="s">
        <v>999</v>
      </c>
      <c r="VK2" s="2" t="s">
        <v>999</v>
      </c>
      <c r="VL2" s="2" t="s">
        <v>999</v>
      </c>
      <c r="VM2" s="2" t="s">
        <v>999</v>
      </c>
      <c r="VN2" s="2" t="s">
        <v>999</v>
      </c>
      <c r="VO2" s="2" t="s">
        <v>999</v>
      </c>
      <c r="VP2" s="2" t="s">
        <v>999</v>
      </c>
      <c r="VQ2" s="2" t="s">
        <v>999</v>
      </c>
      <c r="VR2" s="2" t="s">
        <v>1000</v>
      </c>
      <c r="VS2" s="2" t="s">
        <v>1001</v>
      </c>
    </row>
    <row r="3" spans="1:591" ht="150" customHeight="1">
      <c r="C3" s="1" t="s">
        <v>592</v>
      </c>
      <c r="D3" s="3" t="s">
        <v>601</v>
      </c>
      <c r="E3" s="3" t="s">
        <v>602</v>
      </c>
      <c r="F3" s="3" t="s">
        <v>603</v>
      </c>
      <c r="G3" s="3" t="s">
        <v>604</v>
      </c>
      <c r="H3" s="3" t="s">
        <v>605</v>
      </c>
      <c r="I3" s="3" t="s">
        <v>606</v>
      </c>
      <c r="J3" s="3" t="s">
        <v>607</v>
      </c>
      <c r="K3" s="3" t="s">
        <v>608</v>
      </c>
      <c r="L3" s="3" t="s">
        <v>609</v>
      </c>
      <c r="M3" s="3" t="s">
        <v>610</v>
      </c>
      <c r="N3" s="3" t="s">
        <v>611</v>
      </c>
      <c r="O3" s="3" t="s">
        <v>612</v>
      </c>
      <c r="P3" s="3" t="s">
        <v>613</v>
      </c>
      <c r="Q3" s="3" t="s">
        <v>614</v>
      </c>
      <c r="R3" s="3" t="s">
        <v>615</v>
      </c>
      <c r="S3" s="3" t="s">
        <v>616</v>
      </c>
      <c r="T3" s="3" t="s">
        <v>617</v>
      </c>
      <c r="U3" s="3" t="s">
        <v>618</v>
      </c>
      <c r="V3" s="3" t="s">
        <v>619</v>
      </c>
      <c r="W3" s="3" t="s">
        <v>620</v>
      </c>
      <c r="X3" s="3" t="s">
        <v>621</v>
      </c>
      <c r="Y3" s="3" t="s">
        <v>622</v>
      </c>
      <c r="Z3" s="3" t="s">
        <v>623</v>
      </c>
      <c r="AA3" s="3" t="s">
        <v>624</v>
      </c>
      <c r="AB3" s="3" t="s">
        <v>625</v>
      </c>
      <c r="AC3" s="3" t="s">
        <v>626</v>
      </c>
      <c r="AD3" s="3" t="s">
        <v>627</v>
      </c>
      <c r="AE3" s="3" t="s">
        <v>628</v>
      </c>
      <c r="AF3" s="3" t="s">
        <v>629</v>
      </c>
      <c r="AG3" s="3" t="s">
        <v>630</v>
      </c>
      <c r="AH3" s="3" t="s">
        <v>631</v>
      </c>
      <c r="AI3" s="3" t="s">
        <v>632</v>
      </c>
      <c r="AJ3" s="3" t="s">
        <v>632</v>
      </c>
      <c r="AK3" s="3" t="s">
        <v>632</v>
      </c>
      <c r="AL3" s="3" t="s">
        <v>632</v>
      </c>
      <c r="AM3" s="3" t="s">
        <v>633</v>
      </c>
      <c r="AN3" s="3" t="s">
        <v>634</v>
      </c>
      <c r="AO3" s="3" t="s">
        <v>635</v>
      </c>
      <c r="AP3" s="3" t="s">
        <v>636</v>
      </c>
      <c r="AQ3" s="3" t="s">
        <v>637</v>
      </c>
      <c r="AR3" s="3" t="s">
        <v>638</v>
      </c>
      <c r="AS3" s="3" t="s">
        <v>639</v>
      </c>
      <c r="AT3" s="3" t="s">
        <v>640</v>
      </c>
      <c r="AU3" s="3" t="s">
        <v>641</v>
      </c>
      <c r="AV3" s="3" t="s">
        <v>642</v>
      </c>
      <c r="AW3" s="3" t="s">
        <v>643</v>
      </c>
      <c r="AX3" s="3" t="s">
        <v>644</v>
      </c>
      <c r="AY3" s="3" t="s">
        <v>645</v>
      </c>
      <c r="AZ3" s="3" t="s">
        <v>646</v>
      </c>
      <c r="BA3" s="3" t="s">
        <v>647</v>
      </c>
      <c r="BB3" s="3" t="s">
        <v>648</v>
      </c>
      <c r="BC3" s="3" t="s">
        <v>649</v>
      </c>
      <c r="BD3" s="3" t="s">
        <v>650</v>
      </c>
      <c r="BE3" s="3" t="s">
        <v>651</v>
      </c>
      <c r="BF3" s="3" t="s">
        <v>652</v>
      </c>
      <c r="BG3" s="3" t="s">
        <v>653</v>
      </c>
      <c r="BH3" s="3" t="s">
        <v>654</v>
      </c>
      <c r="BI3" s="3" t="s">
        <v>655</v>
      </c>
      <c r="BJ3" s="3" t="s">
        <v>656</v>
      </c>
      <c r="BK3" s="3" t="s">
        <v>657</v>
      </c>
      <c r="BL3" s="3" t="s">
        <v>658</v>
      </c>
      <c r="BM3" s="3" t="s">
        <v>659</v>
      </c>
      <c r="BN3" s="3" t="s">
        <v>660</v>
      </c>
      <c r="BO3" s="3" t="s">
        <v>661</v>
      </c>
      <c r="BP3" s="3" t="s">
        <v>662</v>
      </c>
      <c r="BQ3" s="3" t="s">
        <v>663</v>
      </c>
      <c r="BR3" s="3" t="s">
        <v>663</v>
      </c>
      <c r="BS3" s="3" t="s">
        <v>664</v>
      </c>
      <c r="BT3" s="3" t="s">
        <v>665</v>
      </c>
      <c r="BU3" s="3" t="s">
        <v>666</v>
      </c>
      <c r="BV3" s="3" t="s">
        <v>666</v>
      </c>
      <c r="BW3" s="3" t="s">
        <v>667</v>
      </c>
      <c r="BX3" s="3" t="s">
        <v>667</v>
      </c>
      <c r="BY3" s="3" t="s">
        <v>668</v>
      </c>
      <c r="BZ3" s="3" t="s">
        <v>669</v>
      </c>
      <c r="CA3" s="3" t="s">
        <v>670</v>
      </c>
      <c r="CB3" s="3" t="s">
        <v>671</v>
      </c>
      <c r="CC3" s="3" t="s">
        <v>672</v>
      </c>
      <c r="CD3" s="3" t="s">
        <v>673</v>
      </c>
      <c r="CE3" s="3" t="s">
        <v>674</v>
      </c>
      <c r="CF3" s="3" t="s">
        <v>675</v>
      </c>
      <c r="CG3" s="3" t="s">
        <v>676</v>
      </c>
      <c r="CH3" s="3" t="s">
        <v>677</v>
      </c>
      <c r="CI3" s="3" t="s">
        <v>677</v>
      </c>
      <c r="CJ3" s="3" t="s">
        <v>678</v>
      </c>
      <c r="CK3" s="3" t="s">
        <v>679</v>
      </c>
      <c r="CL3" s="3" t="s">
        <v>680</v>
      </c>
      <c r="CM3" s="3" t="s">
        <v>681</v>
      </c>
      <c r="CN3" s="3" t="s">
        <v>681</v>
      </c>
      <c r="CO3" s="3" t="s">
        <v>681</v>
      </c>
      <c r="CP3" s="3" t="s">
        <v>682</v>
      </c>
      <c r="CQ3" s="3" t="s">
        <v>683</v>
      </c>
      <c r="CR3" s="3" t="s">
        <v>683</v>
      </c>
      <c r="CS3" s="3" t="s">
        <v>683</v>
      </c>
      <c r="CT3" s="3" t="s">
        <v>683</v>
      </c>
      <c r="CU3" s="3" t="s">
        <v>684</v>
      </c>
      <c r="CV3" s="3" t="s">
        <v>685</v>
      </c>
      <c r="CW3" s="3" t="s">
        <v>686</v>
      </c>
      <c r="CX3" s="3" t="s">
        <v>687</v>
      </c>
      <c r="CY3" s="3" t="s">
        <v>688</v>
      </c>
      <c r="CZ3" s="3" t="s">
        <v>689</v>
      </c>
      <c r="DA3" s="3" t="s">
        <v>690</v>
      </c>
      <c r="DB3" s="3" t="s">
        <v>691</v>
      </c>
      <c r="DC3" s="3" t="s">
        <v>692</v>
      </c>
      <c r="DD3" s="3" t="s">
        <v>693</v>
      </c>
      <c r="DE3" s="3" t="s">
        <v>694</v>
      </c>
      <c r="DF3" s="3" t="s">
        <v>695</v>
      </c>
      <c r="DG3" s="3" t="s">
        <v>696</v>
      </c>
      <c r="DH3" s="3" t="s">
        <v>697</v>
      </c>
      <c r="DI3" s="3" t="s">
        <v>698</v>
      </c>
      <c r="DJ3" s="3" t="s">
        <v>699</v>
      </c>
      <c r="DK3" s="3" t="s">
        <v>700</v>
      </c>
      <c r="DL3" s="3" t="s">
        <v>701</v>
      </c>
      <c r="DM3" s="3" t="s">
        <v>702</v>
      </c>
      <c r="DN3" s="3" t="s">
        <v>703</v>
      </c>
      <c r="DO3" s="3" t="s">
        <v>704</v>
      </c>
      <c r="DP3" s="3" t="s">
        <v>705</v>
      </c>
      <c r="DQ3" s="3" t="s">
        <v>706</v>
      </c>
      <c r="DR3" s="3" t="s">
        <v>707</v>
      </c>
      <c r="DS3" s="3" t="s">
        <v>708</v>
      </c>
      <c r="DT3" s="3" t="s">
        <v>709</v>
      </c>
      <c r="DU3" s="3" t="s">
        <v>710</v>
      </c>
      <c r="DV3" s="3" t="s">
        <v>711</v>
      </c>
      <c r="DW3" s="3" t="s">
        <v>712</v>
      </c>
      <c r="DX3" s="3" t="s">
        <v>713</v>
      </c>
      <c r="DY3" s="3" t="s">
        <v>714</v>
      </c>
      <c r="DZ3" s="3" t="s">
        <v>715</v>
      </c>
      <c r="EA3" s="3" t="s">
        <v>716</v>
      </c>
      <c r="EB3" s="3" t="s">
        <v>717</v>
      </c>
      <c r="EC3" s="3" t="s">
        <v>718</v>
      </c>
      <c r="ED3" s="3" t="s">
        <v>719</v>
      </c>
      <c r="EE3" s="3" t="s">
        <v>720</v>
      </c>
      <c r="EF3" s="3" t="s">
        <v>721</v>
      </c>
      <c r="EG3" s="3" t="s">
        <v>722</v>
      </c>
      <c r="EH3" s="3" t="s">
        <v>723</v>
      </c>
      <c r="EI3" s="3" t="s">
        <v>724</v>
      </c>
      <c r="EJ3" s="3" t="s">
        <v>725</v>
      </c>
      <c r="EK3" s="3" t="s">
        <v>726</v>
      </c>
      <c r="EL3" s="3" t="s">
        <v>727</v>
      </c>
      <c r="EM3" s="3" t="s">
        <v>728</v>
      </c>
      <c r="EN3" s="3" t="s">
        <v>729</v>
      </c>
      <c r="EO3" s="3" t="s">
        <v>730</v>
      </c>
      <c r="EP3" s="3" t="s">
        <v>731</v>
      </c>
      <c r="EQ3" s="3" t="s">
        <v>732</v>
      </c>
      <c r="ER3" s="3" t="s">
        <v>733</v>
      </c>
      <c r="ES3" s="3" t="s">
        <v>734</v>
      </c>
      <c r="ET3" s="3" t="s">
        <v>735</v>
      </c>
      <c r="EU3" s="3" t="s">
        <v>736</v>
      </c>
      <c r="EV3" s="3" t="s">
        <v>737</v>
      </c>
      <c r="EW3" s="3" t="s">
        <v>738</v>
      </c>
      <c r="EX3" s="3" t="s">
        <v>738</v>
      </c>
      <c r="EY3" s="3" t="s">
        <v>738</v>
      </c>
      <c r="EZ3" s="3" t="s">
        <v>738</v>
      </c>
      <c r="FA3" s="3" t="s">
        <v>739</v>
      </c>
      <c r="FB3" s="3" t="s">
        <v>740</v>
      </c>
      <c r="FC3" s="3" t="s">
        <v>741</v>
      </c>
      <c r="FD3" s="3" t="s">
        <v>742</v>
      </c>
      <c r="FE3" s="3" t="s">
        <v>743</v>
      </c>
      <c r="FF3" s="3" t="s">
        <v>744</v>
      </c>
      <c r="FG3" s="3" t="s">
        <v>745</v>
      </c>
      <c r="FH3" s="3" t="s">
        <v>746</v>
      </c>
      <c r="FI3" s="3" t="s">
        <v>747</v>
      </c>
      <c r="FJ3" s="3" t="s">
        <v>748</v>
      </c>
      <c r="FK3" s="3" t="s">
        <v>749</v>
      </c>
      <c r="FL3" s="3" t="s">
        <v>750</v>
      </c>
      <c r="FM3" s="3" t="s">
        <v>751</v>
      </c>
      <c r="FN3" s="3" t="s">
        <v>752</v>
      </c>
      <c r="FO3" s="3" t="s">
        <v>753</v>
      </c>
      <c r="FP3" s="3" t="s">
        <v>754</v>
      </c>
      <c r="FQ3" s="3" t="s">
        <v>755</v>
      </c>
      <c r="FR3" s="3" t="s">
        <v>756</v>
      </c>
      <c r="FS3" s="3" t="s">
        <v>757</v>
      </c>
      <c r="FT3" s="3" t="s">
        <v>758</v>
      </c>
      <c r="FU3" s="3" t="s">
        <v>759</v>
      </c>
      <c r="FV3" s="3" t="s">
        <v>760</v>
      </c>
      <c r="FW3" s="3" t="s">
        <v>761</v>
      </c>
      <c r="FX3" s="3" t="s">
        <v>762</v>
      </c>
      <c r="FY3" s="3" t="s">
        <v>763</v>
      </c>
      <c r="FZ3" s="3" t="s">
        <v>764</v>
      </c>
      <c r="GA3" s="3" t="s">
        <v>765</v>
      </c>
      <c r="GB3" s="40" t="s">
        <v>766</v>
      </c>
      <c r="GC3" s="2" t="s">
        <v>1097</v>
      </c>
      <c r="GD3" s="2" t="s">
        <v>1097</v>
      </c>
      <c r="GE3" s="2" t="s">
        <v>1098</v>
      </c>
      <c r="GF3" s="2" t="s">
        <v>1024</v>
      </c>
      <c r="GG3" s="2" t="s">
        <v>1024</v>
      </c>
      <c r="GH3" s="2" t="s">
        <v>1099</v>
      </c>
      <c r="GI3" s="2" t="s">
        <v>1099</v>
      </c>
      <c r="GJ3" s="2" t="s">
        <v>1102</v>
      </c>
      <c r="GK3" s="2" t="s">
        <v>1102</v>
      </c>
      <c r="GL3" s="2" t="s">
        <v>1100</v>
      </c>
      <c r="GM3" s="2" t="s">
        <v>1100</v>
      </c>
      <c r="GN3" s="2" t="s">
        <v>1101</v>
      </c>
      <c r="GO3" s="2" t="s">
        <v>1101</v>
      </c>
      <c r="GP3" s="3" t="s">
        <v>767</v>
      </c>
      <c r="GQ3" s="3" t="s">
        <v>768</v>
      </c>
      <c r="GR3" s="2" t="s">
        <v>1030</v>
      </c>
      <c r="GS3" s="2" t="s">
        <v>1030</v>
      </c>
      <c r="GT3" s="2" t="s">
        <v>1092</v>
      </c>
      <c r="GU3" s="2" t="s">
        <v>1093</v>
      </c>
      <c r="GV3" s="3" t="s">
        <v>1096</v>
      </c>
      <c r="GW3" s="2" t="s">
        <v>1041</v>
      </c>
      <c r="GX3" s="2" t="s">
        <v>1041</v>
      </c>
      <c r="GY3" s="43" t="s">
        <v>1042</v>
      </c>
      <c r="GZ3" s="74" t="s">
        <v>1043</v>
      </c>
      <c r="HA3" s="74" t="s">
        <v>1043</v>
      </c>
      <c r="HB3" s="74" t="s">
        <v>1044</v>
      </c>
      <c r="HC3" s="74" t="s">
        <v>1044</v>
      </c>
      <c r="HD3" s="74" t="s">
        <v>599</v>
      </c>
      <c r="HE3" s="75" t="s">
        <v>599</v>
      </c>
      <c r="HF3" s="3" t="s">
        <v>769</v>
      </c>
      <c r="HG3" s="3" t="s">
        <v>770</v>
      </c>
      <c r="HH3" s="3" t="s">
        <v>770</v>
      </c>
      <c r="HI3" s="3" t="s">
        <v>770</v>
      </c>
      <c r="HJ3" s="3" t="s">
        <v>770</v>
      </c>
      <c r="HK3" s="3" t="s">
        <v>771</v>
      </c>
      <c r="HL3" s="3" t="s">
        <v>772</v>
      </c>
      <c r="HM3" s="3" t="s">
        <v>773</v>
      </c>
      <c r="HN3" s="3" t="s">
        <v>774</v>
      </c>
      <c r="HO3" s="3" t="s">
        <v>775</v>
      </c>
      <c r="HP3" s="3" t="s">
        <v>776</v>
      </c>
      <c r="HQ3" s="3" t="s">
        <v>777</v>
      </c>
      <c r="HR3" s="3" t="s">
        <v>778</v>
      </c>
      <c r="HS3" s="3" t="s">
        <v>779</v>
      </c>
      <c r="HT3" s="3" t="s">
        <v>780</v>
      </c>
      <c r="HU3" s="3" t="s">
        <v>781</v>
      </c>
      <c r="HV3" s="3" t="s">
        <v>782</v>
      </c>
      <c r="HW3" s="3" t="s">
        <v>783</v>
      </c>
      <c r="HX3" s="3" t="s">
        <v>784</v>
      </c>
      <c r="HY3" s="3" t="s">
        <v>785</v>
      </c>
      <c r="HZ3" s="3" t="s">
        <v>786</v>
      </c>
      <c r="IA3" s="43" t="s">
        <v>787</v>
      </c>
      <c r="IB3" s="3" t="s">
        <v>788</v>
      </c>
      <c r="IC3" s="3" t="s">
        <v>789</v>
      </c>
      <c r="ID3" s="3" t="s">
        <v>790</v>
      </c>
      <c r="IE3" s="3" t="s">
        <v>791</v>
      </c>
      <c r="IF3" s="3" t="s">
        <v>792</v>
      </c>
      <c r="IG3" s="3" t="s">
        <v>793</v>
      </c>
      <c r="IH3" s="3" t="s">
        <v>794</v>
      </c>
      <c r="II3" s="3" t="s">
        <v>795</v>
      </c>
      <c r="IJ3" s="3" t="s">
        <v>796</v>
      </c>
      <c r="IK3" s="3" t="s">
        <v>797</v>
      </c>
      <c r="IL3" s="40" t="s">
        <v>798</v>
      </c>
      <c r="IM3" s="2" t="s">
        <v>1097</v>
      </c>
      <c r="IN3" s="2" t="s">
        <v>1097</v>
      </c>
      <c r="IO3" s="2" t="s">
        <v>1113</v>
      </c>
      <c r="IP3" s="2" t="s">
        <v>1024</v>
      </c>
      <c r="IQ3" s="3" t="s">
        <v>1024</v>
      </c>
      <c r="IR3" s="2" t="s">
        <v>1102</v>
      </c>
      <c r="IS3" s="2" t="s">
        <v>1102</v>
      </c>
      <c r="IT3" s="2" t="s">
        <v>1100</v>
      </c>
      <c r="IU3" s="2" t="s">
        <v>1100</v>
      </c>
      <c r="IV3" s="2" t="s">
        <v>1101</v>
      </c>
      <c r="IW3" s="2" t="s">
        <v>1101</v>
      </c>
      <c r="IX3" s="2" t="s">
        <v>1090</v>
      </c>
      <c r="IY3" s="2" t="s">
        <v>1114</v>
      </c>
      <c r="IZ3" s="2" t="s">
        <v>1030</v>
      </c>
      <c r="JA3" s="42" t="s">
        <v>1036</v>
      </c>
      <c r="JB3" s="73" t="s">
        <v>1092</v>
      </c>
      <c r="JC3" s="73" t="s">
        <v>1093</v>
      </c>
      <c r="JD3" s="56" t="s">
        <v>1093</v>
      </c>
      <c r="JE3" s="73" t="s">
        <v>1032</v>
      </c>
      <c r="JF3" s="112" t="s">
        <v>1034</v>
      </c>
      <c r="JG3" s="73" t="s">
        <v>1115</v>
      </c>
      <c r="JH3" s="73" t="s">
        <v>1116</v>
      </c>
      <c r="JI3" s="73" t="s">
        <v>1096</v>
      </c>
      <c r="JJ3" s="112" t="s">
        <v>1039</v>
      </c>
      <c r="JK3" s="42" t="s">
        <v>1041</v>
      </c>
      <c r="JL3" s="56" t="s">
        <v>1041</v>
      </c>
      <c r="JM3" s="73" t="s">
        <v>1042</v>
      </c>
      <c r="JN3" s="2" t="s">
        <v>1042</v>
      </c>
      <c r="JO3" s="2" t="s">
        <v>1043</v>
      </c>
      <c r="JP3" s="2" t="s">
        <v>1044</v>
      </c>
      <c r="JQ3" s="2" t="s">
        <v>599</v>
      </c>
      <c r="JR3" s="2" t="s">
        <v>599</v>
      </c>
      <c r="JS3" s="74" t="s">
        <v>799</v>
      </c>
      <c r="JT3" s="43" t="s">
        <v>800</v>
      </c>
      <c r="JU3" s="3" t="s">
        <v>800</v>
      </c>
      <c r="JV3" s="3" t="s">
        <v>800</v>
      </c>
      <c r="JW3" s="3" t="s">
        <v>800</v>
      </c>
      <c r="JX3" s="3" t="s">
        <v>801</v>
      </c>
      <c r="JY3" s="3" t="s">
        <v>802</v>
      </c>
      <c r="JZ3" s="3" t="s">
        <v>803</v>
      </c>
      <c r="KA3" s="3" t="s">
        <v>804</v>
      </c>
      <c r="KB3" s="3" t="s">
        <v>805</v>
      </c>
      <c r="KC3" s="3" t="s">
        <v>806</v>
      </c>
      <c r="KD3" s="3" t="s">
        <v>807</v>
      </c>
      <c r="KE3" s="3" t="s">
        <v>808</v>
      </c>
      <c r="KF3" s="3" t="s">
        <v>809</v>
      </c>
      <c r="KG3" s="3" t="s">
        <v>810</v>
      </c>
      <c r="KH3" s="3" t="s">
        <v>811</v>
      </c>
      <c r="KI3" s="3" t="s">
        <v>812</v>
      </c>
      <c r="KJ3" s="3" t="s">
        <v>813</v>
      </c>
      <c r="KK3" s="3" t="s">
        <v>814</v>
      </c>
      <c r="KL3" s="3" t="s">
        <v>815</v>
      </c>
      <c r="KM3" s="3" t="s">
        <v>816</v>
      </c>
      <c r="KN3" s="3" t="s">
        <v>817</v>
      </c>
      <c r="KO3" s="2" t="s">
        <v>1047</v>
      </c>
      <c r="KP3" s="3" t="s">
        <v>818</v>
      </c>
      <c r="KQ3" s="3" t="s">
        <v>819</v>
      </c>
      <c r="KR3" s="3" t="s">
        <v>820</v>
      </c>
      <c r="KS3" s="3" t="s">
        <v>821</v>
      </c>
      <c r="KT3" s="3" t="s">
        <v>822</v>
      </c>
      <c r="KU3" s="2" t="s">
        <v>1066</v>
      </c>
      <c r="KV3" s="3" t="s">
        <v>823</v>
      </c>
      <c r="KW3" s="3" t="s">
        <v>824</v>
      </c>
      <c r="KX3" s="3" t="s">
        <v>825</v>
      </c>
      <c r="KY3" s="3" t="s">
        <v>826</v>
      </c>
      <c r="KZ3" s="3" t="s">
        <v>827</v>
      </c>
      <c r="LA3" s="40" t="s">
        <v>828</v>
      </c>
      <c r="LB3" s="3" t="s">
        <v>1120</v>
      </c>
      <c r="LC3" s="3" t="s">
        <v>1097</v>
      </c>
      <c r="LD3" s="3" t="s">
        <v>1119</v>
      </c>
      <c r="LE3" s="3" t="s">
        <v>1098</v>
      </c>
      <c r="LF3" s="3" t="s">
        <v>1123</v>
      </c>
      <c r="LG3" s="3" t="s">
        <v>1123</v>
      </c>
      <c r="LH3" s="3" t="s">
        <v>1024</v>
      </c>
      <c r="LI3" s="3" t="s">
        <v>1102</v>
      </c>
      <c r="LJ3" s="3" t="s">
        <v>1121</v>
      </c>
      <c r="LK3" s="3" t="s">
        <v>1121</v>
      </c>
      <c r="LL3" s="3" t="s">
        <v>1122</v>
      </c>
      <c r="LM3" s="3" t="s">
        <v>1122</v>
      </c>
      <c r="LN3" s="3" t="s">
        <v>829</v>
      </c>
      <c r="LO3" s="3" t="s">
        <v>830</v>
      </c>
      <c r="LP3" s="3" t="s">
        <v>831</v>
      </c>
      <c r="LQ3" s="3" t="s">
        <v>832</v>
      </c>
      <c r="LR3" s="3" t="s">
        <v>833</v>
      </c>
      <c r="LS3" s="2" t="s">
        <v>1092</v>
      </c>
      <c r="LT3" s="70" t="s">
        <v>1093</v>
      </c>
      <c r="LU3" s="70" t="s">
        <v>1096</v>
      </c>
      <c r="LV3" s="3" t="s">
        <v>834</v>
      </c>
      <c r="LW3" s="3" t="s">
        <v>1041</v>
      </c>
      <c r="LX3" s="3" t="s">
        <v>1041</v>
      </c>
      <c r="LY3" s="3" t="s">
        <v>1042</v>
      </c>
      <c r="LZ3" s="3" t="s">
        <v>1043</v>
      </c>
      <c r="MA3" s="3" t="s">
        <v>835</v>
      </c>
      <c r="MB3" s="3" t="s">
        <v>1124</v>
      </c>
      <c r="MC3" s="3" t="s">
        <v>599</v>
      </c>
      <c r="MD3" s="3" t="s">
        <v>599</v>
      </c>
      <c r="ME3" s="3" t="s">
        <v>1125</v>
      </c>
      <c r="MF3" s="3" t="s">
        <v>836</v>
      </c>
      <c r="MG3" s="3" t="s">
        <v>836</v>
      </c>
      <c r="MH3" s="3" t="s">
        <v>836</v>
      </c>
      <c r="MI3" s="3" t="s">
        <v>836</v>
      </c>
      <c r="MJ3" s="3" t="s">
        <v>837</v>
      </c>
      <c r="MK3" s="3" t="s">
        <v>838</v>
      </c>
      <c r="ML3" s="3" t="s">
        <v>839</v>
      </c>
      <c r="MM3" s="3" t="s">
        <v>840</v>
      </c>
      <c r="MN3" s="3" t="s">
        <v>841</v>
      </c>
      <c r="MO3" s="3" t="s">
        <v>842</v>
      </c>
      <c r="MP3" s="3" t="s">
        <v>843</v>
      </c>
      <c r="MQ3" s="3" t="s">
        <v>844</v>
      </c>
      <c r="MR3" s="3" t="s">
        <v>845</v>
      </c>
      <c r="MS3" s="3" t="s">
        <v>846</v>
      </c>
      <c r="MT3" s="3" t="s">
        <v>847</v>
      </c>
      <c r="MU3" s="3" t="s">
        <v>848</v>
      </c>
      <c r="MV3" s="3" t="s">
        <v>849</v>
      </c>
      <c r="MW3" s="3" t="s">
        <v>850</v>
      </c>
      <c r="MX3" s="3" t="s">
        <v>851</v>
      </c>
      <c r="MY3" s="3" t="s">
        <v>852</v>
      </c>
      <c r="MZ3" s="3" t="s">
        <v>853</v>
      </c>
      <c r="NA3" s="3" t="s">
        <v>1047</v>
      </c>
      <c r="NB3" s="3" t="s">
        <v>854</v>
      </c>
      <c r="NC3" s="3" t="s">
        <v>855</v>
      </c>
      <c r="ND3" s="3" t="s">
        <v>856</v>
      </c>
      <c r="NE3" s="3" t="s">
        <v>857</v>
      </c>
      <c r="NF3" s="3" t="s">
        <v>858</v>
      </c>
      <c r="NG3" s="3" t="s">
        <v>859</v>
      </c>
      <c r="NH3" s="3" t="s">
        <v>860</v>
      </c>
      <c r="NI3" s="3" t="s">
        <v>861</v>
      </c>
      <c r="NJ3" s="3" t="s">
        <v>861</v>
      </c>
      <c r="NK3" s="3" t="s">
        <v>861</v>
      </c>
      <c r="NL3" s="3" t="s">
        <v>862</v>
      </c>
      <c r="NM3" s="40" t="s">
        <v>863</v>
      </c>
      <c r="NN3" s="3" t="s">
        <v>864</v>
      </c>
      <c r="NO3" s="3" t="s">
        <v>864</v>
      </c>
      <c r="NP3" s="3" t="s">
        <v>864</v>
      </c>
      <c r="NQ3" s="3" t="s">
        <v>865</v>
      </c>
      <c r="NR3" s="3" t="s">
        <v>866</v>
      </c>
      <c r="NS3" s="3" t="s">
        <v>866</v>
      </c>
      <c r="NT3" s="3" t="s">
        <v>866</v>
      </c>
      <c r="NU3" s="3" t="s">
        <v>867</v>
      </c>
      <c r="NV3" s="3" t="s">
        <v>868</v>
      </c>
      <c r="NW3" s="3" t="s">
        <v>868</v>
      </c>
      <c r="NX3" s="3" t="s">
        <v>869</v>
      </c>
      <c r="NY3" s="3" t="s">
        <v>869</v>
      </c>
      <c r="NZ3" s="3" t="s">
        <v>870</v>
      </c>
      <c r="OA3" s="3" t="s">
        <v>871</v>
      </c>
      <c r="OB3" s="3" t="s">
        <v>872</v>
      </c>
      <c r="OC3" s="3" t="s">
        <v>873</v>
      </c>
      <c r="OD3" s="3" t="s">
        <v>874</v>
      </c>
      <c r="OE3" s="3" t="s">
        <v>875</v>
      </c>
      <c r="OF3" s="3" t="s">
        <v>876</v>
      </c>
      <c r="OG3" s="3" t="s">
        <v>877</v>
      </c>
      <c r="OH3" s="3" t="s">
        <v>878</v>
      </c>
      <c r="OI3" s="3" t="s">
        <v>879</v>
      </c>
      <c r="OJ3" s="3" t="s">
        <v>879</v>
      </c>
      <c r="OK3" s="3" t="s">
        <v>880</v>
      </c>
      <c r="OL3" s="3" t="s">
        <v>881</v>
      </c>
      <c r="OM3" s="3" t="s">
        <v>882</v>
      </c>
      <c r="ON3" s="3" t="s">
        <v>883</v>
      </c>
      <c r="OO3" s="3" t="s">
        <v>884</v>
      </c>
      <c r="OP3" s="3" t="s">
        <v>884</v>
      </c>
      <c r="OQ3" s="3" t="s">
        <v>885</v>
      </c>
      <c r="OR3" s="3" t="s">
        <v>886</v>
      </c>
      <c r="OS3" s="3" t="s">
        <v>886</v>
      </c>
      <c r="OT3" s="3" t="s">
        <v>886</v>
      </c>
      <c r="OU3" s="3" t="s">
        <v>886</v>
      </c>
      <c r="OV3" s="3" t="s">
        <v>887</v>
      </c>
      <c r="OW3" s="3" t="s">
        <v>888</v>
      </c>
      <c r="OX3" s="3" t="s">
        <v>889</v>
      </c>
      <c r="OY3" s="3" t="s">
        <v>890</v>
      </c>
      <c r="OZ3" s="3" t="s">
        <v>891</v>
      </c>
      <c r="PA3" s="3" t="s">
        <v>892</v>
      </c>
      <c r="PB3" s="3" t="s">
        <v>893</v>
      </c>
      <c r="PC3" s="3" t="s">
        <v>894</v>
      </c>
      <c r="PD3" s="3" t="s">
        <v>895</v>
      </c>
      <c r="PE3" s="3" t="s">
        <v>896</v>
      </c>
      <c r="PF3" s="3" t="s">
        <v>897</v>
      </c>
      <c r="PG3" s="3" t="s">
        <v>898</v>
      </c>
      <c r="PH3" s="3" t="s">
        <v>899</v>
      </c>
      <c r="PI3" s="3" t="s">
        <v>900</v>
      </c>
      <c r="PJ3" s="3" t="s">
        <v>901</v>
      </c>
      <c r="PK3" s="3" t="s">
        <v>902</v>
      </c>
      <c r="PL3" s="3" t="s">
        <v>903</v>
      </c>
      <c r="PM3" s="3" t="s">
        <v>904</v>
      </c>
      <c r="PN3" s="3" t="s">
        <v>905</v>
      </c>
      <c r="PO3" s="3" t="s">
        <v>906</v>
      </c>
      <c r="PP3" s="3" t="s">
        <v>907</v>
      </c>
      <c r="PQ3" s="3" t="s">
        <v>908</v>
      </c>
      <c r="PR3" s="3" t="s">
        <v>909</v>
      </c>
      <c r="PS3" s="3" t="s">
        <v>910</v>
      </c>
      <c r="PT3" s="3" t="s">
        <v>911</v>
      </c>
      <c r="PU3" s="3" t="s">
        <v>912</v>
      </c>
      <c r="PV3" s="40" t="s">
        <v>913</v>
      </c>
      <c r="PW3" s="3" t="s">
        <v>1134</v>
      </c>
      <c r="PX3" s="3" t="s">
        <v>1134</v>
      </c>
      <c r="PY3" s="3" t="s">
        <v>914</v>
      </c>
      <c r="PZ3" s="3" t="s">
        <v>915</v>
      </c>
      <c r="QA3" s="3" t="s">
        <v>916</v>
      </c>
      <c r="QB3" s="3" t="s">
        <v>917</v>
      </c>
      <c r="QC3" s="3" t="s">
        <v>1030</v>
      </c>
      <c r="QD3" s="3" t="s">
        <v>1030</v>
      </c>
      <c r="QE3" s="3" t="s">
        <v>918</v>
      </c>
      <c r="QF3" s="3" t="s">
        <v>919</v>
      </c>
      <c r="QG3" s="3" t="s">
        <v>920</v>
      </c>
      <c r="QH3" s="3" t="s">
        <v>921</v>
      </c>
      <c r="QI3" s="3" t="s">
        <v>922</v>
      </c>
      <c r="QJ3" s="3" t="s">
        <v>923</v>
      </c>
      <c r="QK3" s="3" t="s">
        <v>924</v>
      </c>
      <c r="QL3" s="3" t="s">
        <v>925</v>
      </c>
      <c r="QM3" s="3" t="s">
        <v>926</v>
      </c>
      <c r="QN3" s="3" t="s">
        <v>927</v>
      </c>
      <c r="QO3" s="3" t="s">
        <v>928</v>
      </c>
      <c r="QP3" s="3" t="s">
        <v>929</v>
      </c>
      <c r="QQ3" s="3" t="s">
        <v>930</v>
      </c>
      <c r="QR3" s="3" t="s">
        <v>931</v>
      </c>
      <c r="QS3" s="43" t="s">
        <v>1041</v>
      </c>
      <c r="QT3" s="75" t="s">
        <v>1041</v>
      </c>
      <c r="QU3" s="3" t="s">
        <v>932</v>
      </c>
      <c r="QV3" s="3" t="s">
        <v>933</v>
      </c>
      <c r="QW3" s="3" t="s">
        <v>934</v>
      </c>
      <c r="QX3" s="3" t="s">
        <v>935</v>
      </c>
      <c r="QY3" s="3" t="s">
        <v>936</v>
      </c>
      <c r="QZ3" s="3" t="s">
        <v>937</v>
      </c>
      <c r="RA3" s="3" t="s">
        <v>599</v>
      </c>
      <c r="RB3" s="3" t="s">
        <v>599</v>
      </c>
      <c r="RC3" s="3" t="s">
        <v>938</v>
      </c>
      <c r="RD3" s="3" t="s">
        <v>939</v>
      </c>
      <c r="RE3" s="3" t="s">
        <v>940</v>
      </c>
      <c r="RF3" s="3" t="s">
        <v>940</v>
      </c>
      <c r="RG3" s="3" t="s">
        <v>940</v>
      </c>
      <c r="RH3" s="3" t="s">
        <v>940</v>
      </c>
      <c r="RI3" s="3" t="s">
        <v>941</v>
      </c>
      <c r="RJ3" s="3" t="s">
        <v>942</v>
      </c>
      <c r="RK3" s="3" t="s">
        <v>943</v>
      </c>
      <c r="RL3" s="3" t="s">
        <v>944</v>
      </c>
      <c r="RM3" s="3" t="s">
        <v>945</v>
      </c>
      <c r="RN3" s="3" t="s">
        <v>946</v>
      </c>
      <c r="RO3" s="3" t="s">
        <v>947</v>
      </c>
      <c r="RP3" s="3" t="s">
        <v>948</v>
      </c>
      <c r="RQ3" s="3" t="s">
        <v>949</v>
      </c>
      <c r="RR3" s="3" t="s">
        <v>950</v>
      </c>
      <c r="RS3" s="3" t="s">
        <v>951</v>
      </c>
      <c r="RT3" s="3" t="s">
        <v>952</v>
      </c>
      <c r="RU3" s="3" t="s">
        <v>953</v>
      </c>
      <c r="RV3" s="3" t="s">
        <v>954</v>
      </c>
      <c r="RW3" s="3" t="s">
        <v>955</v>
      </c>
      <c r="RX3" s="3" t="s">
        <v>956</v>
      </c>
      <c r="RY3" s="3" t="s">
        <v>957</v>
      </c>
      <c r="RZ3" s="3" t="s">
        <v>958</v>
      </c>
      <c r="SA3" s="3" t="s">
        <v>1135</v>
      </c>
      <c r="SB3" s="3" t="s">
        <v>1136</v>
      </c>
      <c r="SC3" s="3" t="s">
        <v>1137</v>
      </c>
      <c r="SD3" s="3" t="s">
        <v>1138</v>
      </c>
      <c r="SE3" s="3" t="s">
        <v>1139</v>
      </c>
      <c r="SF3" s="3" t="s">
        <v>1140</v>
      </c>
      <c r="SG3" s="3" t="s">
        <v>1141</v>
      </c>
      <c r="SH3" s="40" t="s">
        <v>959</v>
      </c>
      <c r="SI3" s="2" t="s">
        <v>1022</v>
      </c>
      <c r="SJ3" s="2" t="s">
        <v>1022</v>
      </c>
      <c r="SK3" s="2" t="s">
        <v>1023</v>
      </c>
      <c r="SL3" s="42" t="s">
        <v>1025</v>
      </c>
      <c r="SM3" s="56" t="s">
        <v>1025</v>
      </c>
      <c r="SN3" s="2" t="s">
        <v>1026</v>
      </c>
      <c r="SO3" s="2" t="s">
        <v>1026</v>
      </c>
      <c r="SP3" s="2" t="s">
        <v>1027</v>
      </c>
      <c r="SQ3" s="2" t="s">
        <v>1027</v>
      </c>
      <c r="SR3" s="2" t="s">
        <v>1028</v>
      </c>
      <c r="SS3" s="2" t="s">
        <v>1028</v>
      </c>
      <c r="ST3" s="3" t="s">
        <v>960</v>
      </c>
      <c r="SU3" s="3" t="s">
        <v>1029</v>
      </c>
      <c r="SV3" s="2" t="s">
        <v>1090</v>
      </c>
      <c r="SW3" s="2" t="s">
        <v>1091</v>
      </c>
      <c r="SX3" s="43" t="s">
        <v>1030</v>
      </c>
      <c r="SY3" s="75" t="s">
        <v>1030</v>
      </c>
      <c r="SZ3" s="73" t="s">
        <v>1031</v>
      </c>
      <c r="TA3" s="35" t="s">
        <v>1035</v>
      </c>
      <c r="TB3" s="3" t="s">
        <v>961</v>
      </c>
      <c r="TC3" s="3" t="s">
        <v>961</v>
      </c>
      <c r="TD3" s="3" t="s">
        <v>962</v>
      </c>
      <c r="TE3" s="3" t="s">
        <v>963</v>
      </c>
      <c r="TF3" s="3" t="s">
        <v>964</v>
      </c>
      <c r="TG3" s="2" t="s">
        <v>1038</v>
      </c>
      <c r="TH3" s="2" t="s">
        <v>1038</v>
      </c>
      <c r="TI3" s="35" t="s">
        <v>1033</v>
      </c>
      <c r="TJ3" s="35" t="s">
        <v>1034</v>
      </c>
      <c r="TK3" s="35" t="s">
        <v>1037</v>
      </c>
      <c r="TL3" s="3" t="s">
        <v>965</v>
      </c>
      <c r="TM3" s="3" t="s">
        <v>965</v>
      </c>
      <c r="TN3" s="3" t="s">
        <v>966</v>
      </c>
      <c r="TO3" s="3" t="s">
        <v>967</v>
      </c>
      <c r="TP3" s="3" t="s">
        <v>1040</v>
      </c>
      <c r="TQ3" s="35" t="s">
        <v>1039</v>
      </c>
      <c r="TR3" s="35" t="s">
        <v>1039</v>
      </c>
      <c r="TS3" s="42" t="s">
        <v>1041</v>
      </c>
      <c r="TT3" s="56" t="s">
        <v>1041</v>
      </c>
      <c r="TU3" s="73" t="s">
        <v>1042</v>
      </c>
      <c r="TV3" s="2" t="s">
        <v>1042</v>
      </c>
      <c r="TW3" s="2" t="s">
        <v>1043</v>
      </c>
      <c r="TX3" s="2" t="s">
        <v>1043</v>
      </c>
      <c r="TY3" s="2" t="s">
        <v>1044</v>
      </c>
      <c r="TZ3" s="2" t="s">
        <v>1044</v>
      </c>
      <c r="UA3" s="2" t="s">
        <v>599</v>
      </c>
      <c r="UB3" s="2" t="s">
        <v>599</v>
      </c>
      <c r="UC3" s="3" t="s">
        <v>1045</v>
      </c>
      <c r="UD3" s="3" t="s">
        <v>1046</v>
      </c>
      <c r="UE3" s="43" t="s">
        <v>968</v>
      </c>
      <c r="UF3" s="74" t="s">
        <v>968</v>
      </c>
      <c r="UG3" s="74" t="s">
        <v>968</v>
      </c>
      <c r="UH3" s="75" t="s">
        <v>968</v>
      </c>
      <c r="UI3" s="3" t="s">
        <v>969</v>
      </c>
      <c r="UJ3" s="3" t="s">
        <v>970</v>
      </c>
      <c r="UK3" s="3" t="s">
        <v>971</v>
      </c>
      <c r="UL3" s="3" t="s">
        <v>972</v>
      </c>
      <c r="UM3" s="3" t="s">
        <v>973</v>
      </c>
      <c r="UN3" s="3" t="s">
        <v>974</v>
      </c>
      <c r="UO3" s="3" t="s">
        <v>975</v>
      </c>
      <c r="UP3" s="3" t="s">
        <v>976</v>
      </c>
      <c r="UQ3" s="3" t="s">
        <v>977</v>
      </c>
      <c r="UR3" s="3" t="s">
        <v>978</v>
      </c>
      <c r="US3" s="3" t="s">
        <v>979</v>
      </c>
      <c r="UT3" s="3" t="s">
        <v>980</v>
      </c>
      <c r="UU3" s="3" t="s">
        <v>981</v>
      </c>
      <c r="UV3" s="3" t="s">
        <v>982</v>
      </c>
      <c r="UW3" s="3" t="s">
        <v>983</v>
      </c>
      <c r="UX3" s="3" t="s">
        <v>984</v>
      </c>
      <c r="UY3" s="3" t="s">
        <v>985</v>
      </c>
      <c r="UZ3" s="42" t="s">
        <v>1047</v>
      </c>
      <c r="VA3" s="2" t="s">
        <v>1087</v>
      </c>
      <c r="VB3" s="2" t="s">
        <v>1089</v>
      </c>
      <c r="VC3" s="71" t="s">
        <v>1049</v>
      </c>
      <c r="VD3" s="2" t="s">
        <v>1050</v>
      </c>
      <c r="VE3" s="70" t="s">
        <v>1076</v>
      </c>
      <c r="VF3" s="70" t="s">
        <v>1077</v>
      </c>
      <c r="VG3" s="2" t="s">
        <v>1066</v>
      </c>
      <c r="VH3" s="2" t="s">
        <v>1078</v>
      </c>
      <c r="VI3" s="2" t="s">
        <v>1079</v>
      </c>
      <c r="VJ3" s="3" t="s">
        <v>986</v>
      </c>
      <c r="VK3" s="2" t="s">
        <v>1080</v>
      </c>
      <c r="VL3" s="2" t="s">
        <v>1088</v>
      </c>
      <c r="VM3" s="3" t="s">
        <v>987</v>
      </c>
      <c r="VN3" s="3" t="s">
        <v>988</v>
      </c>
      <c r="VO3" s="3" t="s">
        <v>989</v>
      </c>
      <c r="VP3" s="3" t="s">
        <v>989</v>
      </c>
      <c r="VQ3" s="3" t="s">
        <v>990</v>
      </c>
    </row>
    <row r="4" spans="1:591" s="2" customFormat="1" ht="30">
      <c r="C4" s="2" t="s">
        <v>593</v>
      </c>
      <c r="E4" s="2" t="s">
        <v>594</v>
      </c>
      <c r="F4" s="2" t="s">
        <v>1002</v>
      </c>
      <c r="G4" s="2" t="s">
        <v>594</v>
      </c>
      <c r="H4" s="2" t="s">
        <v>1002</v>
      </c>
      <c r="I4" s="2" t="s">
        <v>594</v>
      </c>
      <c r="J4" s="2" t="s">
        <v>1002</v>
      </c>
      <c r="K4" s="2" t="s">
        <v>594</v>
      </c>
      <c r="L4" s="2" t="s">
        <v>1002</v>
      </c>
      <c r="M4" s="2" t="s">
        <v>594</v>
      </c>
      <c r="N4" s="2" t="s">
        <v>1002</v>
      </c>
      <c r="O4" s="2" t="s">
        <v>594</v>
      </c>
      <c r="P4" s="2" t="s">
        <v>1003</v>
      </c>
      <c r="Q4" s="2" t="s">
        <v>1002</v>
      </c>
      <c r="R4" s="2" t="s">
        <v>1004</v>
      </c>
      <c r="S4" s="2" t="s">
        <v>1003</v>
      </c>
      <c r="T4" s="2" t="s">
        <v>594</v>
      </c>
      <c r="U4" s="2" t="s">
        <v>1002</v>
      </c>
      <c r="V4" s="2" t="s">
        <v>1002</v>
      </c>
      <c r="W4" s="2" t="s">
        <v>1002</v>
      </c>
      <c r="X4" s="2" t="s">
        <v>1002</v>
      </c>
      <c r="Y4" s="2" t="s">
        <v>595</v>
      </c>
      <c r="Z4" s="2" t="s">
        <v>1002</v>
      </c>
      <c r="AA4" s="2" t="s">
        <v>1002</v>
      </c>
      <c r="AB4" s="2" t="s">
        <v>1005</v>
      </c>
      <c r="AC4" s="2" t="s">
        <v>1002</v>
      </c>
      <c r="AD4" s="2" t="s">
        <v>1005</v>
      </c>
      <c r="AE4" s="2" t="s">
        <v>1002</v>
      </c>
      <c r="AF4" s="2" t="s">
        <v>1005</v>
      </c>
      <c r="AG4" s="2" t="s">
        <v>1002</v>
      </c>
      <c r="AH4" s="2" t="s">
        <v>1005</v>
      </c>
      <c r="AI4" s="2" t="s">
        <v>1003</v>
      </c>
      <c r="AJ4" s="2" t="s">
        <v>1003</v>
      </c>
      <c r="AK4" s="2" t="s">
        <v>1003</v>
      </c>
      <c r="AL4" s="2" t="s">
        <v>1003</v>
      </c>
      <c r="AM4" s="2" t="s">
        <v>1004</v>
      </c>
      <c r="AN4" s="2" t="s">
        <v>1003</v>
      </c>
      <c r="AO4" s="2" t="s">
        <v>1004</v>
      </c>
      <c r="AP4" s="2" t="s">
        <v>1003</v>
      </c>
      <c r="AQ4" s="2" t="s">
        <v>1004</v>
      </c>
      <c r="AR4" s="2" t="s">
        <v>1003</v>
      </c>
      <c r="AS4" s="2" t="s">
        <v>1004</v>
      </c>
      <c r="AT4" s="2" t="s">
        <v>1003</v>
      </c>
      <c r="AU4" s="2" t="s">
        <v>1004</v>
      </c>
      <c r="AV4" s="2" t="s">
        <v>1003</v>
      </c>
      <c r="AW4" s="2" t="s">
        <v>1004</v>
      </c>
      <c r="AX4" s="2" t="s">
        <v>1003</v>
      </c>
      <c r="AY4" s="2" t="s">
        <v>1004</v>
      </c>
      <c r="AZ4" s="2" t="s">
        <v>1003</v>
      </c>
      <c r="BA4" s="2" t="s">
        <v>1004</v>
      </c>
      <c r="BB4" s="2" t="s">
        <v>1003</v>
      </c>
      <c r="BC4" s="2" t="s">
        <v>597</v>
      </c>
      <c r="BD4" s="2" t="s">
        <v>1004</v>
      </c>
      <c r="BE4" s="2" t="s">
        <v>596</v>
      </c>
      <c r="BF4" s="2" t="s">
        <v>597</v>
      </c>
      <c r="BG4" s="2" t="s">
        <v>597</v>
      </c>
      <c r="BH4" s="2" t="s">
        <v>597</v>
      </c>
      <c r="BI4" s="2" t="s">
        <v>1004</v>
      </c>
      <c r="BJ4" s="2" t="s">
        <v>1004</v>
      </c>
      <c r="BK4" s="2" t="s">
        <v>1004</v>
      </c>
      <c r="BL4" s="2" t="s">
        <v>1004</v>
      </c>
      <c r="BM4" s="2" t="s">
        <v>1006</v>
      </c>
      <c r="BN4" s="2" t="s">
        <v>597</v>
      </c>
      <c r="GB4" s="39" t="s">
        <v>600</v>
      </c>
      <c r="GC4" s="2" t="s">
        <v>596</v>
      </c>
      <c r="GD4" s="2" t="s">
        <v>597</v>
      </c>
      <c r="GE4" s="2" t="s">
        <v>597</v>
      </c>
      <c r="GF4" s="2" t="s">
        <v>596</v>
      </c>
      <c r="GG4" s="2" t="s">
        <v>597</v>
      </c>
      <c r="GH4" s="2" t="s">
        <v>596</v>
      </c>
      <c r="GI4" s="2" t="s">
        <v>597</v>
      </c>
      <c r="GJ4" s="2" t="s">
        <v>596</v>
      </c>
      <c r="GK4" s="2" t="s">
        <v>597</v>
      </c>
      <c r="GL4" s="2" t="s">
        <v>596</v>
      </c>
      <c r="GM4" s="2" t="s">
        <v>597</v>
      </c>
      <c r="GN4" s="2" t="s">
        <v>598</v>
      </c>
      <c r="GO4" s="2" t="s">
        <v>597</v>
      </c>
      <c r="GP4" s="2" t="s">
        <v>1004</v>
      </c>
      <c r="GQ4" s="2" t="s">
        <v>598</v>
      </c>
      <c r="GR4" s="2" t="s">
        <v>596</v>
      </c>
      <c r="GS4" s="2" t="s">
        <v>597</v>
      </c>
      <c r="GT4" s="2" t="s">
        <v>597</v>
      </c>
      <c r="GU4" s="2" t="s">
        <v>597</v>
      </c>
      <c r="GV4" s="2" t="s">
        <v>597</v>
      </c>
      <c r="GW4" s="2" t="s">
        <v>596</v>
      </c>
      <c r="GX4" s="2" t="s">
        <v>597</v>
      </c>
      <c r="GY4" s="42" t="s">
        <v>597</v>
      </c>
      <c r="GZ4" s="73" t="s">
        <v>596</v>
      </c>
      <c r="HA4" s="73" t="s">
        <v>597</v>
      </c>
      <c r="HB4" s="73" t="s">
        <v>596</v>
      </c>
      <c r="HC4" s="73" t="s">
        <v>597</v>
      </c>
      <c r="HD4" s="73" t="s">
        <v>596</v>
      </c>
      <c r="HE4" s="56" t="s">
        <v>597</v>
      </c>
      <c r="HF4" s="2" t="s">
        <v>596</v>
      </c>
      <c r="HG4" s="2" t="s">
        <v>598</v>
      </c>
      <c r="IA4" s="42" t="s">
        <v>1007</v>
      </c>
      <c r="IC4" s="2" t="s">
        <v>596</v>
      </c>
      <c r="ID4" s="2" t="s">
        <v>1007</v>
      </c>
      <c r="IE4" s="2" t="s">
        <v>1007</v>
      </c>
      <c r="IF4" s="2" t="s">
        <v>1007</v>
      </c>
      <c r="IL4" s="39"/>
      <c r="IM4" s="2" t="s">
        <v>596</v>
      </c>
      <c r="IN4" s="2" t="s">
        <v>1007</v>
      </c>
      <c r="IO4" s="2" t="s">
        <v>1007</v>
      </c>
      <c r="IP4" s="2" t="s">
        <v>596</v>
      </c>
      <c r="IQ4" s="2" t="s">
        <v>1007</v>
      </c>
      <c r="IR4" s="2" t="s">
        <v>596</v>
      </c>
      <c r="IS4" s="2" t="s">
        <v>1007</v>
      </c>
      <c r="IT4" s="2" t="s">
        <v>596</v>
      </c>
      <c r="IU4" s="2" t="s">
        <v>1007</v>
      </c>
      <c r="IW4" s="2" t="s">
        <v>1007</v>
      </c>
      <c r="IZ4" s="2" t="s">
        <v>1007</v>
      </c>
      <c r="JA4" s="42" t="s">
        <v>596</v>
      </c>
      <c r="JB4" s="73" t="s">
        <v>1007</v>
      </c>
      <c r="JC4" s="73" t="s">
        <v>596</v>
      </c>
      <c r="JD4" s="56" t="s">
        <v>1007</v>
      </c>
      <c r="JE4" s="73" t="s">
        <v>596</v>
      </c>
      <c r="JF4" s="73" t="s">
        <v>596</v>
      </c>
      <c r="JG4" s="73" t="s">
        <v>596</v>
      </c>
      <c r="JH4" s="73" t="s">
        <v>596</v>
      </c>
      <c r="JI4" s="73" t="s">
        <v>597</v>
      </c>
      <c r="JJ4" s="73" t="s">
        <v>596</v>
      </c>
      <c r="JK4" s="42" t="s">
        <v>596</v>
      </c>
      <c r="JL4" s="56" t="s">
        <v>597</v>
      </c>
      <c r="JM4" s="73" t="s">
        <v>596</v>
      </c>
      <c r="JN4" s="2" t="s">
        <v>597</v>
      </c>
      <c r="JO4" s="2" t="s">
        <v>596</v>
      </c>
      <c r="JP4" s="2" t="s">
        <v>597</v>
      </c>
      <c r="JQ4" s="2" t="s">
        <v>596</v>
      </c>
      <c r="JR4" s="2" t="s">
        <v>597</v>
      </c>
      <c r="JS4" s="73" t="s">
        <v>597</v>
      </c>
      <c r="JT4" s="42"/>
      <c r="KO4" s="2" t="s">
        <v>597</v>
      </c>
      <c r="KU4" s="2" t="s">
        <v>597</v>
      </c>
      <c r="LA4" s="39"/>
      <c r="LB4" s="2" t="s">
        <v>596</v>
      </c>
      <c r="LC4" s="2" t="s">
        <v>596</v>
      </c>
      <c r="LD4" s="2" t="s">
        <v>597</v>
      </c>
      <c r="LE4" s="2" t="s">
        <v>597</v>
      </c>
      <c r="LG4" s="2" t="s">
        <v>597</v>
      </c>
      <c r="LH4" s="2" t="s">
        <v>596</v>
      </c>
      <c r="LI4" s="2" t="s">
        <v>597</v>
      </c>
      <c r="LJ4" s="2" t="s">
        <v>596</v>
      </c>
      <c r="LK4" s="2" t="s">
        <v>596</v>
      </c>
      <c r="LL4" s="2" t="s">
        <v>596</v>
      </c>
      <c r="LM4" s="2" t="s">
        <v>596</v>
      </c>
      <c r="LN4" s="2" t="s">
        <v>597</v>
      </c>
      <c r="LW4" s="2" t="s">
        <v>596</v>
      </c>
      <c r="LX4" s="2" t="s">
        <v>597</v>
      </c>
      <c r="LY4" s="2" t="s">
        <v>597</v>
      </c>
      <c r="LZ4" s="2" t="s">
        <v>596</v>
      </c>
      <c r="MA4" s="2" t="s">
        <v>597</v>
      </c>
      <c r="MC4" s="2" t="s">
        <v>597</v>
      </c>
      <c r="MD4" s="2" t="s">
        <v>596</v>
      </c>
      <c r="NA4" s="2" t="s">
        <v>597</v>
      </c>
      <c r="NM4" s="39"/>
      <c r="PV4" s="39"/>
      <c r="PW4" s="2" t="s">
        <v>596</v>
      </c>
      <c r="PX4" s="2" t="s">
        <v>597</v>
      </c>
      <c r="QC4" s="2" t="s">
        <v>596</v>
      </c>
      <c r="QD4" s="2" t="s">
        <v>597</v>
      </c>
      <c r="QS4" s="42" t="s">
        <v>596</v>
      </c>
      <c r="QT4" s="56" t="s">
        <v>597</v>
      </c>
      <c r="RA4" s="2" t="s">
        <v>596</v>
      </c>
      <c r="RB4" s="2" t="s">
        <v>597</v>
      </c>
      <c r="SA4" s="2" t="s">
        <v>597</v>
      </c>
      <c r="SB4" s="2" t="s">
        <v>597</v>
      </c>
      <c r="SC4" s="2" t="s">
        <v>597</v>
      </c>
      <c r="SD4" s="2" t="s">
        <v>596</v>
      </c>
      <c r="SE4" s="2" t="s">
        <v>596</v>
      </c>
      <c r="SF4" s="2" t="s">
        <v>596</v>
      </c>
      <c r="SH4" s="39"/>
      <c r="SI4" s="2" t="s">
        <v>596</v>
      </c>
      <c r="SJ4" s="2" t="s">
        <v>597</v>
      </c>
      <c r="SK4" s="2" t="s">
        <v>597</v>
      </c>
      <c r="SL4" s="42" t="s">
        <v>596</v>
      </c>
      <c r="SM4" s="56" t="s">
        <v>597</v>
      </c>
      <c r="SN4" s="2" t="s">
        <v>596</v>
      </c>
      <c r="SO4" s="2" t="s">
        <v>597</v>
      </c>
      <c r="SP4" s="2" t="s">
        <v>596</v>
      </c>
      <c r="SQ4" s="2" t="s">
        <v>597</v>
      </c>
      <c r="SR4" s="2" t="s">
        <v>596</v>
      </c>
      <c r="SS4" s="2" t="s">
        <v>597</v>
      </c>
      <c r="SU4" s="2" t="s">
        <v>597</v>
      </c>
      <c r="SX4" s="42" t="s">
        <v>596</v>
      </c>
      <c r="SY4" s="56" t="s">
        <v>597</v>
      </c>
      <c r="SZ4" s="73" t="s">
        <v>596</v>
      </c>
      <c r="TA4" s="35" t="s">
        <v>596</v>
      </c>
      <c r="TB4" s="2" t="s">
        <v>596</v>
      </c>
      <c r="TC4" s="2" t="s">
        <v>596</v>
      </c>
      <c r="TD4" s="2" t="s">
        <v>597</v>
      </c>
      <c r="TE4" s="2" t="s">
        <v>596</v>
      </c>
      <c r="TF4" s="2" t="s">
        <v>597</v>
      </c>
      <c r="TG4" s="2" t="s">
        <v>596</v>
      </c>
      <c r="TH4" s="2" t="s">
        <v>597</v>
      </c>
      <c r="TI4" s="35" t="s">
        <v>596</v>
      </c>
      <c r="TJ4" s="35" t="s">
        <v>597</v>
      </c>
      <c r="TK4" s="35" t="s">
        <v>596</v>
      </c>
      <c r="TL4" s="2" t="s">
        <v>596</v>
      </c>
      <c r="TM4" s="2" t="s">
        <v>596</v>
      </c>
      <c r="TN4" s="35" t="s">
        <v>597</v>
      </c>
      <c r="TO4" s="35" t="s">
        <v>596</v>
      </c>
      <c r="TP4" s="35" t="s">
        <v>597</v>
      </c>
      <c r="TQ4" s="35" t="s">
        <v>596</v>
      </c>
      <c r="TR4" s="35" t="s">
        <v>597</v>
      </c>
      <c r="TS4" s="44" t="s">
        <v>596</v>
      </c>
      <c r="TT4" s="156" t="s">
        <v>597</v>
      </c>
      <c r="TU4" s="155" t="s">
        <v>596</v>
      </c>
      <c r="TV4" s="35" t="s">
        <v>597</v>
      </c>
      <c r="TW4" s="35" t="s">
        <v>596</v>
      </c>
      <c r="TX4" s="35" t="s">
        <v>597</v>
      </c>
      <c r="TY4" s="35" t="s">
        <v>596</v>
      </c>
      <c r="TZ4" s="35" t="s">
        <v>597</v>
      </c>
      <c r="UA4" s="35" t="s">
        <v>596</v>
      </c>
      <c r="UB4" s="2" t="s">
        <v>597</v>
      </c>
      <c r="UC4" s="35" t="s">
        <v>596</v>
      </c>
      <c r="UD4" s="2" t="s">
        <v>597</v>
      </c>
      <c r="UE4" s="42"/>
      <c r="UF4" s="73"/>
      <c r="UG4" s="73"/>
      <c r="UH4" s="56"/>
      <c r="UZ4" s="42"/>
      <c r="VB4" s="2" t="s">
        <v>596</v>
      </c>
      <c r="VC4" s="2" t="s">
        <v>596</v>
      </c>
      <c r="VD4" s="2" t="s">
        <v>597</v>
      </c>
      <c r="VE4" s="2" t="s">
        <v>597</v>
      </c>
      <c r="VF4" s="2" t="s">
        <v>597</v>
      </c>
      <c r="VG4" s="2" t="s">
        <v>597</v>
      </c>
    </row>
    <row r="5" spans="1:591" s="2" customFormat="1" ht="30">
      <c r="C5" s="2" t="s">
        <v>1009</v>
      </c>
      <c r="D5" s="2" t="s">
        <v>1151</v>
      </c>
      <c r="E5" s="2" t="s">
        <v>1151</v>
      </c>
      <c r="F5" s="2" t="s">
        <v>1151</v>
      </c>
      <c r="G5" s="2" t="s">
        <v>1151</v>
      </c>
      <c r="H5" s="2" t="s">
        <v>1151</v>
      </c>
      <c r="I5" s="2" t="s">
        <v>1151</v>
      </c>
      <c r="J5" s="2" t="s">
        <v>1151</v>
      </c>
      <c r="K5" s="2" t="s">
        <v>1151</v>
      </c>
      <c r="L5" s="2" t="s">
        <v>1151</v>
      </c>
      <c r="M5" s="2" t="s">
        <v>1151</v>
      </c>
      <c r="N5" s="2" t="s">
        <v>1151</v>
      </c>
      <c r="O5" s="2" t="s">
        <v>1151</v>
      </c>
      <c r="P5" s="2" t="s">
        <v>1151</v>
      </c>
      <c r="Q5" s="2" t="s">
        <v>1151</v>
      </c>
      <c r="R5" s="2" t="s">
        <v>1151</v>
      </c>
      <c r="S5" s="2" t="s">
        <v>1151</v>
      </c>
      <c r="T5" s="2" t="s">
        <v>1151</v>
      </c>
      <c r="U5" s="2" t="s">
        <v>1151</v>
      </c>
      <c r="V5" s="2" t="s">
        <v>1151</v>
      </c>
      <c r="W5" s="2" t="s">
        <v>1151</v>
      </c>
      <c r="X5" s="2" t="s">
        <v>1151</v>
      </c>
      <c r="Y5" s="2" t="s">
        <v>1151</v>
      </c>
      <c r="Z5" s="2" t="s">
        <v>1151</v>
      </c>
      <c r="AA5" s="2" t="s">
        <v>1151</v>
      </c>
      <c r="AB5" s="2" t="s">
        <v>1151</v>
      </c>
      <c r="AC5" s="2" t="s">
        <v>1151</v>
      </c>
      <c r="AD5" s="2" t="s">
        <v>1151</v>
      </c>
      <c r="AE5" s="2" t="s">
        <v>1151</v>
      </c>
      <c r="AF5" s="2" t="s">
        <v>1151</v>
      </c>
      <c r="AG5" s="2" t="s">
        <v>1151</v>
      </c>
      <c r="AH5" s="2" t="s">
        <v>1151</v>
      </c>
      <c r="AI5" s="2" t="s">
        <v>1151</v>
      </c>
      <c r="AJ5" s="2" t="s">
        <v>1151</v>
      </c>
      <c r="AK5" s="2" t="s">
        <v>1151</v>
      </c>
      <c r="AL5" s="2" t="s">
        <v>1151</v>
      </c>
      <c r="AM5" s="2" t="s">
        <v>1151</v>
      </c>
      <c r="AN5" s="2" t="s">
        <v>1151</v>
      </c>
      <c r="AO5" s="2" t="s">
        <v>1151</v>
      </c>
      <c r="AP5" s="2" t="s">
        <v>1151</v>
      </c>
      <c r="AQ5" s="2" t="s">
        <v>1151</v>
      </c>
      <c r="AR5" s="2" t="s">
        <v>1151</v>
      </c>
      <c r="AS5" s="2" t="s">
        <v>1151</v>
      </c>
      <c r="AT5" s="2" t="s">
        <v>1151</v>
      </c>
      <c r="AU5" s="2" t="s">
        <v>1151</v>
      </c>
      <c r="AV5" s="2" t="s">
        <v>1151</v>
      </c>
      <c r="AW5" s="2" t="s">
        <v>1151</v>
      </c>
      <c r="AX5" s="2" t="s">
        <v>1151</v>
      </c>
      <c r="AY5" s="2" t="s">
        <v>1151</v>
      </c>
      <c r="AZ5" s="2" t="s">
        <v>1151</v>
      </c>
      <c r="BA5" s="2" t="s">
        <v>1151</v>
      </c>
      <c r="BB5" s="2" t="s">
        <v>1151</v>
      </c>
      <c r="BC5" s="2" t="s">
        <v>1151</v>
      </c>
      <c r="BD5" s="2" t="s">
        <v>1151</v>
      </c>
      <c r="BE5" s="2" t="s">
        <v>1151</v>
      </c>
      <c r="BF5" s="2" t="s">
        <v>1151</v>
      </c>
      <c r="BG5" s="2" t="s">
        <v>1151</v>
      </c>
      <c r="BH5" s="2" t="s">
        <v>1151</v>
      </c>
      <c r="BI5" s="2" t="s">
        <v>1151</v>
      </c>
      <c r="BJ5" s="2" t="s">
        <v>1151</v>
      </c>
      <c r="BK5" s="2" t="s">
        <v>1151</v>
      </c>
      <c r="BL5" s="2" t="s">
        <v>1151</v>
      </c>
      <c r="BM5" s="2" t="s">
        <v>1151</v>
      </c>
      <c r="BN5" s="2" t="s">
        <v>1151</v>
      </c>
      <c r="BO5" s="2" t="s">
        <v>1151</v>
      </c>
      <c r="BP5" s="2" t="s">
        <v>1151</v>
      </c>
      <c r="BQ5" s="2" t="s">
        <v>1151</v>
      </c>
      <c r="BR5" s="2" t="s">
        <v>1151</v>
      </c>
      <c r="BS5" s="2" t="s">
        <v>1151</v>
      </c>
      <c r="BT5" s="2" t="s">
        <v>1151</v>
      </c>
      <c r="BU5" s="2" t="s">
        <v>1151</v>
      </c>
      <c r="BV5" s="2" t="s">
        <v>1151</v>
      </c>
      <c r="BW5" s="2" t="s">
        <v>1151</v>
      </c>
      <c r="BX5" s="2" t="s">
        <v>1151</v>
      </c>
      <c r="BY5" s="2" t="s">
        <v>1151</v>
      </c>
      <c r="BZ5" s="2" t="s">
        <v>1151</v>
      </c>
      <c r="CA5" s="2" t="s">
        <v>1151</v>
      </c>
      <c r="CB5" s="2" t="s">
        <v>1151</v>
      </c>
      <c r="CC5" s="2" t="s">
        <v>1151</v>
      </c>
      <c r="CD5" s="2" t="s">
        <v>1151</v>
      </c>
      <c r="CE5" s="2" t="s">
        <v>1151</v>
      </c>
      <c r="CF5" s="2" t="s">
        <v>1151</v>
      </c>
      <c r="CG5" s="2" t="s">
        <v>1151</v>
      </c>
      <c r="CH5" s="2" t="s">
        <v>1151</v>
      </c>
      <c r="CI5" s="2" t="s">
        <v>1151</v>
      </c>
      <c r="CJ5" s="2" t="s">
        <v>1151</v>
      </c>
      <c r="CK5" s="2" t="s">
        <v>1151</v>
      </c>
      <c r="CL5" s="2" t="s">
        <v>1151</v>
      </c>
      <c r="CM5" s="2" t="s">
        <v>1151</v>
      </c>
      <c r="CN5" s="2" t="s">
        <v>1151</v>
      </c>
      <c r="CO5" s="2" t="s">
        <v>1151</v>
      </c>
      <c r="CP5" s="2" t="s">
        <v>1151</v>
      </c>
      <c r="CQ5" s="2" t="s">
        <v>1151</v>
      </c>
      <c r="CR5" s="2" t="s">
        <v>1151</v>
      </c>
      <c r="CS5" s="2" t="s">
        <v>1151</v>
      </c>
      <c r="CT5" s="2" t="s">
        <v>1151</v>
      </c>
      <c r="CU5" s="2" t="s">
        <v>1151</v>
      </c>
      <c r="CV5" s="2" t="s">
        <v>1151</v>
      </c>
      <c r="CW5" s="2" t="s">
        <v>1151</v>
      </c>
      <c r="CX5" s="2" t="s">
        <v>1151</v>
      </c>
      <c r="CY5" s="2" t="s">
        <v>1151</v>
      </c>
      <c r="CZ5" s="2" t="s">
        <v>1151</v>
      </c>
      <c r="DA5" s="2" t="s">
        <v>1151</v>
      </c>
      <c r="DB5" s="2" t="s">
        <v>1151</v>
      </c>
      <c r="DC5" s="2" t="s">
        <v>1151</v>
      </c>
      <c r="DD5" s="2" t="s">
        <v>1151</v>
      </c>
      <c r="DE5" s="2" t="s">
        <v>1151</v>
      </c>
      <c r="DF5" s="2" t="s">
        <v>1151</v>
      </c>
      <c r="DG5" s="2" t="s">
        <v>1151</v>
      </c>
      <c r="DH5" s="2" t="s">
        <v>1151</v>
      </c>
      <c r="DI5" s="2" t="s">
        <v>1151</v>
      </c>
      <c r="DJ5" s="2" t="s">
        <v>1151</v>
      </c>
      <c r="DK5" s="2" t="s">
        <v>1151</v>
      </c>
      <c r="DL5" s="2" t="s">
        <v>1151</v>
      </c>
      <c r="DM5" s="2" t="s">
        <v>1151</v>
      </c>
      <c r="DN5" s="2" t="s">
        <v>1151</v>
      </c>
      <c r="DO5" s="2" t="s">
        <v>1151</v>
      </c>
      <c r="DP5" s="2" t="s">
        <v>1151</v>
      </c>
      <c r="DQ5" s="2" t="s">
        <v>1151</v>
      </c>
      <c r="DR5" s="2" t="s">
        <v>1151</v>
      </c>
      <c r="DS5" s="2" t="s">
        <v>1151</v>
      </c>
      <c r="DT5" s="2" t="s">
        <v>1151</v>
      </c>
      <c r="DU5" s="2" t="s">
        <v>1151</v>
      </c>
      <c r="DV5" s="2" t="s">
        <v>1151</v>
      </c>
      <c r="DW5" s="2" t="s">
        <v>1151</v>
      </c>
      <c r="DX5" s="2" t="s">
        <v>1151</v>
      </c>
      <c r="DY5" s="2" t="s">
        <v>1151</v>
      </c>
      <c r="DZ5" s="2" t="s">
        <v>1151</v>
      </c>
      <c r="EA5" s="2" t="s">
        <v>1151</v>
      </c>
      <c r="EB5" s="2" t="s">
        <v>1151</v>
      </c>
      <c r="EC5" s="2" t="s">
        <v>1151</v>
      </c>
      <c r="ED5" s="2" t="s">
        <v>1151</v>
      </c>
      <c r="EE5" s="2" t="s">
        <v>1151</v>
      </c>
      <c r="EF5" s="2" t="s">
        <v>1151</v>
      </c>
      <c r="EG5" s="2" t="s">
        <v>1151</v>
      </c>
      <c r="EH5" s="2" t="s">
        <v>1151</v>
      </c>
      <c r="EI5" s="2" t="s">
        <v>1151</v>
      </c>
      <c r="EJ5" s="2" t="s">
        <v>1151</v>
      </c>
      <c r="EK5" s="2" t="s">
        <v>1151</v>
      </c>
      <c r="EL5" s="2" t="s">
        <v>1151</v>
      </c>
      <c r="EM5" s="2" t="s">
        <v>1151</v>
      </c>
      <c r="EN5" s="2" t="s">
        <v>1151</v>
      </c>
      <c r="EO5" s="2" t="s">
        <v>1151</v>
      </c>
      <c r="EP5" s="2" t="s">
        <v>1151</v>
      </c>
      <c r="EQ5" s="2" t="s">
        <v>1151</v>
      </c>
      <c r="ER5" s="2" t="s">
        <v>1151</v>
      </c>
      <c r="ES5" s="2" t="s">
        <v>1151</v>
      </c>
      <c r="ET5" s="2" t="s">
        <v>1151</v>
      </c>
      <c r="EU5" s="2" t="s">
        <v>1151</v>
      </c>
      <c r="EV5" s="2" t="s">
        <v>1151</v>
      </c>
      <c r="EW5" s="2" t="s">
        <v>1151</v>
      </c>
      <c r="EX5" s="2" t="s">
        <v>1151</v>
      </c>
      <c r="EY5" s="2" t="s">
        <v>1151</v>
      </c>
      <c r="EZ5" s="2" t="s">
        <v>1151</v>
      </c>
      <c r="FA5" s="2" t="s">
        <v>1151</v>
      </c>
      <c r="FB5" s="2" t="s">
        <v>1151</v>
      </c>
      <c r="FC5" s="2" t="s">
        <v>1151</v>
      </c>
      <c r="FD5" s="2" t="s">
        <v>1151</v>
      </c>
      <c r="FE5" s="2" t="s">
        <v>1151</v>
      </c>
      <c r="FF5" s="2" t="s">
        <v>1151</v>
      </c>
      <c r="FG5" s="2" t="s">
        <v>1151</v>
      </c>
      <c r="FH5" s="2" t="s">
        <v>1151</v>
      </c>
      <c r="FI5" s="2" t="s">
        <v>1151</v>
      </c>
      <c r="FJ5" s="2" t="s">
        <v>1151</v>
      </c>
      <c r="FK5" s="2" t="s">
        <v>1151</v>
      </c>
      <c r="FL5" s="2" t="s">
        <v>1151</v>
      </c>
      <c r="FM5" s="2" t="s">
        <v>1151</v>
      </c>
      <c r="FN5" s="2" t="s">
        <v>1151</v>
      </c>
      <c r="FO5" s="2" t="s">
        <v>1151</v>
      </c>
      <c r="FP5" s="2" t="s">
        <v>1151</v>
      </c>
      <c r="FQ5" s="2" t="s">
        <v>1151</v>
      </c>
      <c r="FR5" s="2" t="s">
        <v>1151</v>
      </c>
      <c r="FS5" s="2" t="s">
        <v>1151</v>
      </c>
      <c r="FT5" s="2" t="s">
        <v>1151</v>
      </c>
      <c r="FU5" s="2" t="s">
        <v>1151</v>
      </c>
      <c r="FV5" s="2" t="s">
        <v>1151</v>
      </c>
      <c r="FW5" s="2" t="s">
        <v>1151</v>
      </c>
      <c r="FX5" s="2" t="s">
        <v>1151</v>
      </c>
      <c r="FY5" s="2" t="s">
        <v>1151</v>
      </c>
      <c r="FZ5" s="2" t="s">
        <v>1151</v>
      </c>
      <c r="GA5" s="2" t="s">
        <v>1151</v>
      </c>
      <c r="GB5" s="39" t="s">
        <v>1151</v>
      </c>
      <c r="GC5" s="2" t="s">
        <v>1151</v>
      </c>
      <c r="GD5" s="2" t="s">
        <v>1151</v>
      </c>
      <c r="GE5" s="2" t="s">
        <v>1151</v>
      </c>
      <c r="GF5" s="2" t="s">
        <v>1151</v>
      </c>
      <c r="GG5" s="2" t="s">
        <v>1151</v>
      </c>
      <c r="GH5" s="2" t="s">
        <v>1151</v>
      </c>
      <c r="GI5" s="2" t="s">
        <v>1151</v>
      </c>
      <c r="GJ5" s="2" t="s">
        <v>1151</v>
      </c>
      <c r="GK5" s="2" t="s">
        <v>1151</v>
      </c>
      <c r="GL5" s="2" t="s">
        <v>1151</v>
      </c>
      <c r="GM5" s="2" t="s">
        <v>1151</v>
      </c>
      <c r="GN5" s="2" t="s">
        <v>1151</v>
      </c>
      <c r="GO5" s="2" t="s">
        <v>1151</v>
      </c>
      <c r="GP5" s="2" t="s">
        <v>1151</v>
      </c>
      <c r="GQ5" s="2" t="s">
        <v>1151</v>
      </c>
      <c r="GR5" s="2" t="s">
        <v>1151</v>
      </c>
      <c r="GS5" s="2" t="s">
        <v>1151</v>
      </c>
      <c r="GT5" s="2" t="s">
        <v>1151</v>
      </c>
      <c r="GU5" s="2" t="s">
        <v>1151</v>
      </c>
      <c r="GV5" s="2" t="s">
        <v>1151</v>
      </c>
      <c r="GW5" s="2" t="s">
        <v>1151</v>
      </c>
      <c r="GX5" s="2" t="s">
        <v>1151</v>
      </c>
      <c r="GY5" s="42" t="s">
        <v>1151</v>
      </c>
      <c r="GZ5" s="73" t="s">
        <v>1151</v>
      </c>
      <c r="HA5" s="73" t="s">
        <v>1151</v>
      </c>
      <c r="HB5" s="73" t="s">
        <v>1151</v>
      </c>
      <c r="HC5" s="73" t="s">
        <v>1151</v>
      </c>
      <c r="HD5" s="73" t="s">
        <v>1151</v>
      </c>
      <c r="HE5" s="56" t="s">
        <v>1151</v>
      </c>
      <c r="HF5" s="2" t="s">
        <v>1151</v>
      </c>
      <c r="HG5" s="2" t="s">
        <v>1151</v>
      </c>
      <c r="HH5" s="2" t="s">
        <v>1151</v>
      </c>
      <c r="HI5" s="2" t="s">
        <v>1151</v>
      </c>
      <c r="HJ5" s="2" t="s">
        <v>1151</v>
      </c>
      <c r="HK5" s="2" t="s">
        <v>1151</v>
      </c>
      <c r="HL5" s="2" t="s">
        <v>1151</v>
      </c>
      <c r="HM5" s="2" t="s">
        <v>1151</v>
      </c>
      <c r="HN5" s="2" t="s">
        <v>1151</v>
      </c>
      <c r="HO5" s="2" t="s">
        <v>1151</v>
      </c>
      <c r="HP5" s="2" t="s">
        <v>1151</v>
      </c>
      <c r="HQ5" s="2" t="s">
        <v>1151</v>
      </c>
      <c r="HR5" s="2" t="s">
        <v>1151</v>
      </c>
      <c r="HS5" s="2" t="s">
        <v>1151</v>
      </c>
      <c r="HT5" s="2" t="s">
        <v>1151</v>
      </c>
      <c r="HU5" s="2" t="s">
        <v>1151</v>
      </c>
      <c r="HV5" s="2" t="s">
        <v>1151</v>
      </c>
      <c r="HW5" s="2" t="s">
        <v>1151</v>
      </c>
      <c r="HX5" s="2" t="s">
        <v>1151</v>
      </c>
      <c r="HY5" s="2" t="s">
        <v>1151</v>
      </c>
      <c r="HZ5" s="2" t="s">
        <v>1151</v>
      </c>
      <c r="IA5" s="42" t="s">
        <v>1151</v>
      </c>
      <c r="IB5" s="2" t="s">
        <v>1151</v>
      </c>
      <c r="IC5" s="2" t="s">
        <v>1151</v>
      </c>
      <c r="ID5" s="2" t="s">
        <v>1151</v>
      </c>
      <c r="IE5" s="2" t="s">
        <v>1151</v>
      </c>
      <c r="IF5" s="2" t="s">
        <v>1151</v>
      </c>
      <c r="IG5" s="2" t="s">
        <v>1151</v>
      </c>
      <c r="IH5" s="2" t="s">
        <v>1151</v>
      </c>
      <c r="II5" s="2" t="s">
        <v>1151</v>
      </c>
      <c r="IJ5" s="2" t="s">
        <v>1151</v>
      </c>
      <c r="IK5" s="2" t="s">
        <v>1151</v>
      </c>
      <c r="IL5" s="39" t="s">
        <v>1151</v>
      </c>
      <c r="IM5" s="2" t="s">
        <v>1151</v>
      </c>
      <c r="IN5" s="2" t="s">
        <v>1151</v>
      </c>
      <c r="IO5" s="2" t="s">
        <v>1151</v>
      </c>
      <c r="IP5" s="2" t="s">
        <v>1151</v>
      </c>
      <c r="IQ5" s="2" t="s">
        <v>1151</v>
      </c>
      <c r="IR5" s="2" t="s">
        <v>1151</v>
      </c>
      <c r="IS5" s="2" t="s">
        <v>1151</v>
      </c>
      <c r="IT5" s="2" t="s">
        <v>1151</v>
      </c>
      <c r="IU5" s="2" t="s">
        <v>1151</v>
      </c>
      <c r="IV5" s="2" t="s">
        <v>1151</v>
      </c>
      <c r="IW5" s="2" t="s">
        <v>1151</v>
      </c>
      <c r="IX5" s="2" t="s">
        <v>1151</v>
      </c>
      <c r="IY5" s="2" t="s">
        <v>1151</v>
      </c>
      <c r="IZ5" s="2" t="s">
        <v>1151</v>
      </c>
      <c r="JA5" s="42" t="s">
        <v>1151</v>
      </c>
      <c r="JB5" s="73" t="s">
        <v>1151</v>
      </c>
      <c r="JC5" s="73" t="s">
        <v>1151</v>
      </c>
      <c r="JD5" s="56" t="s">
        <v>1151</v>
      </c>
      <c r="JE5" s="73" t="s">
        <v>1151</v>
      </c>
      <c r="JF5" s="73" t="s">
        <v>1151</v>
      </c>
      <c r="JG5" s="73" t="s">
        <v>1151</v>
      </c>
      <c r="JH5" s="73" t="s">
        <v>1151</v>
      </c>
      <c r="JI5" s="73" t="s">
        <v>1151</v>
      </c>
      <c r="JJ5" s="73" t="s">
        <v>1151</v>
      </c>
      <c r="JK5" s="42" t="s">
        <v>1151</v>
      </c>
      <c r="JL5" s="56" t="s">
        <v>1151</v>
      </c>
      <c r="JM5" s="73" t="s">
        <v>1151</v>
      </c>
      <c r="JN5" s="2" t="s">
        <v>1151</v>
      </c>
      <c r="JO5" s="2" t="s">
        <v>1151</v>
      </c>
      <c r="JP5" s="2" t="s">
        <v>1151</v>
      </c>
      <c r="JQ5" s="2" t="s">
        <v>1151</v>
      </c>
      <c r="JR5" s="2" t="s">
        <v>1151</v>
      </c>
      <c r="JS5" s="73" t="s">
        <v>1151</v>
      </c>
      <c r="JT5" s="42" t="s">
        <v>1151</v>
      </c>
      <c r="JU5" s="2" t="s">
        <v>1151</v>
      </c>
      <c r="JV5" s="2" t="s">
        <v>1151</v>
      </c>
      <c r="JW5" s="2" t="s">
        <v>1151</v>
      </c>
      <c r="JX5" s="2" t="s">
        <v>1151</v>
      </c>
      <c r="JY5" s="2" t="s">
        <v>1151</v>
      </c>
      <c r="JZ5" s="2" t="s">
        <v>1151</v>
      </c>
      <c r="KA5" s="2" t="s">
        <v>1151</v>
      </c>
      <c r="KB5" s="2" t="s">
        <v>1151</v>
      </c>
      <c r="KC5" s="2" t="s">
        <v>1151</v>
      </c>
      <c r="KD5" s="2" t="s">
        <v>1151</v>
      </c>
      <c r="KE5" s="2" t="s">
        <v>1151</v>
      </c>
      <c r="KF5" s="2" t="s">
        <v>1151</v>
      </c>
      <c r="KG5" s="2" t="s">
        <v>1151</v>
      </c>
      <c r="KH5" s="2" t="s">
        <v>1151</v>
      </c>
      <c r="KI5" s="2" t="s">
        <v>1151</v>
      </c>
      <c r="KJ5" s="2" t="s">
        <v>1151</v>
      </c>
      <c r="KK5" s="2" t="s">
        <v>1151</v>
      </c>
      <c r="KL5" s="2" t="s">
        <v>1151</v>
      </c>
      <c r="KM5" s="2" t="s">
        <v>1151</v>
      </c>
      <c r="KN5" s="2" t="s">
        <v>1151</v>
      </c>
      <c r="KO5" s="2" t="s">
        <v>1151</v>
      </c>
      <c r="KP5" s="2" t="s">
        <v>1151</v>
      </c>
      <c r="KQ5" s="2" t="s">
        <v>1151</v>
      </c>
      <c r="KR5" s="2" t="s">
        <v>1151</v>
      </c>
      <c r="KS5" s="2" t="s">
        <v>1151</v>
      </c>
      <c r="KT5" s="2" t="s">
        <v>1151</v>
      </c>
      <c r="KU5" s="2" t="s">
        <v>1151</v>
      </c>
      <c r="KV5" s="2" t="s">
        <v>1151</v>
      </c>
      <c r="KW5" s="2" t="s">
        <v>1151</v>
      </c>
      <c r="KX5" s="2" t="s">
        <v>1151</v>
      </c>
      <c r="KY5" s="2" t="s">
        <v>1151</v>
      </c>
      <c r="KZ5" s="2" t="s">
        <v>1151</v>
      </c>
      <c r="LA5" s="39" t="s">
        <v>1151</v>
      </c>
      <c r="LB5" s="2" t="s">
        <v>1151</v>
      </c>
      <c r="LC5" s="2" t="s">
        <v>1151</v>
      </c>
      <c r="LD5" s="2" t="s">
        <v>1151</v>
      </c>
      <c r="LE5" s="2" t="s">
        <v>1151</v>
      </c>
      <c r="LF5" s="2" t="s">
        <v>1151</v>
      </c>
      <c r="LG5" s="2" t="s">
        <v>1151</v>
      </c>
      <c r="LH5" s="2" t="s">
        <v>1151</v>
      </c>
      <c r="LI5" s="2" t="s">
        <v>1151</v>
      </c>
      <c r="LJ5" s="2" t="s">
        <v>1151</v>
      </c>
      <c r="LK5" s="2" t="s">
        <v>1151</v>
      </c>
      <c r="LL5" s="2" t="s">
        <v>1151</v>
      </c>
      <c r="LM5" s="2" t="s">
        <v>1151</v>
      </c>
      <c r="LN5" s="2" t="s">
        <v>1151</v>
      </c>
      <c r="LO5" s="2" t="s">
        <v>1151</v>
      </c>
      <c r="LP5" s="2" t="s">
        <v>1151</v>
      </c>
      <c r="LQ5" s="2" t="s">
        <v>1151</v>
      </c>
      <c r="LR5" s="2" t="s">
        <v>1151</v>
      </c>
      <c r="LS5" s="2" t="s">
        <v>1151</v>
      </c>
      <c r="LT5" s="2" t="s">
        <v>1151</v>
      </c>
      <c r="LU5" s="2" t="s">
        <v>1151</v>
      </c>
      <c r="LV5" s="2" t="s">
        <v>1151</v>
      </c>
      <c r="LW5" s="2" t="s">
        <v>1151</v>
      </c>
      <c r="LX5" s="2" t="s">
        <v>1151</v>
      </c>
      <c r="LY5" s="2" t="s">
        <v>1151</v>
      </c>
      <c r="LZ5" s="2" t="s">
        <v>1151</v>
      </c>
      <c r="MA5" s="2" t="s">
        <v>1151</v>
      </c>
      <c r="MB5" s="2" t="s">
        <v>1151</v>
      </c>
      <c r="MC5" s="2" t="s">
        <v>1151</v>
      </c>
      <c r="MD5" s="2" t="s">
        <v>1151</v>
      </c>
      <c r="ME5" s="2" t="s">
        <v>1151</v>
      </c>
      <c r="MF5" s="2" t="s">
        <v>1151</v>
      </c>
      <c r="MG5" s="2" t="s">
        <v>1151</v>
      </c>
      <c r="MH5" s="2" t="s">
        <v>1151</v>
      </c>
      <c r="MI5" s="2" t="s">
        <v>1151</v>
      </c>
      <c r="MJ5" s="2" t="s">
        <v>1151</v>
      </c>
      <c r="MK5" s="2" t="s">
        <v>1151</v>
      </c>
      <c r="ML5" s="2" t="s">
        <v>1151</v>
      </c>
      <c r="MM5" s="2" t="s">
        <v>1151</v>
      </c>
      <c r="MN5" s="2" t="s">
        <v>1151</v>
      </c>
      <c r="MO5" s="2" t="s">
        <v>1151</v>
      </c>
      <c r="MP5" s="2" t="s">
        <v>1151</v>
      </c>
      <c r="MQ5" s="2" t="s">
        <v>1151</v>
      </c>
      <c r="MR5" s="2" t="s">
        <v>1151</v>
      </c>
      <c r="MS5" s="2" t="s">
        <v>1151</v>
      </c>
      <c r="MT5" s="2" t="s">
        <v>1151</v>
      </c>
      <c r="MU5" s="2" t="s">
        <v>1151</v>
      </c>
      <c r="MV5" s="2" t="s">
        <v>1151</v>
      </c>
      <c r="MW5" s="2" t="s">
        <v>1151</v>
      </c>
      <c r="MX5" s="2" t="s">
        <v>1151</v>
      </c>
      <c r="MY5" s="2" t="s">
        <v>1151</v>
      </c>
      <c r="MZ5" s="2" t="s">
        <v>1151</v>
      </c>
      <c r="NA5" s="2" t="s">
        <v>1151</v>
      </c>
      <c r="NB5" s="2" t="s">
        <v>1151</v>
      </c>
      <c r="NC5" s="2" t="s">
        <v>1151</v>
      </c>
      <c r="ND5" s="2" t="s">
        <v>1151</v>
      </c>
      <c r="NE5" s="2" t="s">
        <v>1151</v>
      </c>
      <c r="NF5" s="2" t="s">
        <v>1151</v>
      </c>
      <c r="NG5" s="2" t="s">
        <v>1151</v>
      </c>
      <c r="NH5" s="2" t="s">
        <v>1151</v>
      </c>
      <c r="NI5" s="2" t="s">
        <v>1151</v>
      </c>
      <c r="NJ5" s="2" t="s">
        <v>1151</v>
      </c>
      <c r="NK5" s="2" t="s">
        <v>1151</v>
      </c>
      <c r="NL5" s="2" t="s">
        <v>1151</v>
      </c>
      <c r="NM5" s="39" t="s">
        <v>1151</v>
      </c>
      <c r="NN5" s="2" t="s">
        <v>1151</v>
      </c>
      <c r="NO5" s="2" t="s">
        <v>1151</v>
      </c>
      <c r="NP5" s="2" t="s">
        <v>1151</v>
      </c>
      <c r="NQ5" s="2" t="s">
        <v>1151</v>
      </c>
      <c r="NR5" s="2" t="s">
        <v>1151</v>
      </c>
      <c r="NS5" s="2" t="s">
        <v>1151</v>
      </c>
      <c r="NT5" s="2" t="s">
        <v>1151</v>
      </c>
      <c r="NU5" s="2" t="s">
        <v>1151</v>
      </c>
      <c r="NV5" s="2" t="s">
        <v>1151</v>
      </c>
      <c r="NW5" s="2" t="s">
        <v>1151</v>
      </c>
      <c r="NX5" s="2" t="s">
        <v>1151</v>
      </c>
      <c r="NY5" s="2" t="s">
        <v>1151</v>
      </c>
      <c r="NZ5" s="2" t="s">
        <v>1151</v>
      </c>
      <c r="OA5" s="2" t="s">
        <v>1151</v>
      </c>
      <c r="OB5" s="2" t="s">
        <v>1151</v>
      </c>
      <c r="OC5" s="2" t="s">
        <v>1151</v>
      </c>
      <c r="OD5" s="2" t="s">
        <v>1151</v>
      </c>
      <c r="OE5" s="2" t="s">
        <v>1151</v>
      </c>
      <c r="OF5" s="2" t="s">
        <v>1151</v>
      </c>
      <c r="OG5" s="2" t="s">
        <v>1151</v>
      </c>
      <c r="OH5" s="2" t="s">
        <v>1151</v>
      </c>
      <c r="OI5" s="2" t="s">
        <v>1151</v>
      </c>
      <c r="OJ5" s="2" t="s">
        <v>1151</v>
      </c>
      <c r="OK5" s="2" t="s">
        <v>1151</v>
      </c>
      <c r="OL5" s="2" t="s">
        <v>1151</v>
      </c>
      <c r="OM5" s="2" t="s">
        <v>1151</v>
      </c>
      <c r="ON5" s="2" t="s">
        <v>1151</v>
      </c>
      <c r="OO5" s="2" t="s">
        <v>1151</v>
      </c>
      <c r="OP5" s="2" t="s">
        <v>1151</v>
      </c>
      <c r="OQ5" s="2" t="s">
        <v>1151</v>
      </c>
      <c r="OR5" s="2" t="s">
        <v>1151</v>
      </c>
      <c r="OS5" s="2" t="s">
        <v>1151</v>
      </c>
      <c r="OT5" s="2" t="s">
        <v>1151</v>
      </c>
      <c r="OU5" s="2" t="s">
        <v>1151</v>
      </c>
      <c r="OV5" s="2" t="s">
        <v>1151</v>
      </c>
      <c r="OW5" s="2" t="s">
        <v>1151</v>
      </c>
      <c r="OX5" s="2" t="s">
        <v>1151</v>
      </c>
      <c r="OY5" s="2" t="s">
        <v>1151</v>
      </c>
      <c r="OZ5" s="2" t="s">
        <v>1151</v>
      </c>
      <c r="PA5" s="2" t="s">
        <v>1151</v>
      </c>
      <c r="PB5" s="2" t="s">
        <v>1151</v>
      </c>
      <c r="PC5" s="2" t="s">
        <v>1151</v>
      </c>
      <c r="PD5" s="2" t="s">
        <v>1151</v>
      </c>
      <c r="PE5" s="2" t="s">
        <v>1151</v>
      </c>
      <c r="PF5" s="2" t="s">
        <v>1151</v>
      </c>
      <c r="PG5" s="2" t="s">
        <v>1151</v>
      </c>
      <c r="PH5" s="2" t="s">
        <v>1151</v>
      </c>
      <c r="PI5" s="2" t="s">
        <v>1151</v>
      </c>
      <c r="PJ5" s="2" t="s">
        <v>1151</v>
      </c>
      <c r="PK5" s="2" t="s">
        <v>1151</v>
      </c>
      <c r="PL5" s="2" t="s">
        <v>1151</v>
      </c>
      <c r="PM5" s="2" t="s">
        <v>1151</v>
      </c>
      <c r="PN5" s="2" t="s">
        <v>1151</v>
      </c>
      <c r="PO5" s="2" t="s">
        <v>1151</v>
      </c>
      <c r="PP5" s="2" t="s">
        <v>1151</v>
      </c>
      <c r="PQ5" s="2" t="s">
        <v>1151</v>
      </c>
      <c r="PR5" s="2" t="s">
        <v>1151</v>
      </c>
      <c r="PS5" s="2" t="s">
        <v>1151</v>
      </c>
      <c r="PT5" s="2" t="s">
        <v>1151</v>
      </c>
      <c r="PU5" s="2" t="s">
        <v>1151</v>
      </c>
      <c r="PV5" s="39" t="s">
        <v>1151</v>
      </c>
      <c r="PW5" s="2" t="s">
        <v>1151</v>
      </c>
      <c r="PX5" s="2" t="s">
        <v>1151</v>
      </c>
      <c r="PY5" s="2" t="s">
        <v>1151</v>
      </c>
      <c r="PZ5" s="2" t="s">
        <v>1151</v>
      </c>
      <c r="QA5" s="2" t="s">
        <v>1151</v>
      </c>
      <c r="QB5" s="2" t="s">
        <v>1151</v>
      </c>
      <c r="QC5" s="2" t="s">
        <v>1151</v>
      </c>
      <c r="QD5" s="2" t="s">
        <v>1151</v>
      </c>
      <c r="QE5" s="2" t="s">
        <v>1151</v>
      </c>
      <c r="QF5" s="2" t="s">
        <v>1151</v>
      </c>
      <c r="QG5" s="2" t="s">
        <v>1151</v>
      </c>
      <c r="QH5" s="2" t="s">
        <v>1151</v>
      </c>
      <c r="QI5" s="2" t="s">
        <v>1151</v>
      </c>
      <c r="QJ5" s="2" t="s">
        <v>1151</v>
      </c>
      <c r="QK5" s="2" t="s">
        <v>1151</v>
      </c>
      <c r="QL5" s="2" t="s">
        <v>1151</v>
      </c>
      <c r="QM5" s="2" t="s">
        <v>1151</v>
      </c>
      <c r="QN5" s="2" t="s">
        <v>1151</v>
      </c>
      <c r="QO5" s="2" t="s">
        <v>1151</v>
      </c>
      <c r="QP5" s="2" t="s">
        <v>1151</v>
      </c>
      <c r="QQ5" s="2" t="s">
        <v>1151</v>
      </c>
      <c r="QR5" s="2" t="s">
        <v>1151</v>
      </c>
      <c r="QS5" s="42" t="s">
        <v>1151</v>
      </c>
      <c r="QT5" s="56" t="s">
        <v>1151</v>
      </c>
      <c r="QU5" s="2" t="s">
        <v>1151</v>
      </c>
      <c r="QV5" s="2" t="s">
        <v>1151</v>
      </c>
      <c r="QW5" s="2" t="s">
        <v>1151</v>
      </c>
      <c r="QX5" s="2" t="s">
        <v>1151</v>
      </c>
      <c r="QY5" s="2" t="s">
        <v>1151</v>
      </c>
      <c r="QZ5" s="2" t="s">
        <v>1151</v>
      </c>
      <c r="RA5" s="2" t="s">
        <v>1151</v>
      </c>
      <c r="RB5" s="2" t="s">
        <v>1151</v>
      </c>
      <c r="RC5" s="2" t="s">
        <v>1151</v>
      </c>
      <c r="RD5" s="2" t="s">
        <v>1151</v>
      </c>
      <c r="RE5" s="2" t="s">
        <v>1151</v>
      </c>
      <c r="RF5" s="2" t="s">
        <v>1151</v>
      </c>
      <c r="RG5" s="2" t="s">
        <v>1151</v>
      </c>
      <c r="RH5" s="2" t="s">
        <v>1151</v>
      </c>
      <c r="RI5" s="2" t="s">
        <v>1151</v>
      </c>
      <c r="RJ5" s="2" t="s">
        <v>1151</v>
      </c>
      <c r="RK5" s="2" t="s">
        <v>1151</v>
      </c>
      <c r="RL5" s="2" t="s">
        <v>1151</v>
      </c>
      <c r="RM5" s="2" t="s">
        <v>1151</v>
      </c>
      <c r="RN5" s="2" t="s">
        <v>1151</v>
      </c>
      <c r="RO5" s="2" t="s">
        <v>1151</v>
      </c>
      <c r="RP5" s="2" t="s">
        <v>1151</v>
      </c>
      <c r="RQ5" s="2" t="s">
        <v>1151</v>
      </c>
      <c r="RR5" s="2" t="s">
        <v>1151</v>
      </c>
      <c r="RS5" s="2" t="s">
        <v>1151</v>
      </c>
      <c r="RT5" s="2" t="s">
        <v>1151</v>
      </c>
      <c r="RU5" s="2" t="s">
        <v>1151</v>
      </c>
      <c r="RV5" s="2" t="s">
        <v>1151</v>
      </c>
      <c r="RW5" s="2" t="s">
        <v>1151</v>
      </c>
      <c r="RX5" s="2" t="s">
        <v>1151</v>
      </c>
      <c r="RY5" s="2" t="s">
        <v>1151</v>
      </c>
      <c r="RZ5" s="2" t="s">
        <v>1151</v>
      </c>
      <c r="SA5" s="2" t="s">
        <v>1151</v>
      </c>
      <c r="SB5" s="2" t="s">
        <v>1151</v>
      </c>
      <c r="SC5" s="2" t="s">
        <v>1151</v>
      </c>
      <c r="SD5" s="2" t="s">
        <v>1151</v>
      </c>
      <c r="SE5" s="2" t="s">
        <v>1151</v>
      </c>
      <c r="SF5" s="2" t="s">
        <v>1151</v>
      </c>
      <c r="SG5" s="2" t="s">
        <v>1151</v>
      </c>
      <c r="SH5" s="39" t="s">
        <v>1151</v>
      </c>
      <c r="SI5" s="2" t="s">
        <v>1151</v>
      </c>
      <c r="SJ5" s="2" t="s">
        <v>1151</v>
      </c>
      <c r="SK5" s="2" t="s">
        <v>1151</v>
      </c>
      <c r="SL5" s="42" t="s">
        <v>1151</v>
      </c>
      <c r="SM5" s="56" t="s">
        <v>1151</v>
      </c>
      <c r="SN5" s="2" t="s">
        <v>1151</v>
      </c>
      <c r="SO5" s="2" t="s">
        <v>1151</v>
      </c>
      <c r="SP5" s="2" t="s">
        <v>1151</v>
      </c>
      <c r="SQ5" s="2" t="s">
        <v>1151</v>
      </c>
      <c r="SR5" s="2" t="s">
        <v>1151</v>
      </c>
      <c r="SS5" s="2" t="s">
        <v>1151</v>
      </c>
      <c r="ST5" s="2" t="s">
        <v>1151</v>
      </c>
      <c r="SU5" s="2" t="s">
        <v>1151</v>
      </c>
      <c r="SV5" s="2" t="s">
        <v>1151</v>
      </c>
      <c r="SW5" s="2" t="s">
        <v>1151</v>
      </c>
      <c r="SX5" s="42" t="s">
        <v>1151</v>
      </c>
      <c r="SY5" s="56" t="s">
        <v>1151</v>
      </c>
      <c r="SZ5" s="73" t="s">
        <v>1151</v>
      </c>
      <c r="TA5" s="35" t="s">
        <v>1151</v>
      </c>
      <c r="TB5" s="2" t="s">
        <v>1151</v>
      </c>
      <c r="TC5" s="2" t="s">
        <v>1151</v>
      </c>
      <c r="TD5" s="2" t="s">
        <v>1151</v>
      </c>
      <c r="TE5" s="2" t="s">
        <v>1151</v>
      </c>
      <c r="TF5" s="2" t="s">
        <v>1151</v>
      </c>
      <c r="TG5" s="2" t="s">
        <v>1151</v>
      </c>
      <c r="TH5" s="2" t="s">
        <v>1151</v>
      </c>
      <c r="TI5" s="35" t="s">
        <v>1151</v>
      </c>
      <c r="TJ5" s="35" t="s">
        <v>1151</v>
      </c>
      <c r="TK5" s="35" t="s">
        <v>1151</v>
      </c>
      <c r="TL5" s="2" t="s">
        <v>1151</v>
      </c>
      <c r="TM5" s="2" t="s">
        <v>1151</v>
      </c>
      <c r="TN5" s="2" t="s">
        <v>1151</v>
      </c>
      <c r="TO5" s="2" t="s">
        <v>1151</v>
      </c>
      <c r="TP5" s="2" t="s">
        <v>1151</v>
      </c>
      <c r="TQ5" s="35" t="s">
        <v>1151</v>
      </c>
      <c r="TR5" s="35" t="s">
        <v>1151</v>
      </c>
      <c r="TS5" s="42" t="s">
        <v>1151</v>
      </c>
      <c r="TT5" s="56" t="s">
        <v>1151</v>
      </c>
      <c r="TU5" s="73" t="s">
        <v>1151</v>
      </c>
      <c r="TV5" s="2" t="s">
        <v>1151</v>
      </c>
      <c r="TW5" s="2" t="s">
        <v>1151</v>
      </c>
      <c r="TX5" s="2" t="s">
        <v>1151</v>
      </c>
      <c r="TY5" s="2" t="s">
        <v>1151</v>
      </c>
      <c r="TZ5" s="2" t="s">
        <v>1151</v>
      </c>
      <c r="UA5" s="2" t="s">
        <v>1151</v>
      </c>
      <c r="UB5" s="2" t="s">
        <v>1151</v>
      </c>
      <c r="UC5" s="2" t="s">
        <v>1151</v>
      </c>
      <c r="UD5" s="2" t="s">
        <v>1151</v>
      </c>
      <c r="UE5" s="42" t="s">
        <v>1151</v>
      </c>
      <c r="UF5" s="73" t="s">
        <v>1151</v>
      </c>
      <c r="UG5" s="73" t="s">
        <v>1151</v>
      </c>
      <c r="UH5" s="56" t="s">
        <v>1151</v>
      </c>
      <c r="UI5" s="2" t="s">
        <v>1151</v>
      </c>
      <c r="UJ5" s="2" t="s">
        <v>1151</v>
      </c>
      <c r="UK5" s="2" t="s">
        <v>1151</v>
      </c>
      <c r="UL5" s="2" t="s">
        <v>1151</v>
      </c>
      <c r="UM5" s="2" t="s">
        <v>1151</v>
      </c>
      <c r="UN5" s="2" t="s">
        <v>1151</v>
      </c>
      <c r="UO5" s="2" t="s">
        <v>1151</v>
      </c>
      <c r="UP5" s="2" t="s">
        <v>1151</v>
      </c>
      <c r="UQ5" s="2" t="s">
        <v>1151</v>
      </c>
      <c r="UR5" s="2" t="s">
        <v>1151</v>
      </c>
      <c r="US5" s="2" t="s">
        <v>1151</v>
      </c>
      <c r="UT5" s="2" t="s">
        <v>1151</v>
      </c>
      <c r="UU5" s="2" t="s">
        <v>1151</v>
      </c>
      <c r="UV5" s="2" t="s">
        <v>1151</v>
      </c>
      <c r="UW5" s="2" t="s">
        <v>1151</v>
      </c>
      <c r="UX5" s="2" t="s">
        <v>1151</v>
      </c>
      <c r="UY5" s="2" t="s">
        <v>1151</v>
      </c>
      <c r="UZ5" s="42" t="s">
        <v>1151</v>
      </c>
      <c r="VA5" s="2" t="s">
        <v>1151</v>
      </c>
      <c r="VB5" s="2" t="s">
        <v>1151</v>
      </c>
      <c r="VC5" s="2" t="s">
        <v>1151</v>
      </c>
      <c r="VD5" s="2" t="s">
        <v>1151</v>
      </c>
      <c r="VE5" s="2" t="s">
        <v>1151</v>
      </c>
      <c r="VF5" s="2" t="s">
        <v>1151</v>
      </c>
      <c r="VG5" s="2" t="s">
        <v>1151</v>
      </c>
      <c r="VH5" s="2" t="s">
        <v>1151</v>
      </c>
      <c r="VI5" s="2" t="s">
        <v>1151</v>
      </c>
      <c r="VJ5" s="2" t="s">
        <v>1151</v>
      </c>
      <c r="VK5" s="2" t="s">
        <v>1151</v>
      </c>
      <c r="VL5" s="2" t="s">
        <v>1151</v>
      </c>
      <c r="VM5" s="2" t="s">
        <v>1151</v>
      </c>
      <c r="VN5" s="2" t="s">
        <v>1151</v>
      </c>
      <c r="VO5" s="2" t="s">
        <v>1151</v>
      </c>
      <c r="VP5" s="2" t="s">
        <v>1151</v>
      </c>
      <c r="VQ5" s="2" t="s">
        <v>1151</v>
      </c>
    </row>
    <row r="6" spans="1:591" s="2" customFormat="1" ht="30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35</v>
      </c>
      <c r="AK6" s="2" t="s">
        <v>36</v>
      </c>
      <c r="AL6" s="2" t="s">
        <v>37</v>
      </c>
      <c r="AM6" s="2" t="s">
        <v>38</v>
      </c>
      <c r="AN6" s="2" t="s">
        <v>39</v>
      </c>
      <c r="AO6" s="2" t="s">
        <v>40</v>
      </c>
      <c r="AP6" s="2" t="s">
        <v>41</v>
      </c>
      <c r="AQ6" s="2" t="s">
        <v>42</v>
      </c>
      <c r="AR6" s="2" t="s">
        <v>43</v>
      </c>
      <c r="AS6" s="2" t="s">
        <v>44</v>
      </c>
      <c r="AT6" s="2" t="s">
        <v>45</v>
      </c>
      <c r="AU6" s="2" t="s">
        <v>46</v>
      </c>
      <c r="AV6" s="2" t="s">
        <v>47</v>
      </c>
      <c r="AW6" s="2" t="s">
        <v>48</v>
      </c>
      <c r="AX6" s="2" t="s">
        <v>49</v>
      </c>
      <c r="AY6" s="2" t="s">
        <v>50</v>
      </c>
      <c r="AZ6" s="2" t="s">
        <v>51</v>
      </c>
      <c r="BA6" s="2" t="s">
        <v>52</v>
      </c>
      <c r="BB6" s="2" t="s">
        <v>53</v>
      </c>
      <c r="BC6" s="2" t="s">
        <v>54</v>
      </c>
      <c r="BD6" s="2" t="s">
        <v>55</v>
      </c>
      <c r="BE6" s="2" t="s">
        <v>56</v>
      </c>
      <c r="BF6" s="2" t="s">
        <v>57</v>
      </c>
      <c r="BG6" s="2" t="s">
        <v>58</v>
      </c>
      <c r="BH6" s="2" t="s">
        <v>59</v>
      </c>
      <c r="BI6" s="2" t="s">
        <v>60</v>
      </c>
      <c r="BJ6" s="2" t="s">
        <v>61</v>
      </c>
      <c r="BK6" s="2" t="s">
        <v>62</v>
      </c>
      <c r="BL6" s="2" t="s">
        <v>63</v>
      </c>
      <c r="BM6" s="2" t="s">
        <v>64</v>
      </c>
      <c r="BN6" s="2" t="s">
        <v>65</v>
      </c>
      <c r="BO6" s="2" t="s">
        <v>66</v>
      </c>
      <c r="BP6" s="2" t="s">
        <v>67</v>
      </c>
      <c r="BQ6" s="2" t="s">
        <v>68</v>
      </c>
      <c r="BR6" s="2" t="s">
        <v>69</v>
      </c>
      <c r="BS6" s="2" t="s">
        <v>70</v>
      </c>
      <c r="BT6" s="2" t="s">
        <v>71</v>
      </c>
      <c r="BU6" s="2" t="s">
        <v>72</v>
      </c>
      <c r="BV6" s="2" t="s">
        <v>73</v>
      </c>
      <c r="BW6" s="2" t="s">
        <v>74</v>
      </c>
      <c r="BX6" s="2" t="s">
        <v>75</v>
      </c>
      <c r="BY6" s="2" t="s">
        <v>76</v>
      </c>
      <c r="BZ6" s="2" t="s">
        <v>77</v>
      </c>
      <c r="CA6" s="2" t="s">
        <v>78</v>
      </c>
      <c r="CB6" s="2" t="s">
        <v>79</v>
      </c>
      <c r="CC6" s="2" t="s">
        <v>80</v>
      </c>
      <c r="CD6" s="2" t="s">
        <v>81</v>
      </c>
      <c r="CE6" s="2" t="s">
        <v>82</v>
      </c>
      <c r="CF6" s="2" t="s">
        <v>83</v>
      </c>
      <c r="CG6" s="2" t="s">
        <v>84</v>
      </c>
      <c r="CH6" s="2" t="s">
        <v>85</v>
      </c>
      <c r="CI6" s="2" t="s">
        <v>86</v>
      </c>
      <c r="CJ6" s="2" t="s">
        <v>87</v>
      </c>
      <c r="CK6" s="2" t="s">
        <v>88</v>
      </c>
      <c r="CL6" s="2" t="s">
        <v>89</v>
      </c>
      <c r="CM6" s="2" t="s">
        <v>90</v>
      </c>
      <c r="CN6" s="2" t="s">
        <v>91</v>
      </c>
      <c r="CO6" s="2" t="s">
        <v>92</v>
      </c>
      <c r="CP6" s="2" t="s">
        <v>93</v>
      </c>
      <c r="CQ6" s="2" t="s">
        <v>94</v>
      </c>
      <c r="CR6" s="2" t="s">
        <v>95</v>
      </c>
      <c r="CS6" s="2" t="s">
        <v>96</v>
      </c>
      <c r="CT6" s="2" t="s">
        <v>97</v>
      </c>
      <c r="CU6" s="2" t="s">
        <v>98</v>
      </c>
      <c r="CV6" s="2" t="s">
        <v>99</v>
      </c>
      <c r="CW6" s="2" t="s">
        <v>100</v>
      </c>
      <c r="CX6" s="2" t="s">
        <v>101</v>
      </c>
      <c r="CY6" s="2" t="s">
        <v>102</v>
      </c>
      <c r="CZ6" s="2" t="s">
        <v>103</v>
      </c>
      <c r="DA6" s="2" t="s">
        <v>104</v>
      </c>
      <c r="DB6" s="2" t="s">
        <v>105</v>
      </c>
      <c r="DC6" s="2" t="s">
        <v>106</v>
      </c>
      <c r="DD6" s="2" t="s">
        <v>107</v>
      </c>
      <c r="DE6" s="2" t="s">
        <v>108</v>
      </c>
      <c r="DF6" s="2" t="s">
        <v>109</v>
      </c>
      <c r="DG6" s="2" t="s">
        <v>110</v>
      </c>
      <c r="DH6" s="2" t="s">
        <v>111</v>
      </c>
      <c r="DI6" s="2" t="s">
        <v>112</v>
      </c>
      <c r="DJ6" s="2" t="s">
        <v>113</v>
      </c>
      <c r="DK6" s="2" t="s">
        <v>114</v>
      </c>
      <c r="DL6" s="2" t="s">
        <v>115</v>
      </c>
      <c r="DM6" s="2" t="s">
        <v>116</v>
      </c>
      <c r="DN6" s="2" t="s">
        <v>117</v>
      </c>
      <c r="DO6" s="2" t="s">
        <v>118</v>
      </c>
      <c r="DP6" s="2" t="s">
        <v>119</v>
      </c>
      <c r="DQ6" s="2" t="s">
        <v>120</v>
      </c>
      <c r="DR6" s="2" t="s">
        <v>121</v>
      </c>
      <c r="DS6" s="2" t="s">
        <v>122</v>
      </c>
      <c r="DT6" s="2" t="s">
        <v>123</v>
      </c>
      <c r="DU6" s="2" t="s">
        <v>124</v>
      </c>
      <c r="DV6" s="2" t="s">
        <v>125</v>
      </c>
      <c r="DW6" s="2" t="s">
        <v>126</v>
      </c>
      <c r="DX6" s="2" t="s">
        <v>127</v>
      </c>
      <c r="DY6" s="2" t="s">
        <v>128</v>
      </c>
      <c r="DZ6" s="2" t="s">
        <v>129</v>
      </c>
      <c r="EA6" s="2" t="s">
        <v>130</v>
      </c>
      <c r="EB6" s="2" t="s">
        <v>131</v>
      </c>
      <c r="EC6" s="2" t="s">
        <v>132</v>
      </c>
      <c r="ED6" s="2" t="s">
        <v>133</v>
      </c>
      <c r="EE6" s="2" t="s">
        <v>134</v>
      </c>
      <c r="EF6" s="2" t="s">
        <v>135</v>
      </c>
      <c r="EG6" s="2" t="s">
        <v>136</v>
      </c>
      <c r="EH6" s="2" t="s">
        <v>137</v>
      </c>
      <c r="EI6" s="2" t="s">
        <v>138</v>
      </c>
      <c r="EJ6" s="2" t="s">
        <v>139</v>
      </c>
      <c r="EK6" s="2" t="s">
        <v>140</v>
      </c>
      <c r="EL6" s="2" t="s">
        <v>141</v>
      </c>
      <c r="EM6" s="2" t="s">
        <v>142</v>
      </c>
      <c r="EN6" s="2" t="s">
        <v>143</v>
      </c>
      <c r="EO6" s="2" t="s">
        <v>144</v>
      </c>
      <c r="EP6" s="2" t="s">
        <v>145</v>
      </c>
      <c r="EQ6" s="2" t="s">
        <v>146</v>
      </c>
      <c r="ER6" s="2" t="s">
        <v>147</v>
      </c>
      <c r="ES6" s="2" t="s">
        <v>148</v>
      </c>
      <c r="ET6" s="2" t="s">
        <v>149</v>
      </c>
      <c r="EU6" s="2" t="s">
        <v>150</v>
      </c>
      <c r="EV6" s="2" t="s">
        <v>151</v>
      </c>
      <c r="EW6" s="2" t="s">
        <v>152</v>
      </c>
      <c r="EX6" s="2" t="s">
        <v>153</v>
      </c>
      <c r="EY6" s="2" t="s">
        <v>154</v>
      </c>
      <c r="EZ6" s="2" t="s">
        <v>155</v>
      </c>
      <c r="FA6" s="2" t="s">
        <v>156</v>
      </c>
      <c r="FB6" s="2" t="s">
        <v>157</v>
      </c>
      <c r="FC6" s="2" t="s">
        <v>158</v>
      </c>
      <c r="FD6" s="2" t="s">
        <v>159</v>
      </c>
      <c r="FE6" s="2" t="s">
        <v>160</v>
      </c>
      <c r="FF6" s="2" t="s">
        <v>161</v>
      </c>
      <c r="FG6" s="2" t="s">
        <v>162</v>
      </c>
      <c r="FH6" s="2" t="s">
        <v>163</v>
      </c>
      <c r="FI6" s="2" t="s">
        <v>164</v>
      </c>
      <c r="FJ6" s="2" t="s">
        <v>165</v>
      </c>
      <c r="FK6" s="2" t="s">
        <v>166</v>
      </c>
      <c r="FL6" s="2" t="s">
        <v>167</v>
      </c>
      <c r="FM6" s="2" t="s">
        <v>168</v>
      </c>
      <c r="FN6" s="2" t="s">
        <v>169</v>
      </c>
      <c r="FO6" s="2" t="s">
        <v>170</v>
      </c>
      <c r="FP6" s="2" t="s">
        <v>171</v>
      </c>
      <c r="FQ6" s="2" t="s">
        <v>172</v>
      </c>
      <c r="FR6" s="2" t="s">
        <v>173</v>
      </c>
      <c r="FS6" s="2" t="s">
        <v>174</v>
      </c>
      <c r="FT6" s="2" t="s">
        <v>175</v>
      </c>
      <c r="FU6" s="2" t="s">
        <v>176</v>
      </c>
      <c r="FV6" s="2" t="s">
        <v>177</v>
      </c>
      <c r="FW6" s="2" t="s">
        <v>178</v>
      </c>
      <c r="FX6" s="2" t="s">
        <v>179</v>
      </c>
      <c r="FY6" s="2" t="s">
        <v>180</v>
      </c>
      <c r="FZ6" s="2" t="s">
        <v>181</v>
      </c>
      <c r="GA6" s="2" t="s">
        <v>182</v>
      </c>
      <c r="GB6" s="39" t="s">
        <v>183</v>
      </c>
      <c r="GC6" s="2" t="s">
        <v>184</v>
      </c>
      <c r="GD6" s="2" t="s">
        <v>185</v>
      </c>
      <c r="GE6" s="2" t="s">
        <v>186</v>
      </c>
      <c r="GF6" s="2" t="s">
        <v>187</v>
      </c>
      <c r="GG6" s="2" t="s">
        <v>188</v>
      </c>
      <c r="GH6" s="2" t="s">
        <v>189</v>
      </c>
      <c r="GI6" s="2" t="s">
        <v>190</v>
      </c>
      <c r="GJ6" s="2" t="s">
        <v>191</v>
      </c>
      <c r="GK6" s="2" t="s">
        <v>192</v>
      </c>
      <c r="GL6" s="2" t="s">
        <v>193</v>
      </c>
      <c r="GM6" s="2" t="s">
        <v>194</v>
      </c>
      <c r="GN6" s="2" t="s">
        <v>195</v>
      </c>
      <c r="GO6" s="2" t="s">
        <v>196</v>
      </c>
      <c r="GP6" s="2" t="s">
        <v>197</v>
      </c>
      <c r="GQ6" s="2" t="s">
        <v>198</v>
      </c>
      <c r="GR6" s="2" t="s">
        <v>199</v>
      </c>
      <c r="GS6" s="2" t="s">
        <v>200</v>
      </c>
      <c r="GT6" s="2" t="s">
        <v>201</v>
      </c>
      <c r="GU6" s="2" t="s">
        <v>202</v>
      </c>
      <c r="GV6" s="2" t="s">
        <v>203</v>
      </c>
      <c r="GW6" s="2" t="s">
        <v>204</v>
      </c>
      <c r="GX6" s="2" t="s">
        <v>205</v>
      </c>
      <c r="GY6" s="42" t="s">
        <v>206</v>
      </c>
      <c r="GZ6" s="73" t="s">
        <v>207</v>
      </c>
      <c r="HA6" s="73" t="s">
        <v>208</v>
      </c>
      <c r="HB6" s="73" t="s">
        <v>209</v>
      </c>
      <c r="HC6" s="73" t="s">
        <v>210</v>
      </c>
      <c r="HD6" s="73" t="s">
        <v>211</v>
      </c>
      <c r="HE6" s="56" t="s">
        <v>212</v>
      </c>
      <c r="HF6" s="2" t="s">
        <v>213</v>
      </c>
      <c r="HG6" s="2" t="s">
        <v>214</v>
      </c>
      <c r="HH6" s="2" t="s">
        <v>215</v>
      </c>
      <c r="HI6" s="2" t="s">
        <v>216</v>
      </c>
      <c r="HJ6" s="2" t="s">
        <v>217</v>
      </c>
      <c r="HK6" s="2" t="s">
        <v>218</v>
      </c>
      <c r="HL6" s="2" t="s">
        <v>219</v>
      </c>
      <c r="HM6" s="2" t="s">
        <v>220</v>
      </c>
      <c r="HN6" s="2" t="s">
        <v>221</v>
      </c>
      <c r="HO6" s="2" t="s">
        <v>222</v>
      </c>
      <c r="HP6" s="2" t="s">
        <v>223</v>
      </c>
      <c r="HQ6" s="2" t="s">
        <v>224</v>
      </c>
      <c r="HR6" s="2" t="s">
        <v>225</v>
      </c>
      <c r="HS6" s="2" t="s">
        <v>226</v>
      </c>
      <c r="HT6" s="2" t="s">
        <v>227</v>
      </c>
      <c r="HU6" s="2" t="s">
        <v>228</v>
      </c>
      <c r="HV6" s="2" t="s">
        <v>229</v>
      </c>
      <c r="HW6" s="2" t="s">
        <v>230</v>
      </c>
      <c r="HX6" s="2" t="s">
        <v>231</v>
      </c>
      <c r="HY6" s="2" t="s">
        <v>232</v>
      </c>
      <c r="HZ6" s="2" t="s">
        <v>233</v>
      </c>
      <c r="IA6" s="42" t="s">
        <v>234</v>
      </c>
      <c r="IB6" s="2" t="s">
        <v>235</v>
      </c>
      <c r="IC6" s="2" t="s">
        <v>236</v>
      </c>
      <c r="ID6" s="2" t="s">
        <v>237</v>
      </c>
      <c r="IE6" s="2" t="s">
        <v>238</v>
      </c>
      <c r="IF6" s="2" t="s">
        <v>239</v>
      </c>
      <c r="IG6" s="2" t="s">
        <v>240</v>
      </c>
      <c r="IH6" s="2" t="s">
        <v>241</v>
      </c>
      <c r="II6" s="2" t="s">
        <v>242</v>
      </c>
      <c r="IJ6" s="2" t="s">
        <v>243</v>
      </c>
      <c r="IK6" s="2" t="s">
        <v>244</v>
      </c>
      <c r="IL6" s="39" t="s">
        <v>245</v>
      </c>
      <c r="IM6" s="2" t="s">
        <v>246</v>
      </c>
      <c r="IN6" s="2" t="s">
        <v>247</v>
      </c>
      <c r="IO6" s="2" t="s">
        <v>248</v>
      </c>
      <c r="IP6" s="2" t="s">
        <v>249</v>
      </c>
      <c r="IQ6" s="2" t="s">
        <v>250</v>
      </c>
      <c r="IR6" s="2" t="s">
        <v>251</v>
      </c>
      <c r="IS6" s="2" t="s">
        <v>252</v>
      </c>
      <c r="IT6" s="2" t="s">
        <v>253</v>
      </c>
      <c r="IU6" s="2" t="s">
        <v>254</v>
      </c>
      <c r="IV6" s="2" t="s">
        <v>255</v>
      </c>
      <c r="IW6" s="2" t="s">
        <v>256</v>
      </c>
      <c r="IX6" s="2" t="s">
        <v>257</v>
      </c>
      <c r="IY6" s="2" t="s">
        <v>258</v>
      </c>
      <c r="IZ6" s="2" t="s">
        <v>259</v>
      </c>
      <c r="JA6" s="42" t="s">
        <v>260</v>
      </c>
      <c r="JB6" s="73" t="s">
        <v>261</v>
      </c>
      <c r="JC6" s="73" t="s">
        <v>262</v>
      </c>
      <c r="JD6" s="56" t="s">
        <v>263</v>
      </c>
      <c r="JE6" s="73" t="s">
        <v>264</v>
      </c>
      <c r="JF6" s="73" t="s">
        <v>265</v>
      </c>
      <c r="JG6" s="73" t="s">
        <v>266</v>
      </c>
      <c r="JH6" s="73" t="s">
        <v>267</v>
      </c>
      <c r="JI6" s="73" t="s">
        <v>268</v>
      </c>
      <c r="JJ6" s="73" t="s">
        <v>269</v>
      </c>
      <c r="JK6" s="42" t="s">
        <v>270</v>
      </c>
      <c r="JL6" s="56" t="s">
        <v>271</v>
      </c>
      <c r="JM6" s="73" t="s">
        <v>272</v>
      </c>
      <c r="JN6" s="2" t="s">
        <v>273</v>
      </c>
      <c r="JO6" s="2" t="s">
        <v>274</v>
      </c>
      <c r="JP6" s="2" t="s">
        <v>275</v>
      </c>
      <c r="JQ6" s="2" t="s">
        <v>276</v>
      </c>
      <c r="JR6" s="2" t="s">
        <v>277</v>
      </c>
      <c r="JS6" s="73" t="s">
        <v>278</v>
      </c>
      <c r="JT6" s="42" t="s">
        <v>279</v>
      </c>
      <c r="JU6" s="2" t="s">
        <v>280</v>
      </c>
      <c r="JV6" s="2" t="s">
        <v>281</v>
      </c>
      <c r="JW6" s="2" t="s">
        <v>282</v>
      </c>
      <c r="JX6" s="2" t="s">
        <v>283</v>
      </c>
      <c r="JY6" s="2" t="s">
        <v>284</v>
      </c>
      <c r="JZ6" s="2" t="s">
        <v>285</v>
      </c>
      <c r="KA6" s="2" t="s">
        <v>286</v>
      </c>
      <c r="KB6" s="2" t="s">
        <v>287</v>
      </c>
      <c r="KC6" s="2" t="s">
        <v>288</v>
      </c>
      <c r="KD6" s="2" t="s">
        <v>289</v>
      </c>
      <c r="KE6" s="2" t="s">
        <v>290</v>
      </c>
      <c r="KF6" s="2" t="s">
        <v>291</v>
      </c>
      <c r="KG6" s="2" t="s">
        <v>292</v>
      </c>
      <c r="KH6" s="2" t="s">
        <v>293</v>
      </c>
      <c r="KI6" s="2" t="s">
        <v>294</v>
      </c>
      <c r="KJ6" s="2" t="s">
        <v>295</v>
      </c>
      <c r="KK6" s="2" t="s">
        <v>296</v>
      </c>
      <c r="KL6" s="2" t="s">
        <v>297</v>
      </c>
      <c r="KM6" s="2" t="s">
        <v>298</v>
      </c>
      <c r="KN6" s="2" t="s">
        <v>299</v>
      </c>
      <c r="KO6" s="2" t="s">
        <v>300</v>
      </c>
      <c r="KP6" s="2" t="s">
        <v>301</v>
      </c>
      <c r="KQ6" s="2" t="s">
        <v>302</v>
      </c>
      <c r="KR6" s="2" t="s">
        <v>303</v>
      </c>
      <c r="KS6" s="2" t="s">
        <v>304</v>
      </c>
      <c r="KT6" s="2" t="s">
        <v>305</v>
      </c>
      <c r="KU6" s="2" t="s">
        <v>306</v>
      </c>
      <c r="KV6" s="2" t="s">
        <v>307</v>
      </c>
      <c r="KW6" s="2" t="s">
        <v>308</v>
      </c>
      <c r="KX6" s="2" t="s">
        <v>309</v>
      </c>
      <c r="KY6" s="2" t="s">
        <v>310</v>
      </c>
      <c r="KZ6" s="2" t="s">
        <v>311</v>
      </c>
      <c r="LA6" s="39" t="s">
        <v>312</v>
      </c>
      <c r="LB6" s="2" t="s">
        <v>313</v>
      </c>
      <c r="LC6" s="2" t="s">
        <v>314</v>
      </c>
      <c r="LD6" s="2" t="s">
        <v>315</v>
      </c>
      <c r="LE6" s="2" t="s">
        <v>316</v>
      </c>
      <c r="LF6" s="2" t="s">
        <v>317</v>
      </c>
      <c r="LG6" s="2" t="s">
        <v>318</v>
      </c>
      <c r="LH6" s="2" t="s">
        <v>319</v>
      </c>
      <c r="LI6" s="2" t="s">
        <v>320</v>
      </c>
      <c r="LJ6" s="2" t="s">
        <v>321</v>
      </c>
      <c r="LK6" s="2" t="s">
        <v>322</v>
      </c>
      <c r="LL6" s="2" t="s">
        <v>323</v>
      </c>
      <c r="LM6" s="2" t="s">
        <v>324</v>
      </c>
      <c r="LN6" s="2" t="s">
        <v>325</v>
      </c>
      <c r="LO6" s="2" t="s">
        <v>326</v>
      </c>
      <c r="LP6" s="2" t="s">
        <v>327</v>
      </c>
      <c r="LQ6" s="2" t="s">
        <v>328</v>
      </c>
      <c r="LR6" s="2" t="s">
        <v>329</v>
      </c>
      <c r="LS6" s="2" t="s">
        <v>330</v>
      </c>
      <c r="LT6" s="2" t="s">
        <v>331</v>
      </c>
      <c r="LU6" s="2" t="s">
        <v>332</v>
      </c>
      <c r="LV6" s="2" t="s">
        <v>333</v>
      </c>
      <c r="LW6" s="2" t="s">
        <v>334</v>
      </c>
      <c r="LX6" s="2" t="s">
        <v>335</v>
      </c>
      <c r="LY6" s="2" t="s">
        <v>336</v>
      </c>
      <c r="LZ6" s="2" t="s">
        <v>337</v>
      </c>
      <c r="MA6" s="2" t="s">
        <v>338</v>
      </c>
      <c r="MB6" s="2" t="s">
        <v>339</v>
      </c>
      <c r="MC6" s="2" t="s">
        <v>340</v>
      </c>
      <c r="MD6" s="2" t="s">
        <v>341</v>
      </c>
      <c r="ME6" s="2" t="s">
        <v>342</v>
      </c>
      <c r="MF6" s="2" t="s">
        <v>343</v>
      </c>
      <c r="MG6" s="2" t="s">
        <v>344</v>
      </c>
      <c r="MH6" s="2" t="s">
        <v>345</v>
      </c>
      <c r="MI6" s="2" t="s">
        <v>346</v>
      </c>
      <c r="MJ6" s="2" t="s">
        <v>347</v>
      </c>
      <c r="MK6" s="2" t="s">
        <v>348</v>
      </c>
      <c r="ML6" s="2" t="s">
        <v>349</v>
      </c>
      <c r="MM6" s="2" t="s">
        <v>350</v>
      </c>
      <c r="MN6" s="2" t="s">
        <v>351</v>
      </c>
      <c r="MO6" s="2" t="s">
        <v>352</v>
      </c>
      <c r="MP6" s="2" t="s">
        <v>353</v>
      </c>
      <c r="MQ6" s="2" t="s">
        <v>354</v>
      </c>
      <c r="MR6" s="2" t="s">
        <v>355</v>
      </c>
      <c r="MS6" s="2" t="s">
        <v>356</v>
      </c>
      <c r="MT6" s="2" t="s">
        <v>357</v>
      </c>
      <c r="MU6" s="2" t="s">
        <v>358</v>
      </c>
      <c r="MV6" s="2" t="s">
        <v>359</v>
      </c>
      <c r="MW6" s="2" t="s">
        <v>360</v>
      </c>
      <c r="MX6" s="2" t="s">
        <v>361</v>
      </c>
      <c r="MY6" s="2" t="s">
        <v>362</v>
      </c>
      <c r="MZ6" s="2" t="s">
        <v>363</v>
      </c>
      <c r="NA6" s="2" t="s">
        <v>364</v>
      </c>
      <c r="NB6" s="2" t="s">
        <v>365</v>
      </c>
      <c r="NC6" s="2" t="s">
        <v>366</v>
      </c>
      <c r="ND6" s="2" t="s">
        <v>367</v>
      </c>
      <c r="NE6" s="2" t="s">
        <v>368</v>
      </c>
      <c r="NF6" s="2" t="s">
        <v>369</v>
      </c>
      <c r="NG6" s="2" t="s">
        <v>370</v>
      </c>
      <c r="NH6" s="2" t="s">
        <v>371</v>
      </c>
      <c r="NI6" s="2" t="s">
        <v>372</v>
      </c>
      <c r="NJ6" s="2" t="s">
        <v>373</v>
      </c>
      <c r="NK6" s="2" t="s">
        <v>374</v>
      </c>
      <c r="NL6" s="2" t="s">
        <v>375</v>
      </c>
      <c r="NM6" s="39" t="s">
        <v>376</v>
      </c>
      <c r="NN6" s="2" t="s">
        <v>377</v>
      </c>
      <c r="NO6" s="2" t="s">
        <v>378</v>
      </c>
      <c r="NP6" s="2" t="s">
        <v>379</v>
      </c>
      <c r="NQ6" s="2" t="s">
        <v>380</v>
      </c>
      <c r="NR6" s="2" t="s">
        <v>381</v>
      </c>
      <c r="NS6" s="2" t="s">
        <v>382</v>
      </c>
      <c r="NT6" s="2" t="s">
        <v>383</v>
      </c>
      <c r="NU6" s="2" t="s">
        <v>384</v>
      </c>
      <c r="NV6" s="2" t="s">
        <v>385</v>
      </c>
      <c r="NW6" s="2" t="s">
        <v>386</v>
      </c>
      <c r="NX6" s="2" t="s">
        <v>387</v>
      </c>
      <c r="NY6" s="2" t="s">
        <v>388</v>
      </c>
      <c r="NZ6" s="2" t="s">
        <v>389</v>
      </c>
      <c r="OA6" s="2" t="s">
        <v>390</v>
      </c>
      <c r="OB6" s="2" t="s">
        <v>391</v>
      </c>
      <c r="OC6" s="2" t="s">
        <v>392</v>
      </c>
      <c r="OD6" s="2" t="s">
        <v>393</v>
      </c>
      <c r="OE6" s="2" t="s">
        <v>394</v>
      </c>
      <c r="OF6" s="2" t="s">
        <v>395</v>
      </c>
      <c r="OG6" s="2" t="s">
        <v>396</v>
      </c>
      <c r="OH6" s="2" t="s">
        <v>397</v>
      </c>
      <c r="OI6" s="2" t="s">
        <v>398</v>
      </c>
      <c r="OJ6" s="2" t="s">
        <v>399</v>
      </c>
      <c r="OK6" s="2" t="s">
        <v>400</v>
      </c>
      <c r="OL6" s="2" t="s">
        <v>401</v>
      </c>
      <c r="OM6" s="2" t="s">
        <v>402</v>
      </c>
      <c r="ON6" s="2" t="s">
        <v>403</v>
      </c>
      <c r="OO6" s="2" t="s">
        <v>404</v>
      </c>
      <c r="OP6" s="2" t="s">
        <v>405</v>
      </c>
      <c r="OQ6" s="2" t="s">
        <v>406</v>
      </c>
      <c r="OR6" s="2" t="s">
        <v>407</v>
      </c>
      <c r="OS6" s="2" t="s">
        <v>408</v>
      </c>
      <c r="OT6" s="2" t="s">
        <v>409</v>
      </c>
      <c r="OU6" s="2" t="s">
        <v>410</v>
      </c>
      <c r="OV6" s="2" t="s">
        <v>411</v>
      </c>
      <c r="OW6" s="2" t="s">
        <v>412</v>
      </c>
      <c r="OX6" s="2" t="s">
        <v>413</v>
      </c>
      <c r="OY6" s="2" t="s">
        <v>414</v>
      </c>
      <c r="OZ6" s="2" t="s">
        <v>415</v>
      </c>
      <c r="PA6" s="2" t="s">
        <v>416</v>
      </c>
      <c r="PB6" s="2" t="s">
        <v>417</v>
      </c>
      <c r="PC6" s="2" t="s">
        <v>418</v>
      </c>
      <c r="PD6" s="2" t="s">
        <v>419</v>
      </c>
      <c r="PE6" s="2" t="s">
        <v>420</v>
      </c>
      <c r="PF6" s="2" t="s">
        <v>421</v>
      </c>
      <c r="PG6" s="2" t="s">
        <v>422</v>
      </c>
      <c r="PH6" s="2" t="s">
        <v>423</v>
      </c>
      <c r="PI6" s="2" t="s">
        <v>424</v>
      </c>
      <c r="PJ6" s="2" t="s">
        <v>425</v>
      </c>
      <c r="PK6" s="2" t="s">
        <v>426</v>
      </c>
      <c r="PL6" s="2" t="s">
        <v>427</v>
      </c>
      <c r="PM6" s="2" t="s">
        <v>428</v>
      </c>
      <c r="PN6" s="2" t="s">
        <v>429</v>
      </c>
      <c r="PO6" s="2" t="s">
        <v>430</v>
      </c>
      <c r="PP6" s="2" t="s">
        <v>431</v>
      </c>
      <c r="PQ6" s="2" t="s">
        <v>432</v>
      </c>
      <c r="PR6" s="2" t="s">
        <v>433</v>
      </c>
      <c r="PS6" s="2" t="s">
        <v>434</v>
      </c>
      <c r="PT6" s="2" t="s">
        <v>435</v>
      </c>
      <c r="PU6" s="2" t="s">
        <v>436</v>
      </c>
      <c r="PV6" s="39" t="s">
        <v>437</v>
      </c>
      <c r="PW6" s="2" t="s">
        <v>438</v>
      </c>
      <c r="PX6" s="2" t="s">
        <v>439</v>
      </c>
      <c r="PY6" s="2" t="s">
        <v>440</v>
      </c>
      <c r="PZ6" s="2" t="s">
        <v>441</v>
      </c>
      <c r="QA6" s="2" t="s">
        <v>442</v>
      </c>
      <c r="QB6" s="2" t="s">
        <v>443</v>
      </c>
      <c r="QC6" s="2" t="s">
        <v>444</v>
      </c>
      <c r="QD6" s="2" t="s">
        <v>445</v>
      </c>
      <c r="QE6" s="2" t="s">
        <v>446</v>
      </c>
      <c r="QF6" s="2" t="s">
        <v>447</v>
      </c>
      <c r="QG6" s="2" t="s">
        <v>448</v>
      </c>
      <c r="QH6" s="2" t="s">
        <v>449</v>
      </c>
      <c r="QI6" s="2" t="s">
        <v>450</v>
      </c>
      <c r="QJ6" s="2" t="s">
        <v>451</v>
      </c>
      <c r="QK6" s="2" t="s">
        <v>452</v>
      </c>
      <c r="QL6" s="2" t="s">
        <v>453</v>
      </c>
      <c r="QM6" s="2" t="s">
        <v>454</v>
      </c>
      <c r="QN6" s="2" t="s">
        <v>455</v>
      </c>
      <c r="QO6" s="2" t="s">
        <v>456</v>
      </c>
      <c r="QP6" s="2" t="s">
        <v>457</v>
      </c>
      <c r="QQ6" s="2" t="s">
        <v>458</v>
      </c>
      <c r="QR6" s="2" t="s">
        <v>459</v>
      </c>
      <c r="QS6" s="42" t="s">
        <v>460</v>
      </c>
      <c r="QT6" s="56" t="s">
        <v>461</v>
      </c>
      <c r="QU6" s="2" t="s">
        <v>462</v>
      </c>
      <c r="QV6" s="2" t="s">
        <v>463</v>
      </c>
      <c r="QW6" s="2" t="s">
        <v>464</v>
      </c>
      <c r="QX6" s="2" t="s">
        <v>465</v>
      </c>
      <c r="QY6" s="2" t="s">
        <v>466</v>
      </c>
      <c r="QZ6" s="2" t="s">
        <v>467</v>
      </c>
      <c r="RA6" s="2" t="s">
        <v>468</v>
      </c>
      <c r="RB6" s="2" t="s">
        <v>469</v>
      </c>
      <c r="RC6" s="2" t="s">
        <v>470</v>
      </c>
      <c r="RD6" s="2" t="s">
        <v>471</v>
      </c>
      <c r="RE6" s="2" t="s">
        <v>472</v>
      </c>
      <c r="RF6" s="2" t="s">
        <v>473</v>
      </c>
      <c r="RG6" s="2" t="s">
        <v>474</v>
      </c>
      <c r="RH6" s="2" t="s">
        <v>475</v>
      </c>
      <c r="RI6" s="2" t="s">
        <v>476</v>
      </c>
      <c r="RJ6" s="2" t="s">
        <v>477</v>
      </c>
      <c r="RK6" s="2" t="s">
        <v>478</v>
      </c>
      <c r="RL6" s="2" t="s">
        <v>479</v>
      </c>
      <c r="RM6" s="2" t="s">
        <v>480</v>
      </c>
      <c r="RN6" s="2" t="s">
        <v>481</v>
      </c>
      <c r="RO6" s="2" t="s">
        <v>482</v>
      </c>
      <c r="RP6" s="2" t="s">
        <v>483</v>
      </c>
      <c r="RQ6" s="2" t="s">
        <v>484</v>
      </c>
      <c r="RR6" s="2" t="s">
        <v>485</v>
      </c>
      <c r="RS6" s="2" t="s">
        <v>486</v>
      </c>
      <c r="RT6" s="2" t="s">
        <v>487</v>
      </c>
      <c r="RU6" s="2" t="s">
        <v>488</v>
      </c>
      <c r="RV6" s="2" t="s">
        <v>489</v>
      </c>
      <c r="RW6" s="2" t="s">
        <v>490</v>
      </c>
      <c r="RX6" s="2" t="s">
        <v>491</v>
      </c>
      <c r="RY6" s="2" t="s">
        <v>492</v>
      </c>
      <c r="RZ6" s="2" t="s">
        <v>493</v>
      </c>
      <c r="SA6" s="2" t="s">
        <v>494</v>
      </c>
      <c r="SB6" s="2" t="s">
        <v>495</v>
      </c>
      <c r="SC6" s="2" t="s">
        <v>496</v>
      </c>
      <c r="SD6" s="2" t="s">
        <v>497</v>
      </c>
      <c r="SE6" s="2" t="s">
        <v>498</v>
      </c>
      <c r="SF6" s="2" t="s">
        <v>499</v>
      </c>
      <c r="SG6" s="2" t="s">
        <v>500</v>
      </c>
      <c r="SH6" s="39" t="s">
        <v>501</v>
      </c>
      <c r="SI6" s="2" t="s">
        <v>502</v>
      </c>
      <c r="SJ6" s="2" t="s">
        <v>503</v>
      </c>
      <c r="SK6" s="2" t="s">
        <v>504</v>
      </c>
      <c r="SL6" s="42" t="s">
        <v>505</v>
      </c>
      <c r="SM6" s="56" t="s">
        <v>506</v>
      </c>
      <c r="SN6" s="2" t="s">
        <v>507</v>
      </c>
      <c r="SO6" s="2" t="s">
        <v>508</v>
      </c>
      <c r="SP6" s="2" t="s">
        <v>509</v>
      </c>
      <c r="SQ6" s="2" t="s">
        <v>510</v>
      </c>
      <c r="SR6" s="2" t="s">
        <v>511</v>
      </c>
      <c r="SS6" s="2" t="s">
        <v>512</v>
      </c>
      <c r="ST6" s="2" t="s">
        <v>513</v>
      </c>
      <c r="SU6" s="2" t="s">
        <v>514</v>
      </c>
      <c r="SV6" s="2" t="s">
        <v>515</v>
      </c>
      <c r="SW6" s="2" t="s">
        <v>516</v>
      </c>
      <c r="SX6" s="42" t="s">
        <v>517</v>
      </c>
      <c r="SY6" s="56" t="s">
        <v>518</v>
      </c>
      <c r="SZ6" s="73" t="s">
        <v>519</v>
      </c>
      <c r="TA6" s="35" t="s">
        <v>520</v>
      </c>
      <c r="TB6" s="2" t="s">
        <v>521</v>
      </c>
      <c r="TC6" s="2" t="s">
        <v>522</v>
      </c>
      <c r="TD6" s="2" t="s">
        <v>523</v>
      </c>
      <c r="TE6" s="2" t="s">
        <v>524</v>
      </c>
      <c r="TF6" s="2" t="s">
        <v>525</v>
      </c>
      <c r="TG6" s="2" t="s">
        <v>526</v>
      </c>
      <c r="TH6" s="2" t="s">
        <v>527</v>
      </c>
      <c r="TI6" s="35" t="s">
        <v>528</v>
      </c>
      <c r="TJ6" s="35" t="s">
        <v>529</v>
      </c>
      <c r="TK6" s="35" t="s">
        <v>530</v>
      </c>
      <c r="TL6" s="2" t="s">
        <v>531</v>
      </c>
      <c r="TM6" s="2" t="s">
        <v>532</v>
      </c>
      <c r="TN6" s="2" t="s">
        <v>533</v>
      </c>
      <c r="TO6" s="2" t="s">
        <v>534</v>
      </c>
      <c r="TP6" s="2" t="s">
        <v>535</v>
      </c>
      <c r="TQ6" s="35" t="s">
        <v>536</v>
      </c>
      <c r="TR6" s="35" t="s">
        <v>537</v>
      </c>
      <c r="TS6" s="42" t="s">
        <v>538</v>
      </c>
      <c r="TT6" s="56" t="s">
        <v>539</v>
      </c>
      <c r="TU6" s="73" t="s">
        <v>540</v>
      </c>
      <c r="TV6" s="2" t="s">
        <v>541</v>
      </c>
      <c r="TW6" s="2" t="s">
        <v>542</v>
      </c>
      <c r="TX6" s="2" t="s">
        <v>543</v>
      </c>
      <c r="TY6" s="2" t="s">
        <v>544</v>
      </c>
      <c r="TZ6" s="2" t="s">
        <v>545</v>
      </c>
      <c r="UA6" s="2" t="s">
        <v>546</v>
      </c>
      <c r="UB6" s="2" t="s">
        <v>547</v>
      </c>
      <c r="UC6" s="2" t="s">
        <v>548</v>
      </c>
      <c r="UD6" s="2" t="s">
        <v>549</v>
      </c>
      <c r="UE6" s="42" t="s">
        <v>550</v>
      </c>
      <c r="UF6" s="73" t="s">
        <v>551</v>
      </c>
      <c r="UG6" s="73" t="s">
        <v>552</v>
      </c>
      <c r="UH6" s="56" t="s">
        <v>553</v>
      </c>
      <c r="UI6" s="2" t="s">
        <v>554</v>
      </c>
      <c r="UJ6" s="2" t="s">
        <v>555</v>
      </c>
      <c r="UK6" s="2" t="s">
        <v>556</v>
      </c>
      <c r="UL6" s="2" t="s">
        <v>557</v>
      </c>
      <c r="UM6" s="2" t="s">
        <v>558</v>
      </c>
      <c r="UN6" s="2" t="s">
        <v>559</v>
      </c>
      <c r="UO6" s="2" t="s">
        <v>560</v>
      </c>
      <c r="UP6" s="2" t="s">
        <v>561</v>
      </c>
      <c r="UQ6" s="2" t="s">
        <v>562</v>
      </c>
      <c r="UR6" s="2" t="s">
        <v>563</v>
      </c>
      <c r="US6" s="2" t="s">
        <v>564</v>
      </c>
      <c r="UT6" s="2" t="s">
        <v>565</v>
      </c>
      <c r="UU6" s="2" t="s">
        <v>566</v>
      </c>
      <c r="UV6" s="2" t="s">
        <v>567</v>
      </c>
      <c r="UW6" s="2" t="s">
        <v>568</v>
      </c>
      <c r="UX6" s="2" t="s">
        <v>569</v>
      </c>
      <c r="UY6" s="2" t="s">
        <v>570</v>
      </c>
      <c r="UZ6" s="42" t="s">
        <v>571</v>
      </c>
      <c r="VA6" s="2" t="s">
        <v>572</v>
      </c>
      <c r="VB6" s="2" t="s">
        <v>573</v>
      </c>
      <c r="VC6" s="2" t="s">
        <v>574</v>
      </c>
      <c r="VD6" s="2" t="s">
        <v>575</v>
      </c>
      <c r="VE6" s="2" t="s">
        <v>576</v>
      </c>
      <c r="VF6" s="2" t="s">
        <v>577</v>
      </c>
      <c r="VG6" s="2" t="s">
        <v>578</v>
      </c>
      <c r="VH6" s="2" t="s">
        <v>579</v>
      </c>
      <c r="VI6" s="2" t="s">
        <v>580</v>
      </c>
      <c r="VJ6" s="2" t="s">
        <v>581</v>
      </c>
      <c r="VK6" s="2" t="s">
        <v>582</v>
      </c>
      <c r="VL6" s="2" t="s">
        <v>583</v>
      </c>
      <c r="VM6" s="2" t="s">
        <v>584</v>
      </c>
      <c r="VN6" s="2" t="s">
        <v>585</v>
      </c>
      <c r="VO6" s="2" t="s">
        <v>586</v>
      </c>
      <c r="VP6" s="2" t="s">
        <v>587</v>
      </c>
      <c r="VQ6" s="2" t="s">
        <v>588</v>
      </c>
      <c r="VR6" s="2" t="s">
        <v>589</v>
      </c>
      <c r="VS6" s="2" t="s">
        <v>590</v>
      </c>
    </row>
    <row r="7" spans="1:591" s="37" customFormat="1" ht="12.75">
      <c r="A7" s="37">
        <v>1961</v>
      </c>
      <c r="B7" s="37">
        <v>100</v>
      </c>
      <c r="C7" s="37" t="s">
        <v>1148</v>
      </c>
      <c r="GB7" s="157"/>
      <c r="GY7" s="158"/>
      <c r="GZ7" s="159"/>
      <c r="HA7" s="159"/>
      <c r="HB7" s="159"/>
      <c r="HC7" s="159"/>
      <c r="HD7" s="159"/>
      <c r="HE7" s="160"/>
      <c r="IE7" s="37">
        <v>5612000000</v>
      </c>
      <c r="IF7" s="37">
        <v>5612000000</v>
      </c>
      <c r="IL7" s="157"/>
      <c r="JA7" s="158"/>
      <c r="JB7" s="159"/>
      <c r="JC7" s="159"/>
      <c r="JD7" s="160"/>
      <c r="JK7" s="158"/>
      <c r="JL7" s="160"/>
      <c r="JT7" s="158"/>
      <c r="KS7" s="37">
        <v>134000000</v>
      </c>
      <c r="KT7" s="37">
        <v>485000000</v>
      </c>
      <c r="KU7" s="37">
        <v>619000000</v>
      </c>
      <c r="LA7" s="157"/>
      <c r="NM7" s="157"/>
      <c r="PV7" s="157"/>
      <c r="PW7" s="37">
        <v>566000000</v>
      </c>
      <c r="PX7" s="37">
        <v>566000000</v>
      </c>
      <c r="QS7" s="158"/>
      <c r="QT7" s="160"/>
      <c r="SA7" s="37">
        <v>3930000000</v>
      </c>
      <c r="SB7" s="37">
        <v>2261000000</v>
      </c>
      <c r="SC7" s="37">
        <v>6191000000</v>
      </c>
      <c r="SD7" s="37">
        <v>5673000000</v>
      </c>
      <c r="SE7" s="37">
        <v>1084000000</v>
      </c>
      <c r="SF7" s="37">
        <v>6757000000</v>
      </c>
      <c r="SH7" s="157"/>
      <c r="SI7" s="37">
        <v>7453000000</v>
      </c>
      <c r="SJ7" s="37">
        <v>7453000000</v>
      </c>
      <c r="SL7" s="158"/>
      <c r="SM7" s="160"/>
      <c r="SX7" s="158"/>
      <c r="SY7" s="160"/>
      <c r="TS7" s="158"/>
      <c r="TT7" s="160"/>
      <c r="UE7" s="158"/>
      <c r="UF7" s="159"/>
      <c r="UG7" s="159"/>
      <c r="UH7" s="160"/>
      <c r="UZ7" s="158"/>
      <c r="VE7" s="37">
        <v>5746000000</v>
      </c>
      <c r="VF7" s="37">
        <v>485000000</v>
      </c>
      <c r="VG7" s="37">
        <v>6231000000</v>
      </c>
      <c r="VH7" s="37">
        <v>1733000000</v>
      </c>
      <c r="VI7" s="37">
        <v>55000000</v>
      </c>
      <c r="VK7" s="37">
        <v>1788000000</v>
      </c>
      <c r="VR7" s="37" t="s">
        <v>1149</v>
      </c>
      <c r="VS7" s="37" t="s">
        <v>1150</v>
      </c>
    </row>
    <row r="8" spans="1:591" s="37" customFormat="1" ht="12.75">
      <c r="A8" s="37">
        <v>1962</v>
      </c>
      <c r="B8" s="37">
        <v>100</v>
      </c>
      <c r="C8" s="37" t="s">
        <v>1148</v>
      </c>
      <c r="GB8" s="157"/>
      <c r="GY8" s="158"/>
      <c r="GZ8" s="159"/>
      <c r="HA8" s="159"/>
      <c r="HB8" s="159"/>
      <c r="HC8" s="159"/>
      <c r="HD8" s="159"/>
      <c r="HE8" s="160"/>
      <c r="IE8" s="37">
        <v>6275000000</v>
      </c>
      <c r="IF8" s="37">
        <v>6275000000</v>
      </c>
      <c r="IL8" s="157"/>
      <c r="JA8" s="158"/>
      <c r="JB8" s="159"/>
      <c r="JC8" s="159"/>
      <c r="JD8" s="160"/>
      <c r="JK8" s="158"/>
      <c r="JL8" s="160"/>
      <c r="JT8" s="158"/>
      <c r="KS8" s="37">
        <v>142000000</v>
      </c>
      <c r="KT8" s="37">
        <v>512000000</v>
      </c>
      <c r="KU8" s="37">
        <v>654000000</v>
      </c>
      <c r="LA8" s="157"/>
      <c r="NM8" s="157"/>
      <c r="PV8" s="157"/>
      <c r="PW8" s="37">
        <v>722000000</v>
      </c>
      <c r="PX8" s="37">
        <v>722000000</v>
      </c>
      <c r="QS8" s="158"/>
      <c r="QT8" s="160"/>
      <c r="SA8" s="37">
        <v>4387000000</v>
      </c>
      <c r="SB8" s="37">
        <v>2419000000</v>
      </c>
      <c r="SC8" s="37">
        <v>6806000000</v>
      </c>
      <c r="SD8" s="37">
        <v>6332000000</v>
      </c>
      <c r="SE8" s="37">
        <v>1196000000</v>
      </c>
      <c r="SF8" s="37">
        <v>7528000000</v>
      </c>
      <c r="SH8" s="157"/>
      <c r="SI8" s="37">
        <v>8678000000</v>
      </c>
      <c r="SJ8" s="37">
        <v>8678000000</v>
      </c>
      <c r="SL8" s="158"/>
      <c r="SM8" s="160"/>
      <c r="SX8" s="158"/>
      <c r="SY8" s="160"/>
      <c r="TS8" s="158"/>
      <c r="TT8" s="160"/>
      <c r="UE8" s="158"/>
      <c r="UF8" s="159"/>
      <c r="UG8" s="159"/>
      <c r="UH8" s="160"/>
      <c r="UZ8" s="158"/>
      <c r="VE8" s="37">
        <v>6417000000</v>
      </c>
      <c r="VF8" s="37">
        <v>512000000</v>
      </c>
      <c r="VG8" s="37">
        <v>6929000000</v>
      </c>
      <c r="VH8" s="37">
        <v>2407000000</v>
      </c>
      <c r="VI8" s="37">
        <v>64000000</v>
      </c>
      <c r="VK8" s="37">
        <v>2471000000</v>
      </c>
      <c r="VR8" s="37" t="s">
        <v>1149</v>
      </c>
      <c r="VS8" s="37" t="s">
        <v>1150</v>
      </c>
    </row>
    <row r="9" spans="1:591" s="37" customFormat="1" ht="12.75">
      <c r="A9" s="37">
        <v>1963</v>
      </c>
      <c r="B9" s="37">
        <v>100</v>
      </c>
      <c r="C9" s="37" t="s">
        <v>1148</v>
      </c>
      <c r="GB9" s="157"/>
      <c r="GY9" s="158"/>
      <c r="GZ9" s="159"/>
      <c r="HA9" s="159"/>
      <c r="HB9" s="159"/>
      <c r="HC9" s="159"/>
      <c r="HD9" s="159"/>
      <c r="HE9" s="160"/>
      <c r="IE9" s="37">
        <v>6924000000</v>
      </c>
      <c r="IF9" s="37">
        <v>6924000000</v>
      </c>
      <c r="IL9" s="157"/>
      <c r="JA9" s="158"/>
      <c r="JB9" s="159"/>
      <c r="JC9" s="159"/>
      <c r="JD9" s="160"/>
      <c r="JK9" s="158"/>
      <c r="JL9" s="160"/>
      <c r="JT9" s="158"/>
      <c r="KS9" s="37">
        <v>162000000</v>
      </c>
      <c r="KT9" s="37">
        <v>584000000</v>
      </c>
      <c r="KU9" s="37">
        <v>746000000</v>
      </c>
      <c r="LA9" s="157"/>
      <c r="NM9" s="157"/>
      <c r="PV9" s="157"/>
      <c r="PW9" s="37">
        <v>742000000</v>
      </c>
      <c r="PX9" s="37">
        <v>742000000</v>
      </c>
      <c r="QS9" s="158"/>
      <c r="QT9" s="160"/>
      <c r="SA9" s="37">
        <v>4991000000</v>
      </c>
      <c r="SB9" s="37">
        <v>2629000000</v>
      </c>
      <c r="SC9" s="37">
        <v>7620000000</v>
      </c>
      <c r="SD9" s="37">
        <v>7062000000</v>
      </c>
      <c r="SE9" s="37">
        <v>1300000000</v>
      </c>
      <c r="SF9" s="37">
        <v>8362000000</v>
      </c>
      <c r="SH9" s="157"/>
      <c r="SI9" s="37">
        <v>10420000000</v>
      </c>
      <c r="SJ9" s="37">
        <v>10420000000</v>
      </c>
      <c r="SL9" s="158"/>
      <c r="SM9" s="160"/>
      <c r="SX9" s="158"/>
      <c r="SY9" s="160"/>
      <c r="TS9" s="158"/>
      <c r="TT9" s="160"/>
      <c r="UE9" s="158"/>
      <c r="UF9" s="159"/>
      <c r="UG9" s="159"/>
      <c r="UH9" s="160"/>
      <c r="UZ9" s="158"/>
      <c r="VE9" s="37">
        <v>7086000000</v>
      </c>
      <c r="VF9" s="37">
        <v>584000000</v>
      </c>
      <c r="VG9" s="37">
        <v>7670000000</v>
      </c>
      <c r="VH9" s="37">
        <v>3415000000</v>
      </c>
      <c r="VI9" s="37">
        <v>77000000</v>
      </c>
      <c r="VK9" s="37">
        <v>3492000000</v>
      </c>
      <c r="VR9" s="37" t="s">
        <v>1149</v>
      </c>
      <c r="VS9" s="37" t="s">
        <v>1150</v>
      </c>
    </row>
    <row r="10" spans="1:591" s="37" customFormat="1" ht="12.75">
      <c r="A10" s="37">
        <v>1964</v>
      </c>
      <c r="B10" s="37">
        <v>100</v>
      </c>
      <c r="C10" s="37" t="s">
        <v>1148</v>
      </c>
      <c r="GB10" s="157"/>
      <c r="GY10" s="158"/>
      <c r="GZ10" s="159"/>
      <c r="HA10" s="159"/>
      <c r="HB10" s="159"/>
      <c r="HC10" s="159"/>
      <c r="HD10" s="159"/>
      <c r="HE10" s="160"/>
      <c r="IE10" s="37">
        <v>7639000000</v>
      </c>
      <c r="IF10" s="37">
        <v>7639000000</v>
      </c>
      <c r="IL10" s="157"/>
      <c r="JA10" s="158"/>
      <c r="JB10" s="159"/>
      <c r="JC10" s="159"/>
      <c r="JD10" s="160"/>
      <c r="JK10" s="158"/>
      <c r="JL10" s="160"/>
      <c r="JT10" s="158"/>
      <c r="KS10" s="37">
        <v>184000000</v>
      </c>
      <c r="KT10" s="37">
        <v>663000000</v>
      </c>
      <c r="KU10" s="37">
        <v>847000000</v>
      </c>
      <c r="LA10" s="157"/>
      <c r="NM10" s="157"/>
      <c r="PV10" s="157"/>
      <c r="PW10" s="37">
        <v>911000000</v>
      </c>
      <c r="PX10" s="37">
        <v>911000000</v>
      </c>
      <c r="QS10" s="158"/>
      <c r="QT10" s="160"/>
      <c r="SA10" s="37">
        <v>5784000000</v>
      </c>
      <c r="SB10" s="37">
        <v>2885000000</v>
      </c>
      <c r="SC10" s="37">
        <v>8669000000</v>
      </c>
      <c r="SD10" s="37">
        <v>8147000000</v>
      </c>
      <c r="SE10" s="37">
        <v>1433000000</v>
      </c>
      <c r="SF10" s="37">
        <v>9580000000</v>
      </c>
      <c r="SH10" s="157"/>
      <c r="SI10" s="37">
        <v>11884000000</v>
      </c>
      <c r="SJ10" s="37">
        <v>11884000000</v>
      </c>
      <c r="SL10" s="158"/>
      <c r="SM10" s="160"/>
      <c r="SX10" s="158"/>
      <c r="SY10" s="160"/>
      <c r="TS10" s="158"/>
      <c r="TT10" s="160"/>
      <c r="UE10" s="158"/>
      <c r="UF10" s="159"/>
      <c r="UG10" s="159"/>
      <c r="UH10" s="160"/>
      <c r="UZ10" s="158"/>
      <c r="VE10" s="37">
        <v>7823000000</v>
      </c>
      <c r="VF10" s="37">
        <v>663000000</v>
      </c>
      <c r="VG10" s="37">
        <v>8486000000</v>
      </c>
      <c r="VH10" s="37">
        <v>4221000000</v>
      </c>
      <c r="VI10" s="37">
        <v>88000000</v>
      </c>
      <c r="VK10" s="37">
        <v>4309000000</v>
      </c>
      <c r="VR10" s="37" t="s">
        <v>1149</v>
      </c>
      <c r="VS10" s="37" t="s">
        <v>1150</v>
      </c>
    </row>
    <row r="11" spans="1:591" s="37" customFormat="1" ht="12.75">
      <c r="A11" s="37">
        <v>1965</v>
      </c>
      <c r="B11" s="37">
        <v>100</v>
      </c>
      <c r="C11" s="37" t="s">
        <v>1148</v>
      </c>
      <c r="GB11" s="157"/>
      <c r="GY11" s="158"/>
      <c r="GZ11" s="159"/>
      <c r="HA11" s="159"/>
      <c r="HB11" s="159"/>
      <c r="HC11" s="159"/>
      <c r="HD11" s="159"/>
      <c r="HE11" s="160"/>
      <c r="IE11" s="37">
        <v>8610000000</v>
      </c>
      <c r="IF11" s="37">
        <v>8610000000</v>
      </c>
      <c r="IL11" s="157"/>
      <c r="JA11" s="158"/>
      <c r="JB11" s="159"/>
      <c r="JC11" s="159"/>
      <c r="JD11" s="160"/>
      <c r="JK11" s="158"/>
      <c r="JL11" s="160"/>
      <c r="JT11" s="158"/>
      <c r="KS11" s="37">
        <v>206000000</v>
      </c>
      <c r="KT11" s="37">
        <v>743000000</v>
      </c>
      <c r="KU11" s="37">
        <v>949000000</v>
      </c>
      <c r="LA11" s="157"/>
      <c r="NM11" s="157"/>
      <c r="PV11" s="157"/>
      <c r="PW11" s="37">
        <v>480000000</v>
      </c>
      <c r="PX11" s="37">
        <v>480000000</v>
      </c>
      <c r="QS11" s="158"/>
      <c r="QT11" s="160"/>
      <c r="SA11" s="37">
        <v>6530000000</v>
      </c>
      <c r="SB11" s="37">
        <v>3073000000</v>
      </c>
      <c r="SC11" s="37">
        <v>9603000000</v>
      </c>
      <c r="SD11" s="37">
        <v>8560000000</v>
      </c>
      <c r="SE11" s="37">
        <v>1523000000</v>
      </c>
      <c r="SF11" s="37">
        <v>10083000000</v>
      </c>
      <c r="SH11" s="157"/>
      <c r="SI11" s="37">
        <v>13948000000</v>
      </c>
      <c r="SJ11" s="37">
        <v>13948000000</v>
      </c>
      <c r="SL11" s="158"/>
      <c r="SM11" s="160"/>
      <c r="SX11" s="158"/>
      <c r="SY11" s="160"/>
      <c r="TS11" s="158"/>
      <c r="TT11" s="160"/>
      <c r="UE11" s="158"/>
      <c r="UF11" s="159"/>
      <c r="UG11" s="159"/>
      <c r="UH11" s="160"/>
      <c r="UZ11" s="158"/>
      <c r="VE11" s="37">
        <v>8816000000</v>
      </c>
      <c r="VF11" s="37">
        <v>743000000</v>
      </c>
      <c r="VG11" s="37">
        <v>9559000000</v>
      </c>
      <c r="VH11" s="37">
        <v>4766000000</v>
      </c>
      <c r="VI11" s="37">
        <v>103000000</v>
      </c>
      <c r="VK11" s="37">
        <v>4869000000</v>
      </c>
      <c r="VR11" s="37" t="s">
        <v>1149</v>
      </c>
      <c r="VS11" s="37" t="s">
        <v>1150</v>
      </c>
    </row>
    <row r="12" spans="1:591" s="37" customFormat="1" ht="12.75">
      <c r="A12" s="37">
        <v>1966</v>
      </c>
      <c r="B12" s="37">
        <v>100</v>
      </c>
      <c r="C12" s="37" t="s">
        <v>1148</v>
      </c>
      <c r="FU12" s="37">
        <v>472000000</v>
      </c>
      <c r="FV12" s="37">
        <v>472000000</v>
      </c>
      <c r="GB12" s="157"/>
      <c r="GY12" s="158"/>
      <c r="GZ12" s="159"/>
      <c r="HA12" s="159"/>
      <c r="HB12" s="159"/>
      <c r="HC12" s="159"/>
      <c r="HD12" s="159"/>
      <c r="HE12" s="160"/>
      <c r="IE12" s="37">
        <v>9291000000</v>
      </c>
      <c r="IF12" s="37">
        <v>9291000000</v>
      </c>
      <c r="IL12" s="157"/>
      <c r="JA12" s="158"/>
      <c r="JB12" s="159"/>
      <c r="JC12" s="159"/>
      <c r="JD12" s="160"/>
      <c r="JK12" s="158"/>
      <c r="JL12" s="160"/>
      <c r="JT12" s="158"/>
      <c r="KS12" s="37">
        <v>235000000</v>
      </c>
      <c r="KT12" s="37">
        <v>835000000</v>
      </c>
      <c r="KU12" s="37">
        <v>1070000000</v>
      </c>
      <c r="LA12" s="157"/>
      <c r="NM12" s="157"/>
      <c r="PV12" s="157"/>
      <c r="PW12" s="37">
        <v>505000000</v>
      </c>
      <c r="PX12" s="37">
        <v>505000000</v>
      </c>
      <c r="QS12" s="158"/>
      <c r="QT12" s="160"/>
      <c r="SA12" s="37">
        <v>7563000000</v>
      </c>
      <c r="SB12" s="37">
        <v>3278000000</v>
      </c>
      <c r="SC12" s="37">
        <v>10841000000</v>
      </c>
      <c r="SD12" s="37">
        <v>9651000000</v>
      </c>
      <c r="SE12" s="37">
        <v>1695000000</v>
      </c>
      <c r="SF12" s="37">
        <v>11346000000</v>
      </c>
      <c r="SH12" s="157"/>
      <c r="SI12" s="37">
        <v>14276000000</v>
      </c>
      <c r="SJ12" s="37">
        <v>14276000000</v>
      </c>
      <c r="SL12" s="158"/>
      <c r="SM12" s="160"/>
      <c r="SX12" s="158"/>
      <c r="SY12" s="160"/>
      <c r="TS12" s="158"/>
      <c r="TT12" s="160"/>
      <c r="UE12" s="158"/>
      <c r="UF12" s="159"/>
      <c r="UG12" s="159"/>
      <c r="UH12" s="160"/>
      <c r="UZ12" s="158"/>
      <c r="VE12" s="37">
        <v>9998000000</v>
      </c>
      <c r="VF12" s="37">
        <v>835000000</v>
      </c>
      <c r="VG12" s="37">
        <v>10833000000</v>
      </c>
      <c r="VH12" s="37">
        <v>3841000000</v>
      </c>
      <c r="VI12" s="37">
        <v>107000000</v>
      </c>
      <c r="VK12" s="37">
        <v>3948000000</v>
      </c>
      <c r="VR12" s="37" t="s">
        <v>1149</v>
      </c>
      <c r="VS12" s="37" t="s">
        <v>1150</v>
      </c>
    </row>
    <row r="13" spans="1:591" s="37" customFormat="1" ht="12.75">
      <c r="A13" s="37">
        <v>1967</v>
      </c>
      <c r="B13" s="37">
        <v>100</v>
      </c>
      <c r="C13" s="37" t="s">
        <v>1148</v>
      </c>
      <c r="FU13" s="37">
        <v>508000000</v>
      </c>
      <c r="FV13" s="37">
        <v>508000000</v>
      </c>
      <c r="GB13" s="157"/>
      <c r="GY13" s="158"/>
      <c r="GZ13" s="159"/>
      <c r="HA13" s="159"/>
      <c r="HB13" s="159"/>
      <c r="HC13" s="159"/>
      <c r="HD13" s="159"/>
      <c r="HE13" s="160"/>
      <c r="IE13" s="37">
        <v>9931000000</v>
      </c>
      <c r="IF13" s="37">
        <v>9931000000</v>
      </c>
      <c r="IL13" s="157"/>
      <c r="JA13" s="158"/>
      <c r="JB13" s="159"/>
      <c r="JC13" s="159"/>
      <c r="JD13" s="160"/>
      <c r="JK13" s="158"/>
      <c r="JL13" s="160"/>
      <c r="JT13" s="158"/>
      <c r="KS13" s="37">
        <v>260000000</v>
      </c>
      <c r="KT13" s="37">
        <v>939000000</v>
      </c>
      <c r="KU13" s="37">
        <v>1199000000</v>
      </c>
      <c r="LA13" s="157"/>
      <c r="NM13" s="157"/>
      <c r="PV13" s="157"/>
      <c r="PW13" s="37">
        <v>-720000000</v>
      </c>
      <c r="PX13" s="37">
        <v>-720000000</v>
      </c>
      <c r="QS13" s="158"/>
      <c r="QT13" s="160"/>
      <c r="SA13" s="37">
        <v>8781000000</v>
      </c>
      <c r="SB13" s="37">
        <v>3696000000</v>
      </c>
      <c r="SC13" s="37">
        <v>12477000000</v>
      </c>
      <c r="SD13" s="37">
        <v>10002000000</v>
      </c>
      <c r="SE13" s="37">
        <v>1755000000</v>
      </c>
      <c r="SF13" s="37">
        <v>11757000000</v>
      </c>
      <c r="SH13" s="157"/>
      <c r="SI13" s="37">
        <v>15470000000</v>
      </c>
      <c r="SJ13" s="37">
        <v>15470000000</v>
      </c>
      <c r="SL13" s="158"/>
      <c r="SM13" s="160"/>
      <c r="SX13" s="158"/>
      <c r="SY13" s="160"/>
      <c r="TS13" s="158"/>
      <c r="TT13" s="160"/>
      <c r="UE13" s="158"/>
      <c r="UF13" s="159"/>
      <c r="UG13" s="159"/>
      <c r="UH13" s="160"/>
      <c r="UZ13" s="158"/>
      <c r="VE13" s="37">
        <v>10699000000</v>
      </c>
      <c r="VF13" s="37">
        <v>939000000</v>
      </c>
      <c r="VG13" s="37">
        <v>11638000000</v>
      </c>
      <c r="VH13" s="37">
        <v>2997000000</v>
      </c>
      <c r="VI13" s="37">
        <v>115000000</v>
      </c>
      <c r="VK13" s="37">
        <v>3112000000</v>
      </c>
      <c r="VR13" s="37" t="s">
        <v>1149</v>
      </c>
      <c r="VS13" s="37" t="s">
        <v>1150</v>
      </c>
    </row>
    <row r="14" spans="1:591" s="37" customFormat="1" ht="12.75">
      <c r="A14" s="37">
        <v>1968</v>
      </c>
      <c r="B14" s="37">
        <v>100</v>
      </c>
      <c r="C14" s="37" t="s">
        <v>1148</v>
      </c>
      <c r="FU14" s="37">
        <v>553000000</v>
      </c>
      <c r="FV14" s="37">
        <v>553000000</v>
      </c>
      <c r="GB14" s="157"/>
      <c r="GY14" s="158"/>
      <c r="GZ14" s="159"/>
      <c r="HA14" s="159"/>
      <c r="HB14" s="159"/>
      <c r="HC14" s="159"/>
      <c r="HD14" s="159"/>
      <c r="HE14" s="160"/>
      <c r="IE14" s="37">
        <v>11039000000</v>
      </c>
      <c r="IF14" s="37">
        <v>11039000000</v>
      </c>
      <c r="IL14" s="157"/>
      <c r="JA14" s="158"/>
      <c r="JB14" s="159"/>
      <c r="JC14" s="159"/>
      <c r="JD14" s="160"/>
      <c r="JK14" s="158"/>
      <c r="JL14" s="160"/>
      <c r="JT14" s="158"/>
      <c r="KS14" s="37">
        <v>282000000</v>
      </c>
      <c r="KT14" s="37">
        <v>1018000000</v>
      </c>
      <c r="KU14" s="37">
        <v>1300000000</v>
      </c>
      <c r="LA14" s="157"/>
      <c r="NM14" s="157"/>
      <c r="PV14" s="157"/>
      <c r="PW14" s="37">
        <v>-890000000</v>
      </c>
      <c r="PX14" s="37">
        <v>-890000000</v>
      </c>
      <c r="QS14" s="158"/>
      <c r="QT14" s="160"/>
      <c r="SA14" s="37">
        <v>10570000000</v>
      </c>
      <c r="SB14" s="37">
        <v>4345000000</v>
      </c>
      <c r="SC14" s="37">
        <v>14915000000</v>
      </c>
      <c r="SD14" s="37">
        <v>11952000000</v>
      </c>
      <c r="SE14" s="37">
        <v>2073000000</v>
      </c>
      <c r="SF14" s="37">
        <v>14025000000</v>
      </c>
      <c r="SH14" s="157"/>
      <c r="SI14" s="37">
        <v>16529000000</v>
      </c>
      <c r="SJ14" s="37">
        <v>16529000000</v>
      </c>
      <c r="SL14" s="158"/>
      <c r="SM14" s="160"/>
      <c r="SX14" s="158"/>
      <c r="SY14" s="160"/>
      <c r="TS14" s="158"/>
      <c r="TT14" s="160"/>
      <c r="UE14" s="158"/>
      <c r="UF14" s="159"/>
      <c r="UG14" s="159"/>
      <c r="UH14" s="160"/>
      <c r="UZ14" s="158"/>
      <c r="VE14" s="37">
        <v>11874000000</v>
      </c>
      <c r="VF14" s="37">
        <v>1018000000</v>
      </c>
      <c r="VG14" s="37">
        <v>12892000000</v>
      </c>
      <c r="VH14" s="37">
        <v>2625000000</v>
      </c>
      <c r="VI14" s="37">
        <v>122000000</v>
      </c>
      <c r="VK14" s="37">
        <v>2747000000</v>
      </c>
      <c r="VR14" s="37" t="s">
        <v>1149</v>
      </c>
      <c r="VS14" s="37" t="s">
        <v>1150</v>
      </c>
    </row>
    <row r="15" spans="1:591" s="37" customFormat="1" ht="12.75">
      <c r="A15" s="37">
        <v>1969</v>
      </c>
      <c r="B15" s="37">
        <v>100</v>
      </c>
      <c r="C15" s="37" t="s">
        <v>1148</v>
      </c>
      <c r="FU15" s="37">
        <v>630000000</v>
      </c>
      <c r="FV15" s="37">
        <v>630000000</v>
      </c>
      <c r="GB15" s="157"/>
      <c r="GY15" s="158"/>
      <c r="GZ15" s="159"/>
      <c r="HA15" s="159"/>
      <c r="HB15" s="159"/>
      <c r="HC15" s="159"/>
      <c r="HD15" s="159"/>
      <c r="HE15" s="160"/>
      <c r="IE15" s="37">
        <v>12487000000</v>
      </c>
      <c r="IF15" s="37">
        <v>12487000000</v>
      </c>
      <c r="IL15" s="157"/>
      <c r="JA15" s="158"/>
      <c r="JB15" s="159"/>
      <c r="JC15" s="159"/>
      <c r="JD15" s="160"/>
      <c r="JK15" s="158"/>
      <c r="JL15" s="160"/>
      <c r="JT15" s="158"/>
      <c r="KS15" s="37">
        <v>309000000</v>
      </c>
      <c r="KT15" s="37">
        <v>1103000000</v>
      </c>
      <c r="KU15" s="37">
        <v>1412000000</v>
      </c>
      <c r="LA15" s="157"/>
      <c r="NM15" s="157"/>
      <c r="PV15" s="157"/>
      <c r="PW15" s="37">
        <v>-1715000000</v>
      </c>
      <c r="PX15" s="37">
        <v>-1715000000</v>
      </c>
      <c r="QS15" s="158"/>
      <c r="QT15" s="160"/>
      <c r="SA15" s="37">
        <v>13197000000</v>
      </c>
      <c r="SB15" s="37">
        <v>5262000000</v>
      </c>
      <c r="SC15" s="37">
        <v>18459000000</v>
      </c>
      <c r="SD15" s="37">
        <v>14298000000</v>
      </c>
      <c r="SE15" s="37">
        <v>2446000000</v>
      </c>
      <c r="SF15" s="37">
        <v>16744000000</v>
      </c>
      <c r="SH15" s="157"/>
      <c r="SI15" s="37">
        <v>19423000000</v>
      </c>
      <c r="SJ15" s="37">
        <v>19423000000</v>
      </c>
      <c r="SL15" s="158"/>
      <c r="SM15" s="160"/>
      <c r="SX15" s="158"/>
      <c r="SY15" s="160"/>
      <c r="TS15" s="158"/>
      <c r="TT15" s="160"/>
      <c r="UE15" s="158"/>
      <c r="UF15" s="159"/>
      <c r="UG15" s="159"/>
      <c r="UH15" s="160"/>
      <c r="UZ15" s="158"/>
      <c r="VE15" s="37">
        <v>13426000000</v>
      </c>
      <c r="VF15" s="37">
        <v>1103000000</v>
      </c>
      <c r="VG15" s="37">
        <v>14529000000</v>
      </c>
      <c r="VH15" s="37">
        <v>3036000000</v>
      </c>
      <c r="VI15" s="37">
        <v>143000000</v>
      </c>
      <c r="VK15" s="37">
        <v>3179000000</v>
      </c>
      <c r="VR15" s="37" t="s">
        <v>1149</v>
      </c>
      <c r="VS15" s="37" t="s">
        <v>1150</v>
      </c>
    </row>
    <row r="16" spans="1:591" s="37" customFormat="1" ht="12.75">
      <c r="A16" s="37">
        <v>1970</v>
      </c>
      <c r="B16" s="37">
        <v>100</v>
      </c>
      <c r="C16" s="37" t="s">
        <v>1148</v>
      </c>
      <c r="FU16" s="37">
        <v>713000000</v>
      </c>
      <c r="FV16" s="37">
        <v>713000000</v>
      </c>
      <c r="GB16" s="157"/>
      <c r="GY16" s="158"/>
      <c r="GZ16" s="159"/>
      <c r="HA16" s="159"/>
      <c r="HB16" s="159"/>
      <c r="HC16" s="159"/>
      <c r="HD16" s="159"/>
      <c r="HE16" s="160"/>
      <c r="IE16" s="37">
        <v>14262000000</v>
      </c>
      <c r="IF16" s="37">
        <v>14262000000</v>
      </c>
      <c r="IL16" s="157"/>
      <c r="JA16" s="158"/>
      <c r="JB16" s="159"/>
      <c r="JC16" s="159"/>
      <c r="JD16" s="160"/>
      <c r="JK16" s="158"/>
      <c r="JL16" s="160"/>
      <c r="JT16" s="158"/>
      <c r="KS16" s="37">
        <v>350000000</v>
      </c>
      <c r="KT16" s="37">
        <v>1280000000</v>
      </c>
      <c r="KU16" s="37">
        <v>1630000000</v>
      </c>
      <c r="LA16" s="157"/>
      <c r="NM16" s="157"/>
      <c r="PV16" s="157"/>
      <c r="PW16" s="37">
        <v>-1780000000</v>
      </c>
      <c r="PX16" s="37">
        <v>-1780000000</v>
      </c>
      <c r="QS16" s="158"/>
      <c r="QT16" s="160"/>
      <c r="SA16" s="37">
        <v>15238000000</v>
      </c>
      <c r="SB16" s="37">
        <v>6294000000</v>
      </c>
      <c r="SC16" s="37">
        <v>21532000000</v>
      </c>
      <c r="SD16" s="37">
        <v>16897000000</v>
      </c>
      <c r="SE16" s="37">
        <v>2855000000</v>
      </c>
      <c r="SF16" s="37">
        <v>19752000000</v>
      </c>
      <c r="SH16" s="157"/>
      <c r="SI16" s="37">
        <v>23100000000</v>
      </c>
      <c r="SJ16" s="37">
        <v>23100000000</v>
      </c>
      <c r="SL16" s="158"/>
      <c r="SM16" s="160"/>
      <c r="SX16" s="158"/>
      <c r="SY16" s="160"/>
      <c r="TS16" s="158"/>
      <c r="TT16" s="160"/>
      <c r="UE16" s="158"/>
      <c r="UF16" s="159"/>
      <c r="UG16" s="159"/>
      <c r="UH16" s="160"/>
      <c r="UZ16" s="158"/>
      <c r="VE16" s="37">
        <v>15325000000</v>
      </c>
      <c r="VF16" s="37">
        <v>1280000000</v>
      </c>
      <c r="VG16" s="37">
        <v>16605000000</v>
      </c>
      <c r="VH16" s="37">
        <v>4544000000</v>
      </c>
      <c r="VI16" s="37">
        <v>171000000</v>
      </c>
      <c r="VK16" s="37">
        <v>4715000000</v>
      </c>
      <c r="VR16" s="37" t="s">
        <v>1149</v>
      </c>
      <c r="VS16" s="37" t="s">
        <v>1150</v>
      </c>
    </row>
    <row r="17" spans="1:591" s="37" customFormat="1" ht="12.75">
      <c r="A17" s="37">
        <v>1971</v>
      </c>
      <c r="B17" s="37">
        <v>100</v>
      </c>
      <c r="C17" s="37" t="s">
        <v>1148</v>
      </c>
      <c r="FU17" s="37">
        <v>820000000</v>
      </c>
      <c r="FV17" s="37">
        <v>820000000</v>
      </c>
      <c r="GB17" s="157"/>
      <c r="GY17" s="158"/>
      <c r="GZ17" s="159"/>
      <c r="HA17" s="159"/>
      <c r="HB17" s="159"/>
      <c r="HC17" s="159"/>
      <c r="HD17" s="159"/>
      <c r="HE17" s="160"/>
      <c r="IE17" s="37">
        <v>16470000000</v>
      </c>
      <c r="IF17" s="37">
        <v>16470000000</v>
      </c>
      <c r="IL17" s="157"/>
      <c r="JA17" s="158"/>
      <c r="JB17" s="159"/>
      <c r="JC17" s="159"/>
      <c r="JD17" s="160"/>
      <c r="JK17" s="158"/>
      <c r="JL17" s="160"/>
      <c r="JT17" s="158"/>
      <c r="KS17" s="37">
        <v>374000000</v>
      </c>
      <c r="KT17" s="37">
        <v>1367000000</v>
      </c>
      <c r="KU17" s="37">
        <v>1741000000</v>
      </c>
      <c r="LA17" s="157"/>
      <c r="NM17" s="157"/>
      <c r="PV17" s="157"/>
      <c r="PW17" s="37">
        <v>-1121000000</v>
      </c>
      <c r="PX17" s="37">
        <v>-1121000000</v>
      </c>
      <c r="QS17" s="158"/>
      <c r="QT17" s="160"/>
      <c r="SA17" s="37">
        <v>17164000000</v>
      </c>
      <c r="SB17" s="37">
        <v>6677000000</v>
      </c>
      <c r="SC17" s="37">
        <v>23841000000</v>
      </c>
      <c r="SD17" s="37">
        <v>19456000000</v>
      </c>
      <c r="SE17" s="37">
        <v>3264000000</v>
      </c>
      <c r="SF17" s="37">
        <v>22720000000</v>
      </c>
      <c r="SH17" s="157"/>
      <c r="SI17" s="37">
        <v>26647000000</v>
      </c>
      <c r="SJ17" s="37">
        <v>26647000000</v>
      </c>
      <c r="SL17" s="158"/>
      <c r="SM17" s="160"/>
      <c r="SX17" s="158"/>
      <c r="SY17" s="160"/>
      <c r="TS17" s="158"/>
      <c r="TT17" s="160"/>
      <c r="UE17" s="158"/>
      <c r="UF17" s="159"/>
      <c r="UG17" s="159"/>
      <c r="UH17" s="160"/>
      <c r="UZ17" s="158"/>
      <c r="VE17" s="37">
        <v>17664000000</v>
      </c>
      <c r="VF17" s="37">
        <v>1367000000</v>
      </c>
      <c r="VG17" s="37">
        <v>19031000000</v>
      </c>
      <c r="VH17" s="37">
        <v>6298000000</v>
      </c>
      <c r="VI17" s="37">
        <v>197000000</v>
      </c>
      <c r="VK17" s="37">
        <v>6495000000</v>
      </c>
      <c r="VR17" s="37" t="s">
        <v>1149</v>
      </c>
      <c r="VS17" s="37" t="s">
        <v>1150</v>
      </c>
    </row>
    <row r="18" spans="1:591" s="37" customFormat="1" ht="12.75">
      <c r="A18" s="37">
        <v>1972</v>
      </c>
      <c r="B18" s="37">
        <v>100</v>
      </c>
      <c r="C18" s="37" t="s">
        <v>1148</v>
      </c>
      <c r="FU18" s="37">
        <v>1018000000</v>
      </c>
      <c r="FV18" s="37">
        <v>1018000000</v>
      </c>
      <c r="GB18" s="157"/>
      <c r="GY18" s="158"/>
      <c r="GZ18" s="159"/>
      <c r="HA18" s="159"/>
      <c r="HB18" s="159"/>
      <c r="HC18" s="159"/>
      <c r="HD18" s="159"/>
      <c r="HE18" s="160"/>
      <c r="IE18" s="37">
        <v>18969000000</v>
      </c>
      <c r="IF18" s="37">
        <v>18969000000</v>
      </c>
      <c r="IL18" s="157"/>
      <c r="JA18" s="158"/>
      <c r="JB18" s="159"/>
      <c r="JC18" s="159"/>
      <c r="JD18" s="160"/>
      <c r="JK18" s="158"/>
      <c r="JL18" s="160"/>
      <c r="JT18" s="158"/>
      <c r="KS18" s="37">
        <v>452000000</v>
      </c>
      <c r="KT18" s="37">
        <v>1626000000</v>
      </c>
      <c r="KU18" s="37">
        <v>2078000000</v>
      </c>
      <c r="LA18" s="157"/>
      <c r="NM18" s="157"/>
      <c r="PV18" s="157"/>
      <c r="PW18" s="37">
        <v>-2559000000</v>
      </c>
      <c r="PX18" s="37">
        <v>-2559000000</v>
      </c>
      <c r="QS18" s="158"/>
      <c r="QT18" s="160"/>
      <c r="SA18" s="37">
        <v>19400000000</v>
      </c>
      <c r="SB18" s="37">
        <v>7784000000</v>
      </c>
      <c r="SC18" s="37">
        <v>27184000000</v>
      </c>
      <c r="SD18" s="37">
        <v>20914000000</v>
      </c>
      <c r="SE18" s="37">
        <v>3711000000</v>
      </c>
      <c r="SF18" s="37">
        <v>24625000000</v>
      </c>
      <c r="SH18" s="157"/>
      <c r="SI18" s="37">
        <v>32168000000</v>
      </c>
      <c r="SJ18" s="37">
        <v>32168000000</v>
      </c>
      <c r="SL18" s="158"/>
      <c r="SM18" s="160"/>
      <c r="SX18" s="158"/>
      <c r="SY18" s="160"/>
      <c r="TS18" s="158"/>
      <c r="TT18" s="160"/>
      <c r="UE18" s="158"/>
      <c r="UF18" s="159"/>
      <c r="UG18" s="159"/>
      <c r="UH18" s="160"/>
      <c r="UZ18" s="158"/>
      <c r="VE18" s="37">
        <v>20439000000</v>
      </c>
      <c r="VF18" s="37">
        <v>1626000000</v>
      </c>
      <c r="VG18" s="37">
        <v>22065000000</v>
      </c>
      <c r="VH18" s="37">
        <v>7308000000</v>
      </c>
      <c r="VI18" s="37">
        <v>236000000</v>
      </c>
      <c r="VK18" s="37">
        <v>7544000000</v>
      </c>
      <c r="VR18" s="37" t="s">
        <v>1149</v>
      </c>
      <c r="VS18" s="37" t="s">
        <v>1150</v>
      </c>
    </row>
    <row r="19" spans="1:591" s="37" customFormat="1" ht="12.75">
      <c r="A19" s="37">
        <v>1973</v>
      </c>
      <c r="B19" s="37">
        <v>100</v>
      </c>
      <c r="C19" s="37" t="s">
        <v>1148</v>
      </c>
      <c r="FU19" s="37">
        <v>1326000000</v>
      </c>
      <c r="FV19" s="37">
        <v>1326000000</v>
      </c>
      <c r="GB19" s="157"/>
      <c r="GY19" s="158"/>
      <c r="GZ19" s="159"/>
      <c r="HA19" s="159"/>
      <c r="HB19" s="159"/>
      <c r="HC19" s="159"/>
      <c r="HD19" s="159"/>
      <c r="HE19" s="160"/>
      <c r="IE19" s="37">
        <v>25333000000</v>
      </c>
      <c r="IF19" s="37">
        <v>25333000000</v>
      </c>
      <c r="IL19" s="157"/>
      <c r="JA19" s="158"/>
      <c r="JB19" s="159"/>
      <c r="JC19" s="159"/>
      <c r="JD19" s="160"/>
      <c r="JK19" s="158"/>
      <c r="JL19" s="160"/>
      <c r="JT19" s="158"/>
      <c r="KS19" s="37">
        <v>641000000</v>
      </c>
      <c r="KT19" s="37">
        <v>1918000000</v>
      </c>
      <c r="KU19" s="37">
        <v>2559000000</v>
      </c>
      <c r="LA19" s="157"/>
      <c r="NM19" s="157"/>
      <c r="PV19" s="157"/>
      <c r="PW19" s="37">
        <v>-2609000000</v>
      </c>
      <c r="PX19" s="37">
        <v>-2609000000</v>
      </c>
      <c r="QS19" s="158"/>
      <c r="QT19" s="160"/>
      <c r="SA19" s="37">
        <v>25999000000</v>
      </c>
      <c r="SB19" s="37">
        <v>9303000000</v>
      </c>
      <c r="SC19" s="37">
        <v>35302000000</v>
      </c>
      <c r="SD19" s="37">
        <v>27912000000</v>
      </c>
      <c r="SE19" s="37">
        <v>4781000000</v>
      </c>
      <c r="SF19" s="37">
        <v>32693000000</v>
      </c>
      <c r="SH19" s="157"/>
      <c r="SI19" s="37">
        <v>41284000000</v>
      </c>
      <c r="SJ19" s="37">
        <v>41284000000</v>
      </c>
      <c r="SL19" s="158"/>
      <c r="SM19" s="160"/>
      <c r="SX19" s="158"/>
      <c r="SY19" s="160"/>
      <c r="TS19" s="158"/>
      <c r="TT19" s="160"/>
      <c r="UE19" s="158"/>
      <c r="UF19" s="159"/>
      <c r="UG19" s="159"/>
      <c r="UH19" s="160"/>
      <c r="UZ19" s="158"/>
      <c r="VE19" s="37">
        <v>27300000000</v>
      </c>
      <c r="VF19" s="37">
        <v>1918000000</v>
      </c>
      <c r="VG19" s="37">
        <v>29218000000</v>
      </c>
      <c r="VH19" s="37">
        <v>9154000000</v>
      </c>
      <c r="VI19" s="37">
        <v>303000000</v>
      </c>
      <c r="VK19" s="37">
        <v>9457000000</v>
      </c>
      <c r="VR19" s="37" t="s">
        <v>1149</v>
      </c>
      <c r="VS19" s="37" t="s">
        <v>1150</v>
      </c>
    </row>
    <row r="20" spans="1:591" s="37" customFormat="1" ht="12.75">
      <c r="A20" s="37">
        <v>1974</v>
      </c>
      <c r="B20" s="37">
        <v>100</v>
      </c>
      <c r="C20" s="37" t="s">
        <v>1148</v>
      </c>
      <c r="FU20" s="37">
        <v>1593000000</v>
      </c>
      <c r="FV20" s="37">
        <v>1593000000</v>
      </c>
      <c r="GB20" s="157"/>
      <c r="GY20" s="158"/>
      <c r="GZ20" s="159"/>
      <c r="HA20" s="159"/>
      <c r="HB20" s="159"/>
      <c r="HC20" s="159"/>
      <c r="HD20" s="159"/>
      <c r="HE20" s="160"/>
      <c r="IE20" s="37">
        <v>28713000000</v>
      </c>
      <c r="IF20" s="37">
        <v>28713000000</v>
      </c>
      <c r="IL20" s="157"/>
      <c r="JA20" s="158"/>
      <c r="JB20" s="159"/>
      <c r="JC20" s="159"/>
      <c r="JD20" s="160"/>
      <c r="JK20" s="158"/>
      <c r="JL20" s="160"/>
      <c r="JT20" s="158"/>
      <c r="KS20" s="37">
        <v>839000000</v>
      </c>
      <c r="KT20" s="37">
        <v>2332000000</v>
      </c>
      <c r="KU20" s="37">
        <v>3171000000</v>
      </c>
      <c r="LA20" s="157"/>
      <c r="NM20" s="157"/>
      <c r="PV20" s="157"/>
      <c r="PW20" s="37">
        <v>-2264000000</v>
      </c>
      <c r="PX20" s="37">
        <v>-2264000000</v>
      </c>
      <c r="QS20" s="158"/>
      <c r="QT20" s="160"/>
      <c r="SA20" s="37">
        <v>30036000000</v>
      </c>
      <c r="SB20" s="37">
        <v>10890000000</v>
      </c>
      <c r="SC20" s="37">
        <v>40926000000</v>
      </c>
      <c r="SD20" s="37">
        <v>32833000000</v>
      </c>
      <c r="SE20" s="37">
        <v>5829000000</v>
      </c>
      <c r="SF20" s="37">
        <v>38662000000</v>
      </c>
      <c r="SH20" s="157"/>
      <c r="SI20" s="37">
        <v>47165000000</v>
      </c>
      <c r="SJ20" s="37">
        <v>47165000000</v>
      </c>
      <c r="SL20" s="158"/>
      <c r="SM20" s="160"/>
      <c r="SX20" s="158"/>
      <c r="SY20" s="160"/>
      <c r="TS20" s="158"/>
      <c r="TT20" s="160"/>
      <c r="UE20" s="158"/>
      <c r="UF20" s="159"/>
      <c r="UG20" s="159"/>
      <c r="UH20" s="160"/>
      <c r="UZ20" s="158"/>
      <c r="VE20" s="37">
        <v>31145000000</v>
      </c>
      <c r="VF20" s="37">
        <v>2332000000</v>
      </c>
      <c r="VG20" s="37">
        <v>33477000000</v>
      </c>
      <c r="VH20" s="37">
        <v>10746000000</v>
      </c>
      <c r="VI20" s="37">
        <v>678000000</v>
      </c>
      <c r="VK20" s="37">
        <v>11424000000</v>
      </c>
      <c r="VR20" s="37" t="s">
        <v>1149</v>
      </c>
      <c r="VS20" s="37" t="s">
        <v>1150</v>
      </c>
    </row>
    <row r="21" spans="1:591" s="37" customFormat="1" ht="12.75">
      <c r="A21" s="37">
        <v>1975</v>
      </c>
      <c r="B21" s="37">
        <v>100</v>
      </c>
      <c r="C21" s="37" t="s">
        <v>1148</v>
      </c>
      <c r="FU21" s="37">
        <v>1822000000</v>
      </c>
      <c r="FV21" s="37">
        <v>1822000000</v>
      </c>
      <c r="GB21" s="157"/>
      <c r="GY21" s="158"/>
      <c r="GZ21" s="159"/>
      <c r="HA21" s="159"/>
      <c r="HB21" s="159"/>
      <c r="HC21" s="159"/>
      <c r="HD21" s="159"/>
      <c r="HE21" s="160"/>
      <c r="IE21" s="37">
        <v>30100000000</v>
      </c>
      <c r="IF21" s="37">
        <v>30100000000</v>
      </c>
      <c r="IL21" s="157"/>
      <c r="JA21" s="158"/>
      <c r="JB21" s="159"/>
      <c r="JC21" s="159"/>
      <c r="JD21" s="160"/>
      <c r="JK21" s="158"/>
      <c r="JL21" s="160"/>
      <c r="JT21" s="158"/>
      <c r="KS21" s="37">
        <v>926000000</v>
      </c>
      <c r="KT21" s="37">
        <v>2567000000</v>
      </c>
      <c r="KU21" s="37">
        <v>3493000000</v>
      </c>
      <c r="LA21" s="157"/>
      <c r="NM21" s="157"/>
      <c r="PV21" s="157"/>
      <c r="PW21" s="37">
        <v>-2773000000</v>
      </c>
      <c r="PX21" s="37">
        <v>-2773000000</v>
      </c>
      <c r="QS21" s="158"/>
      <c r="QT21" s="160"/>
      <c r="SA21" s="37">
        <v>29832000000</v>
      </c>
      <c r="SB21" s="37">
        <v>11525000000</v>
      </c>
      <c r="SC21" s="37">
        <v>41357000000</v>
      </c>
      <c r="SD21" s="37">
        <v>32281000000</v>
      </c>
      <c r="SE21" s="37">
        <v>6303000000</v>
      </c>
      <c r="SF21" s="37">
        <v>38584000000</v>
      </c>
      <c r="SH21" s="157"/>
      <c r="SI21" s="37">
        <v>49567000000</v>
      </c>
      <c r="SJ21" s="37">
        <v>49567000000</v>
      </c>
      <c r="SL21" s="158"/>
      <c r="SM21" s="160"/>
      <c r="SX21" s="158"/>
      <c r="SY21" s="160"/>
      <c r="TS21" s="158"/>
      <c r="TT21" s="160"/>
      <c r="UE21" s="158"/>
      <c r="UF21" s="159"/>
      <c r="UG21" s="159"/>
      <c r="UH21" s="160"/>
      <c r="UZ21" s="158"/>
      <c r="VE21" s="37">
        <v>32848000000</v>
      </c>
      <c r="VF21" s="37">
        <v>2567000000</v>
      </c>
      <c r="VG21" s="37">
        <v>35415000000</v>
      </c>
      <c r="VH21" s="37">
        <v>10648000000</v>
      </c>
      <c r="VI21" s="37">
        <v>731000000</v>
      </c>
      <c r="VK21" s="37">
        <v>11379000000</v>
      </c>
      <c r="VR21" s="37" t="s">
        <v>1149</v>
      </c>
      <c r="VS21" s="37" t="s">
        <v>1150</v>
      </c>
    </row>
    <row r="22" spans="1:591" s="37" customFormat="1" ht="12.75">
      <c r="A22" s="37">
        <v>1976</v>
      </c>
      <c r="B22" s="37">
        <v>200</v>
      </c>
      <c r="C22" s="37" t="s">
        <v>1148</v>
      </c>
      <c r="FU22" s="37">
        <v>2182000000</v>
      </c>
      <c r="FV22" s="37">
        <v>2182000000</v>
      </c>
      <c r="GB22" s="157"/>
      <c r="GY22" s="158"/>
      <c r="GZ22" s="159"/>
      <c r="HA22" s="159"/>
      <c r="HB22" s="159"/>
      <c r="HC22" s="159"/>
      <c r="HD22" s="159"/>
      <c r="HE22" s="160"/>
      <c r="IE22" s="37">
        <v>34176000000</v>
      </c>
      <c r="IF22" s="37">
        <v>34176000000</v>
      </c>
      <c r="IL22" s="157"/>
      <c r="JA22" s="158"/>
      <c r="JB22" s="159"/>
      <c r="JC22" s="159"/>
      <c r="JD22" s="160"/>
      <c r="JK22" s="158"/>
      <c r="JL22" s="160"/>
      <c r="JT22" s="158"/>
      <c r="KS22" s="37">
        <v>1067000000</v>
      </c>
      <c r="KT22" s="37">
        <v>2941000000</v>
      </c>
      <c r="KU22" s="37">
        <v>4008000000</v>
      </c>
      <c r="LA22" s="157"/>
      <c r="NM22" s="157"/>
      <c r="PV22" s="157"/>
      <c r="PW22" s="37">
        <v>-6745000000</v>
      </c>
      <c r="PX22" s="37">
        <v>-6745000000</v>
      </c>
      <c r="QS22" s="158"/>
      <c r="QT22" s="160"/>
      <c r="SA22" s="37">
        <v>41557000000</v>
      </c>
      <c r="SB22" s="37">
        <v>14931000000</v>
      </c>
      <c r="SC22" s="37">
        <v>56488000000</v>
      </c>
      <c r="SD22" s="37">
        <v>41939000000</v>
      </c>
      <c r="SE22" s="37">
        <v>7804000000</v>
      </c>
      <c r="SF22" s="37">
        <v>49743000000</v>
      </c>
      <c r="SH22" s="157"/>
      <c r="SI22" s="37">
        <v>63141000000</v>
      </c>
      <c r="SJ22" s="37">
        <v>63141000000</v>
      </c>
      <c r="SL22" s="158"/>
      <c r="SM22" s="160"/>
      <c r="SX22" s="158"/>
      <c r="SY22" s="160"/>
      <c r="TS22" s="158"/>
      <c r="TT22" s="160"/>
      <c r="UE22" s="158"/>
      <c r="UF22" s="159"/>
      <c r="UG22" s="159"/>
      <c r="UH22" s="160"/>
      <c r="UZ22" s="158"/>
      <c r="VE22" s="37">
        <v>37425000000</v>
      </c>
      <c r="VF22" s="37">
        <v>2941000000</v>
      </c>
      <c r="VG22" s="37">
        <v>40366000000</v>
      </c>
      <c r="VH22" s="37">
        <v>13051000000</v>
      </c>
      <c r="VI22" s="37">
        <v>2979000000</v>
      </c>
      <c r="VK22" s="37">
        <v>16030000000</v>
      </c>
      <c r="VR22" s="37" t="s">
        <v>1149</v>
      </c>
      <c r="VS22" s="37" t="s">
        <v>1150</v>
      </c>
    </row>
    <row r="23" spans="1:591" s="37" customFormat="1" ht="12.75">
      <c r="A23" s="37">
        <v>1977</v>
      </c>
      <c r="B23" s="37">
        <v>200</v>
      </c>
      <c r="C23" s="37" t="s">
        <v>1148</v>
      </c>
      <c r="FU23" s="37">
        <v>2548000000</v>
      </c>
      <c r="FV23" s="37">
        <v>2548000000</v>
      </c>
      <c r="GB23" s="157"/>
      <c r="GY23" s="158"/>
      <c r="GZ23" s="159"/>
      <c r="HA23" s="159"/>
      <c r="HB23" s="159"/>
      <c r="HC23" s="159"/>
      <c r="HD23" s="159"/>
      <c r="HE23" s="160"/>
      <c r="IE23" s="37">
        <v>41795000000</v>
      </c>
      <c r="IF23" s="37">
        <v>41795000000</v>
      </c>
      <c r="IL23" s="157"/>
      <c r="JA23" s="158"/>
      <c r="JB23" s="159"/>
      <c r="JC23" s="159"/>
      <c r="JD23" s="160"/>
      <c r="JK23" s="158"/>
      <c r="JL23" s="160"/>
      <c r="JT23" s="158"/>
      <c r="KS23" s="37">
        <v>1212000000</v>
      </c>
      <c r="KT23" s="37">
        <v>3443000000</v>
      </c>
      <c r="KU23" s="37">
        <v>4655000000</v>
      </c>
      <c r="LA23" s="157"/>
      <c r="NM23" s="157"/>
      <c r="PV23" s="157"/>
      <c r="PW23" s="37">
        <v>-4788000000</v>
      </c>
      <c r="PX23" s="37">
        <v>-4788000000</v>
      </c>
      <c r="QS23" s="158"/>
      <c r="QT23" s="160"/>
      <c r="SA23" s="37">
        <v>44833000000</v>
      </c>
      <c r="SB23" s="37">
        <v>16258000000</v>
      </c>
      <c r="SC23" s="37">
        <v>61091000000</v>
      </c>
      <c r="SD23" s="37">
        <v>47060000000</v>
      </c>
      <c r="SE23" s="37">
        <v>9243000000</v>
      </c>
      <c r="SF23" s="37">
        <v>56303000000</v>
      </c>
      <c r="SH23" s="157"/>
      <c r="SI23" s="37">
        <v>73222000000</v>
      </c>
      <c r="SJ23" s="37">
        <v>73222000000</v>
      </c>
      <c r="SL23" s="158"/>
      <c r="SM23" s="160"/>
      <c r="SX23" s="158"/>
      <c r="SY23" s="160"/>
      <c r="TS23" s="158"/>
      <c r="TT23" s="160"/>
      <c r="UE23" s="158"/>
      <c r="UF23" s="159"/>
      <c r="UG23" s="159"/>
      <c r="UH23" s="160"/>
      <c r="UZ23" s="158"/>
      <c r="VE23" s="37">
        <v>45555000000</v>
      </c>
      <c r="VF23" s="37">
        <v>3443000000</v>
      </c>
      <c r="VG23" s="37">
        <v>48998000000</v>
      </c>
      <c r="VH23" s="37">
        <v>17734000000</v>
      </c>
      <c r="VI23" s="37">
        <v>1702000000</v>
      </c>
      <c r="VK23" s="37">
        <v>19436000000</v>
      </c>
      <c r="VR23" s="37" t="s">
        <v>1149</v>
      </c>
      <c r="VS23" s="37" t="s">
        <v>1150</v>
      </c>
    </row>
    <row r="24" spans="1:591" s="37" customFormat="1" ht="12.75">
      <c r="A24" s="37">
        <v>1978</v>
      </c>
      <c r="B24" s="37">
        <v>200</v>
      </c>
      <c r="C24" s="37" t="s">
        <v>1148</v>
      </c>
      <c r="FU24" s="37">
        <v>2894000000</v>
      </c>
      <c r="FV24" s="37">
        <v>2894000000</v>
      </c>
      <c r="GB24" s="157"/>
      <c r="GY24" s="158"/>
      <c r="GZ24" s="159"/>
      <c r="HA24" s="159"/>
      <c r="HB24" s="159"/>
      <c r="HC24" s="159"/>
      <c r="HD24" s="159"/>
      <c r="HE24" s="160"/>
      <c r="IE24" s="37">
        <v>51853000000</v>
      </c>
      <c r="IF24" s="37">
        <v>51853000000</v>
      </c>
      <c r="IL24" s="157"/>
      <c r="JA24" s="158"/>
      <c r="JB24" s="159"/>
      <c r="JC24" s="159"/>
      <c r="JD24" s="160"/>
      <c r="JK24" s="158"/>
      <c r="JL24" s="160"/>
      <c r="JT24" s="158"/>
      <c r="KS24" s="37">
        <v>1383000000</v>
      </c>
      <c r="KT24" s="37">
        <v>4053000000</v>
      </c>
      <c r="KU24" s="37">
        <v>5436000000</v>
      </c>
      <c r="LA24" s="157"/>
      <c r="NM24" s="157"/>
      <c r="PV24" s="157"/>
      <c r="PW24" s="37">
        <v>-870000000</v>
      </c>
      <c r="PX24" s="37">
        <v>-870000000</v>
      </c>
      <c r="QS24" s="158"/>
      <c r="QT24" s="160"/>
      <c r="SA24" s="37">
        <v>53908000000</v>
      </c>
      <c r="SB24" s="37">
        <v>19508000000</v>
      </c>
      <c r="SC24" s="37">
        <v>73416000000</v>
      </c>
      <c r="SD24" s="37">
        <v>61074000000</v>
      </c>
      <c r="SE24" s="37">
        <v>11472000000</v>
      </c>
      <c r="SF24" s="37">
        <v>72546000000</v>
      </c>
      <c r="SH24" s="157"/>
      <c r="SI24" s="37">
        <v>85698000000</v>
      </c>
      <c r="SJ24" s="37">
        <v>85698000000</v>
      </c>
      <c r="SL24" s="158"/>
      <c r="SM24" s="160"/>
      <c r="SX24" s="158"/>
      <c r="SY24" s="160"/>
      <c r="TS24" s="158"/>
      <c r="TT24" s="160"/>
      <c r="UE24" s="158"/>
      <c r="UF24" s="159"/>
      <c r="UG24" s="159"/>
      <c r="UH24" s="160"/>
      <c r="UZ24" s="158"/>
      <c r="VE24" s="37">
        <v>56130000000</v>
      </c>
      <c r="VF24" s="37">
        <v>4053000000</v>
      </c>
      <c r="VG24" s="37">
        <v>60183000000</v>
      </c>
      <c r="VH24" s="37">
        <v>22578000000</v>
      </c>
      <c r="VI24" s="37">
        <v>2067000000</v>
      </c>
      <c r="VK24" s="37">
        <v>24645000000</v>
      </c>
      <c r="VR24" s="37" t="s">
        <v>1149</v>
      </c>
      <c r="VS24" s="37" t="s">
        <v>1150</v>
      </c>
    </row>
    <row r="25" spans="1:591" s="37" customFormat="1" ht="12.75">
      <c r="A25" s="37">
        <v>1979</v>
      </c>
      <c r="B25" s="37">
        <v>200</v>
      </c>
      <c r="C25" s="37" t="s">
        <v>1148</v>
      </c>
      <c r="FU25" s="37">
        <v>3242000000</v>
      </c>
      <c r="FV25" s="37">
        <v>3242000000</v>
      </c>
      <c r="GB25" s="157"/>
      <c r="GY25" s="158"/>
      <c r="GZ25" s="159"/>
      <c r="HA25" s="159"/>
      <c r="HB25" s="159"/>
      <c r="HC25" s="159"/>
      <c r="HD25" s="159"/>
      <c r="HE25" s="160"/>
      <c r="IE25" s="37">
        <v>64302000000</v>
      </c>
      <c r="IF25" s="37">
        <v>64302000000</v>
      </c>
      <c r="IL25" s="157"/>
      <c r="JA25" s="158"/>
      <c r="JB25" s="159"/>
      <c r="JC25" s="159"/>
      <c r="JD25" s="160"/>
      <c r="JK25" s="158"/>
      <c r="JL25" s="160"/>
      <c r="JT25" s="158"/>
      <c r="KS25" s="37">
        <v>1689000000</v>
      </c>
      <c r="KT25" s="37">
        <v>5066000000</v>
      </c>
      <c r="KU25" s="37">
        <v>6755000000</v>
      </c>
      <c r="LA25" s="157"/>
      <c r="NM25" s="157"/>
      <c r="PV25" s="157"/>
      <c r="PW25" s="37">
        <v>-1457000000</v>
      </c>
      <c r="PX25" s="37">
        <v>-1457000000</v>
      </c>
      <c r="QS25" s="158"/>
      <c r="QT25" s="160"/>
      <c r="SA25" s="37">
        <v>75934000000</v>
      </c>
      <c r="SB25" s="37">
        <v>25073000000</v>
      </c>
      <c r="SC25" s="37">
        <v>101007000000</v>
      </c>
      <c r="SD25" s="37">
        <v>83437000000</v>
      </c>
      <c r="SE25" s="37">
        <v>16113000000</v>
      </c>
      <c r="SF25" s="37">
        <v>99550000000</v>
      </c>
      <c r="SH25" s="157"/>
      <c r="SI25" s="37">
        <v>112533000000</v>
      </c>
      <c r="SJ25" s="37">
        <v>112533000000</v>
      </c>
      <c r="SL25" s="158"/>
      <c r="SM25" s="160"/>
      <c r="SX25" s="158"/>
      <c r="SY25" s="160"/>
      <c r="TS25" s="158"/>
      <c r="TT25" s="160"/>
      <c r="UE25" s="158"/>
      <c r="UF25" s="159"/>
      <c r="UG25" s="159"/>
      <c r="UH25" s="160"/>
      <c r="UZ25" s="158"/>
      <c r="VE25" s="37">
        <v>69233000000</v>
      </c>
      <c r="VF25" s="37">
        <v>5066000000</v>
      </c>
      <c r="VG25" s="37">
        <v>74299000000</v>
      </c>
      <c r="VH25" s="37">
        <v>33521000000</v>
      </c>
      <c r="VI25" s="37">
        <v>3256000000</v>
      </c>
      <c r="VK25" s="37">
        <v>36777000000</v>
      </c>
      <c r="VR25" s="37" t="s">
        <v>1149</v>
      </c>
      <c r="VS25" s="37" t="s">
        <v>1150</v>
      </c>
    </row>
    <row r="26" spans="1:591" s="37" customFormat="1" ht="12.75">
      <c r="A26" s="37">
        <v>1980</v>
      </c>
      <c r="B26" s="37">
        <v>200</v>
      </c>
      <c r="C26" s="37" t="s">
        <v>1148</v>
      </c>
      <c r="FU26" s="37">
        <v>4354000000</v>
      </c>
      <c r="FV26" s="37">
        <v>4354000000</v>
      </c>
      <c r="GB26" s="157"/>
      <c r="GY26" s="158"/>
      <c r="GZ26" s="159"/>
      <c r="HA26" s="159"/>
      <c r="HB26" s="159"/>
      <c r="HC26" s="159"/>
      <c r="HD26" s="159"/>
      <c r="HE26" s="160"/>
      <c r="IE26" s="37">
        <v>81057000000</v>
      </c>
      <c r="IF26" s="37">
        <v>81057000000</v>
      </c>
      <c r="IL26" s="157"/>
      <c r="JA26" s="158"/>
      <c r="JB26" s="159"/>
      <c r="JC26" s="159"/>
      <c r="JD26" s="160"/>
      <c r="JK26" s="158"/>
      <c r="JL26" s="160"/>
      <c r="JT26" s="158"/>
      <c r="KS26" s="37">
        <v>2213000000</v>
      </c>
      <c r="KT26" s="37">
        <v>6493000000</v>
      </c>
      <c r="KU26" s="37">
        <v>8706000000</v>
      </c>
      <c r="LA26" s="157"/>
      <c r="NM26" s="157"/>
      <c r="PV26" s="157"/>
      <c r="PW26" s="37">
        <v>686000000</v>
      </c>
      <c r="PX26" s="37">
        <v>686000000</v>
      </c>
      <c r="QS26" s="158"/>
      <c r="QT26" s="160"/>
      <c r="SA26" s="37">
        <v>98242000000</v>
      </c>
      <c r="SB26" s="37">
        <v>29239000000</v>
      </c>
      <c r="SC26" s="37">
        <v>127481000000</v>
      </c>
      <c r="SD26" s="37">
        <v>108120000000</v>
      </c>
      <c r="SE26" s="37">
        <v>20047000000</v>
      </c>
      <c r="SF26" s="37">
        <v>128167000000</v>
      </c>
      <c r="SH26" s="157"/>
      <c r="SI26" s="37">
        <v>143402000000</v>
      </c>
      <c r="SJ26" s="37">
        <v>143402000000</v>
      </c>
      <c r="SL26" s="158">
        <v>70702000000</v>
      </c>
      <c r="SM26" s="160">
        <v>70702000000</v>
      </c>
      <c r="SX26" s="158">
        <v>65535000000</v>
      </c>
      <c r="SY26" s="160">
        <v>65535000000</v>
      </c>
      <c r="SZ26" s="37">
        <v>5593000000</v>
      </c>
      <c r="TA26" s="37">
        <v>5593000000</v>
      </c>
      <c r="TG26" s="37">
        <v>5593000000</v>
      </c>
      <c r="TH26" s="37">
        <v>5593000000</v>
      </c>
      <c r="TI26" s="37">
        <v>5593000000</v>
      </c>
      <c r="TJ26" s="37">
        <v>5593000000</v>
      </c>
      <c r="TS26" s="158"/>
      <c r="TT26" s="160"/>
      <c r="UE26" s="158"/>
      <c r="UF26" s="159"/>
      <c r="UG26" s="159"/>
      <c r="UH26" s="160"/>
      <c r="UZ26" s="158"/>
      <c r="VC26" s="37">
        <v>287809000000</v>
      </c>
      <c r="VD26" s="37">
        <v>151572000000</v>
      </c>
      <c r="VE26" s="37">
        <v>87624000000</v>
      </c>
      <c r="VF26" s="37">
        <v>6493000000</v>
      </c>
      <c r="VG26" s="37">
        <v>94117000000</v>
      </c>
      <c r="VH26" s="37">
        <v>46226000000</v>
      </c>
      <c r="VI26" s="37">
        <v>3745000000</v>
      </c>
      <c r="VK26" s="37">
        <v>49971000000</v>
      </c>
      <c r="VO26" s="37">
        <v>1572000000</v>
      </c>
      <c r="VP26" s="37">
        <v>1572000000</v>
      </c>
      <c r="VQ26" s="37">
        <v>1572000000</v>
      </c>
      <c r="VR26" s="37" t="s">
        <v>1149</v>
      </c>
      <c r="VS26" s="37" t="s">
        <v>1150</v>
      </c>
    </row>
    <row r="27" spans="1:591" s="37" customFormat="1" ht="12.75">
      <c r="A27" s="37">
        <v>1981</v>
      </c>
      <c r="B27" s="37">
        <v>200</v>
      </c>
      <c r="C27" s="37" t="s">
        <v>1148</v>
      </c>
      <c r="FU27" s="37">
        <v>5513000000</v>
      </c>
      <c r="FV27" s="37">
        <v>5513000000</v>
      </c>
      <c r="GB27" s="157"/>
      <c r="GY27" s="158"/>
      <c r="GZ27" s="159"/>
      <c r="HA27" s="159"/>
      <c r="HB27" s="159"/>
      <c r="HC27" s="159"/>
      <c r="HD27" s="159"/>
      <c r="HE27" s="160"/>
      <c r="IE27" s="37">
        <v>97275000000</v>
      </c>
      <c r="IF27" s="37">
        <v>97275000000</v>
      </c>
      <c r="IL27" s="157"/>
      <c r="JA27" s="158"/>
      <c r="JB27" s="159"/>
      <c r="JC27" s="159"/>
      <c r="JD27" s="160"/>
      <c r="JK27" s="158"/>
      <c r="JL27" s="160"/>
      <c r="JT27" s="158"/>
      <c r="KS27" s="37">
        <v>2950000000</v>
      </c>
      <c r="KT27" s="37">
        <v>9261000000</v>
      </c>
      <c r="KU27" s="37">
        <v>12211000000</v>
      </c>
      <c r="LA27" s="157"/>
      <c r="NM27" s="157"/>
      <c r="PV27" s="157"/>
      <c r="PW27" s="37">
        <v>2569000000</v>
      </c>
      <c r="PX27" s="37">
        <v>2569000000</v>
      </c>
      <c r="QS27" s="158"/>
      <c r="QT27" s="160"/>
      <c r="SA27" s="37">
        <v>122163000000</v>
      </c>
      <c r="SB27" s="37">
        <v>35655000000</v>
      </c>
      <c r="SC27" s="37">
        <v>157818000000</v>
      </c>
      <c r="SD27" s="37">
        <v>134815000000</v>
      </c>
      <c r="SE27" s="37">
        <v>25572000000</v>
      </c>
      <c r="SF27" s="37">
        <v>160387000000</v>
      </c>
      <c r="SH27" s="157"/>
      <c r="SI27" s="37">
        <v>172965000000</v>
      </c>
      <c r="SJ27" s="37">
        <v>172965000000</v>
      </c>
      <c r="SL27" s="158">
        <v>86898000000</v>
      </c>
      <c r="SM27" s="160">
        <v>86898000000</v>
      </c>
      <c r="SX27" s="158">
        <v>80284000000</v>
      </c>
      <c r="SY27" s="160">
        <v>80284000000</v>
      </c>
      <c r="SZ27" s="37">
        <v>6544000000</v>
      </c>
      <c r="TA27" s="37">
        <v>6544000000</v>
      </c>
      <c r="TG27" s="37">
        <v>6544000000</v>
      </c>
      <c r="TH27" s="37">
        <v>6544000000</v>
      </c>
      <c r="TI27" s="37">
        <v>6544000000</v>
      </c>
      <c r="TJ27" s="37">
        <v>6544000000</v>
      </c>
      <c r="TS27" s="158"/>
      <c r="TT27" s="160"/>
      <c r="UE27" s="158"/>
      <c r="UF27" s="159"/>
      <c r="UG27" s="159"/>
      <c r="UH27" s="160"/>
      <c r="UZ27" s="158"/>
      <c r="VC27" s="37">
        <v>356113000000</v>
      </c>
      <c r="VD27" s="37">
        <v>188931000000</v>
      </c>
      <c r="VE27" s="37">
        <v>105738000000</v>
      </c>
      <c r="VF27" s="37">
        <v>9261000000</v>
      </c>
      <c r="VG27" s="37">
        <v>114999000000</v>
      </c>
      <c r="VH27" s="37">
        <v>56582000000</v>
      </c>
      <c r="VI27" s="37">
        <v>3953000000</v>
      </c>
      <c r="VK27" s="37">
        <v>60535000000</v>
      </c>
      <c r="VO27" s="37">
        <v>-761000000</v>
      </c>
      <c r="VP27" s="37">
        <v>-761000000</v>
      </c>
      <c r="VQ27" s="37">
        <v>-761000000</v>
      </c>
      <c r="VR27" s="37" t="s">
        <v>1149</v>
      </c>
      <c r="VS27" s="37" t="s">
        <v>1150</v>
      </c>
    </row>
    <row r="28" spans="1:591" s="37" customFormat="1" ht="12.75">
      <c r="A28" s="37">
        <v>1982</v>
      </c>
      <c r="B28" s="37">
        <v>200</v>
      </c>
      <c r="C28" s="37" t="s">
        <v>1148</v>
      </c>
      <c r="FU28" s="37">
        <v>6971000000</v>
      </c>
      <c r="FV28" s="37">
        <v>6971000000</v>
      </c>
      <c r="GB28" s="157"/>
      <c r="GY28" s="158"/>
      <c r="GZ28" s="159"/>
      <c r="HA28" s="159"/>
      <c r="HB28" s="159"/>
      <c r="HC28" s="159"/>
      <c r="HD28" s="159"/>
      <c r="HE28" s="160"/>
      <c r="IE28" s="37">
        <v>112120000000</v>
      </c>
      <c r="IF28" s="37">
        <v>112120000000</v>
      </c>
      <c r="IL28" s="157"/>
      <c r="JA28" s="158"/>
      <c r="JB28" s="159"/>
      <c r="JC28" s="159"/>
      <c r="JD28" s="160"/>
      <c r="JK28" s="158"/>
      <c r="JL28" s="160"/>
      <c r="JT28" s="158"/>
      <c r="KS28" s="37">
        <v>3582000000</v>
      </c>
      <c r="KT28" s="37">
        <v>10965000000</v>
      </c>
      <c r="KU28" s="37">
        <v>14547000000</v>
      </c>
      <c r="LA28" s="157"/>
      <c r="NM28" s="157"/>
      <c r="PV28" s="157"/>
      <c r="PW28" s="37">
        <v>-1185000000</v>
      </c>
      <c r="PX28" s="37">
        <v>-1185000000</v>
      </c>
      <c r="QS28" s="158"/>
      <c r="QT28" s="160"/>
      <c r="SA28" s="37">
        <v>127385000000</v>
      </c>
      <c r="SB28" s="37">
        <v>40736000000</v>
      </c>
      <c r="SC28" s="37">
        <v>168121000000</v>
      </c>
      <c r="SD28" s="37">
        <v>139321000000</v>
      </c>
      <c r="SE28" s="37">
        <v>27615000000</v>
      </c>
      <c r="SF28" s="37">
        <v>166936000000</v>
      </c>
      <c r="SH28" s="157"/>
      <c r="SI28" s="37">
        <v>195408000000</v>
      </c>
      <c r="SJ28" s="37">
        <v>195408000000</v>
      </c>
      <c r="SL28" s="158">
        <v>92949000000</v>
      </c>
      <c r="SM28" s="160">
        <v>92949000000</v>
      </c>
      <c r="SX28" s="158">
        <v>93497000000</v>
      </c>
      <c r="SY28" s="160">
        <v>93497000000</v>
      </c>
      <c r="SZ28" s="37">
        <v>6261000000</v>
      </c>
      <c r="TA28" s="37">
        <v>6261000000</v>
      </c>
      <c r="TG28" s="37">
        <v>6261000000</v>
      </c>
      <c r="TH28" s="37">
        <v>6261000000</v>
      </c>
      <c r="TI28" s="37">
        <v>6261000000</v>
      </c>
      <c r="TJ28" s="37">
        <v>6261000000</v>
      </c>
      <c r="TS28" s="158"/>
      <c r="TT28" s="160"/>
      <c r="UE28" s="158"/>
      <c r="UF28" s="159"/>
      <c r="UG28" s="159"/>
      <c r="UH28" s="160"/>
      <c r="UZ28" s="158"/>
      <c r="VC28" s="37">
        <v>385150000000</v>
      </c>
      <c r="VD28" s="37">
        <v>198703000000</v>
      </c>
      <c r="VE28" s="37">
        <v>122673000000</v>
      </c>
      <c r="VF28" s="37">
        <v>10965000000</v>
      </c>
      <c r="VG28" s="37">
        <v>133638000000</v>
      </c>
      <c r="VH28" s="37">
        <v>59182000000</v>
      </c>
      <c r="VI28" s="37">
        <v>1403000000</v>
      </c>
      <c r="VK28" s="37">
        <v>60585000000</v>
      </c>
      <c r="VO28" s="37">
        <v>2700000000</v>
      </c>
      <c r="VP28" s="37">
        <v>2700000000</v>
      </c>
      <c r="VQ28" s="37">
        <v>2700000000</v>
      </c>
      <c r="VR28" s="37" t="s">
        <v>1149</v>
      </c>
      <c r="VS28" s="37" t="s">
        <v>1150</v>
      </c>
    </row>
    <row r="29" spans="1:591" s="37" customFormat="1" ht="12.75">
      <c r="A29" s="37">
        <v>1983</v>
      </c>
      <c r="B29" s="37">
        <v>200</v>
      </c>
      <c r="C29" s="37" t="s">
        <v>1148</v>
      </c>
      <c r="FU29" s="37">
        <v>8025000000</v>
      </c>
      <c r="FV29" s="37">
        <v>8025000000</v>
      </c>
      <c r="GB29" s="157"/>
      <c r="GY29" s="158"/>
      <c r="GZ29" s="159"/>
      <c r="HA29" s="159"/>
      <c r="HB29" s="159"/>
      <c r="HC29" s="159"/>
      <c r="HD29" s="159"/>
      <c r="HE29" s="160"/>
      <c r="IE29" s="37">
        <v>130243000000</v>
      </c>
      <c r="IF29" s="37">
        <v>130243000000</v>
      </c>
      <c r="IL29" s="157"/>
      <c r="JA29" s="158"/>
      <c r="JB29" s="159"/>
      <c r="JC29" s="159"/>
      <c r="JD29" s="160"/>
      <c r="JK29" s="158"/>
      <c r="JL29" s="160"/>
      <c r="JT29" s="158"/>
      <c r="KS29" s="37">
        <v>4253000000</v>
      </c>
      <c r="KT29" s="37">
        <v>12083000000</v>
      </c>
      <c r="KU29" s="37">
        <v>16336000000</v>
      </c>
      <c r="LA29" s="157"/>
      <c r="NM29" s="157"/>
      <c r="PV29" s="157"/>
      <c r="PW29" s="37">
        <v>-4012000000</v>
      </c>
      <c r="PX29" s="37">
        <v>-4012000000</v>
      </c>
      <c r="QS29" s="158"/>
      <c r="QT29" s="160"/>
      <c r="SA29" s="37">
        <v>160699000000</v>
      </c>
      <c r="SB29" s="37">
        <v>47327000000</v>
      </c>
      <c r="SC29" s="37">
        <v>208026000000</v>
      </c>
      <c r="SD29" s="37">
        <v>171279000000</v>
      </c>
      <c r="SE29" s="37">
        <v>32735000000</v>
      </c>
      <c r="SF29" s="37">
        <v>204014000000</v>
      </c>
      <c r="SH29" s="157"/>
      <c r="SI29" s="37">
        <v>216383000000</v>
      </c>
      <c r="SJ29" s="37">
        <v>216383000000</v>
      </c>
      <c r="SL29" s="158">
        <v>100039000000</v>
      </c>
      <c r="SM29" s="160">
        <v>100039000000</v>
      </c>
      <c r="SX29" s="158">
        <v>105503000000</v>
      </c>
      <c r="SY29" s="160">
        <v>105503000000</v>
      </c>
      <c r="SZ29" s="37">
        <v>7643000000</v>
      </c>
      <c r="TA29" s="37">
        <v>7643000000</v>
      </c>
      <c r="TG29" s="37">
        <v>7643000000</v>
      </c>
      <c r="TH29" s="37">
        <v>7643000000</v>
      </c>
      <c r="TI29" s="37">
        <v>7643000000</v>
      </c>
      <c r="TJ29" s="37">
        <v>7643000000</v>
      </c>
      <c r="TS29" s="158"/>
      <c r="TT29" s="160"/>
      <c r="UE29" s="158"/>
      <c r="UF29" s="159"/>
      <c r="UG29" s="159"/>
      <c r="UH29" s="160"/>
      <c r="UZ29" s="158"/>
      <c r="VC29" s="37">
        <v>444880000000</v>
      </c>
      <c r="VD29" s="37">
        <v>239339000000</v>
      </c>
      <c r="VE29" s="37">
        <v>142521000000</v>
      </c>
      <c r="VF29" s="37">
        <v>12083000000</v>
      </c>
      <c r="VG29" s="37">
        <v>154604000000</v>
      </c>
      <c r="VH29" s="37">
        <v>53438000000</v>
      </c>
      <c r="VI29" s="37">
        <v>4329000000</v>
      </c>
      <c r="VK29" s="37">
        <v>57767000000</v>
      </c>
      <c r="VO29" s="37">
        <v>3199000000</v>
      </c>
      <c r="VP29" s="37">
        <v>3199000000</v>
      </c>
      <c r="VQ29" s="37">
        <v>3199000000</v>
      </c>
      <c r="VR29" s="37" t="s">
        <v>1149</v>
      </c>
      <c r="VS29" s="37" t="s">
        <v>1150</v>
      </c>
    </row>
    <row r="30" spans="1:591" s="37" customFormat="1" ht="12.75">
      <c r="A30" s="37">
        <v>1984</v>
      </c>
      <c r="B30" s="37">
        <v>200</v>
      </c>
      <c r="C30" s="37" t="s">
        <v>1148</v>
      </c>
      <c r="FU30" s="37">
        <v>9083000000</v>
      </c>
      <c r="FV30" s="37">
        <v>9083000000</v>
      </c>
      <c r="GB30" s="157"/>
      <c r="GY30" s="158"/>
      <c r="GZ30" s="159"/>
      <c r="HA30" s="159"/>
      <c r="HB30" s="159"/>
      <c r="HC30" s="159"/>
      <c r="HD30" s="159"/>
      <c r="HE30" s="160"/>
      <c r="IE30" s="37">
        <v>148760000000</v>
      </c>
      <c r="IF30" s="37">
        <v>148760000000</v>
      </c>
      <c r="IL30" s="157"/>
      <c r="JA30" s="158"/>
      <c r="JB30" s="159"/>
      <c r="JC30" s="159"/>
      <c r="JD30" s="160"/>
      <c r="JK30" s="158"/>
      <c r="JL30" s="160"/>
      <c r="JT30" s="158"/>
      <c r="KS30" s="37">
        <v>4677000000</v>
      </c>
      <c r="KT30" s="37">
        <v>13350000000</v>
      </c>
      <c r="KU30" s="37">
        <v>18027000000</v>
      </c>
      <c r="LA30" s="157"/>
      <c r="NM30" s="157"/>
      <c r="PV30" s="157"/>
      <c r="PW30" s="37">
        <v>-21144000000</v>
      </c>
      <c r="PX30" s="37">
        <v>-21144000000</v>
      </c>
      <c r="QS30" s="158"/>
      <c r="QT30" s="160"/>
      <c r="SA30" s="37">
        <v>221441000000</v>
      </c>
      <c r="SB30" s="37">
        <v>57396000000</v>
      </c>
      <c r="SC30" s="37">
        <v>278837000000</v>
      </c>
      <c r="SD30" s="37">
        <v>218252000000</v>
      </c>
      <c r="SE30" s="37">
        <v>39441000000</v>
      </c>
      <c r="SF30" s="37">
        <v>257693000000</v>
      </c>
      <c r="SH30" s="157"/>
      <c r="SI30" s="37">
        <v>260761000000</v>
      </c>
      <c r="SJ30" s="37">
        <v>260761000000</v>
      </c>
      <c r="SL30" s="158">
        <v>120157000000</v>
      </c>
      <c r="SM30" s="160">
        <v>120157000000</v>
      </c>
      <c r="SX30" s="158">
        <v>124213000000</v>
      </c>
      <c r="SY30" s="160">
        <v>124213000000</v>
      </c>
      <c r="SZ30" s="37">
        <v>8841000000</v>
      </c>
      <c r="TA30" s="37">
        <v>8841000000</v>
      </c>
      <c r="TG30" s="37">
        <v>8841000000</v>
      </c>
      <c r="TH30" s="37">
        <v>8841000000</v>
      </c>
      <c r="TI30" s="37">
        <v>8841000000</v>
      </c>
      <c r="TJ30" s="37">
        <v>8841000000</v>
      </c>
      <c r="TS30" s="158"/>
      <c r="TT30" s="160"/>
      <c r="UE30" s="158"/>
      <c r="UF30" s="159"/>
      <c r="UG30" s="159"/>
      <c r="UH30" s="160"/>
      <c r="UZ30" s="158"/>
      <c r="VC30" s="37">
        <v>529730000000</v>
      </c>
      <c r="VD30" s="37">
        <v>285360000000</v>
      </c>
      <c r="VE30" s="37">
        <v>162520000000</v>
      </c>
      <c r="VF30" s="37">
        <v>13350000000</v>
      </c>
      <c r="VG30" s="37">
        <v>175870000000</v>
      </c>
      <c r="VH30" s="37">
        <v>57944000000</v>
      </c>
      <c r="VI30" s="37">
        <v>5803000000</v>
      </c>
      <c r="VK30" s="37">
        <v>63747000000</v>
      </c>
      <c r="VO30" s="37">
        <v>7550000000</v>
      </c>
      <c r="VP30" s="37">
        <v>7550000000</v>
      </c>
      <c r="VQ30" s="37">
        <v>7550000000</v>
      </c>
      <c r="VR30" s="37" t="s">
        <v>1149</v>
      </c>
      <c r="VS30" s="37" t="s">
        <v>1150</v>
      </c>
    </row>
    <row r="31" spans="1:591" s="37" customFormat="1" ht="12.75">
      <c r="A31" s="37">
        <v>1985</v>
      </c>
      <c r="B31" s="37">
        <v>200</v>
      </c>
      <c r="C31" s="37" t="s">
        <v>1148</v>
      </c>
      <c r="FU31" s="37">
        <v>10262000000</v>
      </c>
      <c r="FV31" s="37">
        <v>10262000000</v>
      </c>
      <c r="GB31" s="157"/>
      <c r="GY31" s="158"/>
      <c r="GZ31" s="159"/>
      <c r="HA31" s="159"/>
      <c r="HB31" s="159"/>
      <c r="HC31" s="159"/>
      <c r="HD31" s="159"/>
      <c r="HE31" s="160"/>
      <c r="IE31" s="37">
        <v>159125000000</v>
      </c>
      <c r="IF31" s="37">
        <v>159125000000</v>
      </c>
      <c r="IL31" s="157"/>
      <c r="JA31" s="158"/>
      <c r="JB31" s="159"/>
      <c r="JC31" s="159"/>
      <c r="JD31" s="160"/>
      <c r="JK31" s="158"/>
      <c r="JL31" s="160"/>
      <c r="JT31" s="158"/>
      <c r="KS31" s="37">
        <v>5087000000</v>
      </c>
      <c r="KT31" s="37">
        <v>14664000000</v>
      </c>
      <c r="KU31" s="37">
        <v>19751000000</v>
      </c>
      <c r="LA31" s="157"/>
      <c r="NM31" s="157"/>
      <c r="PV31" s="157"/>
      <c r="PW31" s="37">
        <v>-28143000000</v>
      </c>
      <c r="PX31" s="37">
        <v>-28143000000</v>
      </c>
      <c r="QS31" s="158"/>
      <c r="QT31" s="160"/>
      <c r="SA31" s="37">
        <v>235152000000</v>
      </c>
      <c r="SB31" s="37">
        <v>62564000000</v>
      </c>
      <c r="SC31" s="37">
        <v>297716000000</v>
      </c>
      <c r="SD31" s="37">
        <v>226037000000</v>
      </c>
      <c r="SE31" s="37">
        <v>43536000000</v>
      </c>
      <c r="SF31" s="37">
        <v>269573000000</v>
      </c>
      <c r="SH31" s="157"/>
      <c r="SI31" s="37">
        <v>276823000000</v>
      </c>
      <c r="SJ31" s="37">
        <v>276823000000</v>
      </c>
      <c r="SL31" s="158">
        <v>121725000000</v>
      </c>
      <c r="SM31" s="160">
        <v>121725000000</v>
      </c>
      <c r="SX31" s="158">
        <v>137628000000</v>
      </c>
      <c r="SY31" s="160">
        <v>137628000000</v>
      </c>
      <c r="SZ31" s="37">
        <v>11745000000</v>
      </c>
      <c r="TA31" s="37">
        <v>11745000000</v>
      </c>
      <c r="TG31" s="37">
        <v>11745000000</v>
      </c>
      <c r="TH31" s="37">
        <v>11745000000</v>
      </c>
      <c r="TI31" s="37">
        <v>11745000000</v>
      </c>
      <c r="TJ31" s="37">
        <v>11745000000</v>
      </c>
      <c r="TS31" s="158"/>
      <c r="TT31" s="160"/>
      <c r="UE31" s="158"/>
      <c r="UF31" s="159"/>
      <c r="UG31" s="159"/>
      <c r="UH31" s="160"/>
      <c r="UZ31" s="158"/>
      <c r="VC31" s="37">
        <v>547465000000</v>
      </c>
      <c r="VD31" s="37">
        <v>288111000000</v>
      </c>
      <c r="VE31" s="37">
        <v>174474000000</v>
      </c>
      <c r="VF31" s="37">
        <v>14664000000</v>
      </c>
      <c r="VG31" s="37">
        <v>189138000000</v>
      </c>
      <c r="VH31" s="37">
        <v>58073000000</v>
      </c>
      <c r="VI31" s="37">
        <v>1469000000</v>
      </c>
      <c r="VK31" s="37">
        <v>59542000000</v>
      </c>
      <c r="VO31" s="37">
        <v>5725000000</v>
      </c>
      <c r="VP31" s="37">
        <v>5725000000</v>
      </c>
      <c r="VQ31" s="37">
        <v>5725000000</v>
      </c>
      <c r="VR31" s="37" t="s">
        <v>1149</v>
      </c>
      <c r="VS31" s="37" t="s">
        <v>1150</v>
      </c>
    </row>
    <row r="32" spans="1:591" s="37" customFormat="1" ht="12.75">
      <c r="A32" s="37">
        <v>1986</v>
      </c>
      <c r="B32" s="37">
        <v>200</v>
      </c>
      <c r="C32" s="37" t="s">
        <v>1148</v>
      </c>
      <c r="FU32" s="37">
        <v>12074000000</v>
      </c>
      <c r="FV32" s="37">
        <v>12074000000</v>
      </c>
      <c r="GB32" s="157"/>
      <c r="GY32" s="158"/>
      <c r="GZ32" s="159"/>
      <c r="HA32" s="159"/>
      <c r="HB32" s="159"/>
      <c r="HC32" s="159"/>
      <c r="HD32" s="159"/>
      <c r="HE32" s="160"/>
      <c r="IE32" s="37">
        <v>180069000000</v>
      </c>
      <c r="IF32" s="37">
        <v>180069000000</v>
      </c>
      <c r="IL32" s="157"/>
      <c r="JA32" s="158"/>
      <c r="JB32" s="159"/>
      <c r="JC32" s="159"/>
      <c r="JD32" s="160"/>
      <c r="JK32" s="158"/>
      <c r="JL32" s="160"/>
      <c r="JT32" s="158"/>
      <c r="KS32" s="37">
        <v>6249000000</v>
      </c>
      <c r="KT32" s="37">
        <v>16594000000</v>
      </c>
      <c r="KU32" s="37">
        <v>22843000000</v>
      </c>
      <c r="LA32" s="157"/>
      <c r="NM32" s="157"/>
      <c r="PV32" s="157"/>
      <c r="PW32" s="37">
        <v>-29467000000</v>
      </c>
      <c r="PX32" s="37">
        <v>-29467000000</v>
      </c>
      <c r="QS32" s="158"/>
      <c r="QT32" s="160"/>
      <c r="SA32" s="37">
        <v>276530000000</v>
      </c>
      <c r="SB32" s="37">
        <v>73482000000</v>
      </c>
      <c r="SC32" s="37">
        <v>350012000000</v>
      </c>
      <c r="SD32" s="37">
        <v>269913000000</v>
      </c>
      <c r="SE32" s="37">
        <v>50632000000</v>
      </c>
      <c r="SF32" s="37">
        <v>320545000000</v>
      </c>
      <c r="SH32" s="157"/>
      <c r="SI32" s="37">
        <v>319232000000</v>
      </c>
      <c r="SJ32" s="37">
        <v>319232000000</v>
      </c>
      <c r="SL32" s="158">
        <v>147007000000</v>
      </c>
      <c r="SM32" s="160">
        <v>147007000000</v>
      </c>
      <c r="SX32" s="158">
        <v>155954000000</v>
      </c>
      <c r="SY32" s="160">
        <v>155954000000</v>
      </c>
      <c r="SZ32" s="37">
        <v>14402000000</v>
      </c>
      <c r="TA32" s="37">
        <v>14402000000</v>
      </c>
      <c r="TG32" s="37">
        <v>14402000000</v>
      </c>
      <c r="TH32" s="37">
        <v>14402000000</v>
      </c>
      <c r="TI32" s="37">
        <v>14402000000</v>
      </c>
      <c r="TJ32" s="37">
        <v>14402000000</v>
      </c>
      <c r="TS32" s="158"/>
      <c r="TT32" s="160"/>
      <c r="UE32" s="158"/>
      <c r="UF32" s="159"/>
      <c r="UG32" s="159"/>
      <c r="UH32" s="160"/>
      <c r="UZ32" s="158"/>
      <c r="VC32" s="37">
        <v>643860000000</v>
      </c>
      <c r="VD32" s="37">
        <v>340898000000</v>
      </c>
      <c r="VE32" s="37">
        <v>198392000000</v>
      </c>
      <c r="VF32" s="37">
        <v>16594000000</v>
      </c>
      <c r="VG32" s="37">
        <v>214986000000</v>
      </c>
      <c r="VH32" s="37">
        <v>68596000000</v>
      </c>
      <c r="VI32" s="37">
        <v>6183000000</v>
      </c>
      <c r="VK32" s="37">
        <v>74779000000</v>
      </c>
      <c r="VO32" s="37">
        <v>1869000000</v>
      </c>
      <c r="VP32" s="37">
        <v>1869000000</v>
      </c>
      <c r="VQ32" s="37">
        <v>1869000000</v>
      </c>
      <c r="VR32" s="37" t="s">
        <v>1149</v>
      </c>
      <c r="VS32" s="37" t="s">
        <v>1150</v>
      </c>
    </row>
    <row r="33" spans="1:591" s="37" customFormat="1" ht="12.75">
      <c r="A33" s="37">
        <v>1987</v>
      </c>
      <c r="B33" s="37">
        <v>200</v>
      </c>
      <c r="C33" s="37" t="s">
        <v>1148</v>
      </c>
      <c r="FU33" s="37">
        <v>13704000000</v>
      </c>
      <c r="FV33" s="37">
        <v>13704000000</v>
      </c>
      <c r="GB33" s="157"/>
      <c r="GY33" s="158"/>
      <c r="GZ33" s="159"/>
      <c r="HA33" s="159"/>
      <c r="HB33" s="159"/>
      <c r="HC33" s="159"/>
      <c r="HD33" s="159"/>
      <c r="HE33" s="160"/>
      <c r="IE33" s="37">
        <v>210316000000</v>
      </c>
      <c r="IF33" s="37">
        <v>210316000000</v>
      </c>
      <c r="IL33" s="157"/>
      <c r="JA33" s="158"/>
      <c r="JB33" s="159"/>
      <c r="JC33" s="159"/>
      <c r="JD33" s="160"/>
      <c r="JK33" s="158"/>
      <c r="JL33" s="160"/>
      <c r="JT33" s="158"/>
      <c r="KS33" s="37">
        <v>7149000000</v>
      </c>
      <c r="KT33" s="37">
        <v>18523000000</v>
      </c>
      <c r="KU33" s="37">
        <v>25672000000</v>
      </c>
      <c r="LA33" s="157"/>
      <c r="NM33" s="157"/>
      <c r="PV33" s="157"/>
      <c r="PW33" s="37">
        <v>-41376000000</v>
      </c>
      <c r="PX33" s="37">
        <v>-41376000000</v>
      </c>
      <c r="QS33" s="158"/>
      <c r="QT33" s="160"/>
      <c r="SA33" s="37">
        <v>378034000000</v>
      </c>
      <c r="SB33" s="37">
        <v>94324000000</v>
      </c>
      <c r="SC33" s="37">
        <v>472358000000</v>
      </c>
      <c r="SD33" s="37">
        <v>369935000000</v>
      </c>
      <c r="SE33" s="37">
        <v>61047000000</v>
      </c>
      <c r="SF33" s="37">
        <v>430982000000</v>
      </c>
      <c r="SH33" s="157"/>
      <c r="SI33" s="37">
        <v>393541000000</v>
      </c>
      <c r="SJ33" s="37">
        <v>393541000000</v>
      </c>
      <c r="SL33" s="158">
        <v>191492000000</v>
      </c>
      <c r="SM33" s="160">
        <v>191492000000</v>
      </c>
      <c r="SX33" s="158">
        <v>184569000000</v>
      </c>
      <c r="SY33" s="160">
        <v>184569000000</v>
      </c>
      <c r="SZ33" s="37">
        <v>19577000000</v>
      </c>
      <c r="TA33" s="37">
        <v>19577000000</v>
      </c>
      <c r="TG33" s="37">
        <v>19577000000</v>
      </c>
      <c r="TH33" s="37">
        <v>19577000000</v>
      </c>
      <c r="TI33" s="37">
        <v>19577000000</v>
      </c>
      <c r="TJ33" s="37">
        <v>19577000000</v>
      </c>
      <c r="TS33" s="158"/>
      <c r="TT33" s="160"/>
      <c r="UE33" s="158"/>
      <c r="UF33" s="159"/>
      <c r="UG33" s="159"/>
      <c r="UH33" s="160"/>
      <c r="UZ33" s="158"/>
      <c r="VC33" s="37">
        <v>795762000000</v>
      </c>
      <c r="VD33" s="37">
        <v>419702000000</v>
      </c>
      <c r="VE33" s="37">
        <v>231169000000</v>
      </c>
      <c r="VF33" s="37">
        <v>18523000000</v>
      </c>
      <c r="VG33" s="37">
        <v>249692000000</v>
      </c>
      <c r="VH33" s="37">
        <v>92727000000</v>
      </c>
      <c r="VI33" s="37">
        <v>9746000000</v>
      </c>
      <c r="VK33" s="37">
        <v>102473000000</v>
      </c>
      <c r="VO33" s="37">
        <v>-2097000000</v>
      </c>
      <c r="VP33" s="37">
        <v>-2097000000</v>
      </c>
      <c r="VQ33" s="37">
        <v>-2097000000</v>
      </c>
      <c r="VR33" s="37" t="s">
        <v>1149</v>
      </c>
      <c r="VS33" s="37" t="s">
        <v>1150</v>
      </c>
    </row>
    <row r="34" spans="1:591" s="37" customFormat="1" ht="12.75">
      <c r="A34" s="37">
        <v>1988</v>
      </c>
      <c r="B34" s="37">
        <v>200</v>
      </c>
      <c r="C34" s="37" t="s">
        <v>1148</v>
      </c>
      <c r="FU34" s="37">
        <v>16273000000</v>
      </c>
      <c r="FV34" s="37">
        <v>16273000000</v>
      </c>
      <c r="GB34" s="157"/>
      <c r="GY34" s="158"/>
      <c r="GZ34" s="159"/>
      <c r="HA34" s="159"/>
      <c r="HB34" s="159"/>
      <c r="HC34" s="159"/>
      <c r="HD34" s="159"/>
      <c r="HE34" s="160"/>
      <c r="IE34" s="37">
        <v>245481000000</v>
      </c>
      <c r="IF34" s="37">
        <v>245481000000</v>
      </c>
      <c r="IL34" s="157"/>
      <c r="JA34" s="158"/>
      <c r="JB34" s="159"/>
      <c r="JC34" s="159"/>
      <c r="JD34" s="160"/>
      <c r="JK34" s="158"/>
      <c r="JL34" s="160"/>
      <c r="JT34" s="158"/>
      <c r="KS34" s="37">
        <v>8321000000</v>
      </c>
      <c r="KT34" s="37">
        <v>21622000000</v>
      </c>
      <c r="KU34" s="37">
        <v>29943000000</v>
      </c>
      <c r="LA34" s="157"/>
      <c r="NM34" s="157"/>
      <c r="PV34" s="157"/>
      <c r="PW34" s="37">
        <v>-41978000000</v>
      </c>
      <c r="PX34" s="37">
        <v>-41978000000</v>
      </c>
      <c r="QS34" s="158"/>
      <c r="QT34" s="160"/>
      <c r="SA34" s="37">
        <v>493069000000</v>
      </c>
      <c r="SB34" s="37">
        <v>111305000000</v>
      </c>
      <c r="SC34" s="37">
        <v>604374000000</v>
      </c>
      <c r="SD34" s="37">
        <v>488360000000</v>
      </c>
      <c r="SE34" s="37">
        <v>74036000000</v>
      </c>
      <c r="SF34" s="37">
        <v>562396000000</v>
      </c>
      <c r="SH34" s="157"/>
      <c r="SI34" s="37">
        <v>465245000000</v>
      </c>
      <c r="SJ34" s="37">
        <v>465245000000</v>
      </c>
      <c r="SL34" s="158">
        <v>232019000000</v>
      </c>
      <c r="SM34" s="160">
        <v>232019000000</v>
      </c>
      <c r="SX34" s="158">
        <v>216828000000</v>
      </c>
      <c r="SY34" s="160">
        <v>216828000000</v>
      </c>
      <c r="SZ34" s="37">
        <v>20407000000</v>
      </c>
      <c r="TA34" s="37">
        <v>20407000000</v>
      </c>
      <c r="TG34" s="37">
        <v>20407000000</v>
      </c>
      <c r="TH34" s="37">
        <v>20407000000</v>
      </c>
      <c r="TI34" s="37">
        <v>20407000000</v>
      </c>
      <c r="TJ34" s="37">
        <v>20407000000</v>
      </c>
      <c r="TS34" s="158"/>
      <c r="TT34" s="160"/>
      <c r="UE34" s="158"/>
      <c r="UF34" s="159"/>
      <c r="UG34" s="159"/>
      <c r="UH34" s="160"/>
      <c r="UZ34" s="158"/>
      <c r="VC34" s="37">
        <v>946955000000</v>
      </c>
      <c r="VD34" s="37">
        <v>498108000000</v>
      </c>
      <c r="VE34" s="37">
        <v>270075000000</v>
      </c>
      <c r="VF34" s="37">
        <v>21622000000</v>
      </c>
      <c r="VG34" s="37">
        <v>291697000000</v>
      </c>
      <c r="VH34" s="37">
        <v>117438000000</v>
      </c>
      <c r="VI34" s="37">
        <v>14132000000</v>
      </c>
      <c r="VK34" s="37">
        <v>131570000000</v>
      </c>
      <c r="VO34" s="37">
        <v>-4009000000</v>
      </c>
      <c r="VP34" s="37">
        <v>-4009000000</v>
      </c>
      <c r="VQ34" s="37">
        <v>-4009000000</v>
      </c>
      <c r="VR34" s="37" t="s">
        <v>1149</v>
      </c>
      <c r="VS34" s="37" t="s">
        <v>1150</v>
      </c>
    </row>
    <row r="35" spans="1:591" s="37" customFormat="1" ht="12.75">
      <c r="A35" s="37">
        <v>1989</v>
      </c>
      <c r="B35" s="37">
        <v>200</v>
      </c>
      <c r="C35" s="37" t="s">
        <v>1148</v>
      </c>
      <c r="FU35" s="37">
        <v>19941000000</v>
      </c>
      <c r="FV35" s="37">
        <v>19941000000</v>
      </c>
      <c r="GB35" s="157"/>
      <c r="GY35" s="158"/>
      <c r="GZ35" s="159"/>
      <c r="HA35" s="159"/>
      <c r="HB35" s="159"/>
      <c r="HC35" s="159"/>
      <c r="HD35" s="159"/>
      <c r="HE35" s="160"/>
      <c r="IE35" s="37">
        <v>276662000000</v>
      </c>
      <c r="IF35" s="37">
        <v>276662000000</v>
      </c>
      <c r="IL35" s="157"/>
      <c r="JA35" s="158"/>
      <c r="JB35" s="159"/>
      <c r="JC35" s="159"/>
      <c r="JD35" s="160"/>
      <c r="JK35" s="158"/>
      <c r="JL35" s="160"/>
      <c r="JT35" s="158"/>
      <c r="KS35" s="37">
        <v>10049000000</v>
      </c>
      <c r="KT35" s="37">
        <v>26119000000</v>
      </c>
      <c r="KU35" s="37">
        <v>36168000000</v>
      </c>
      <c r="LA35" s="157"/>
      <c r="NM35" s="157"/>
      <c r="PV35" s="157"/>
      <c r="PW35" s="37">
        <v>-61932000000</v>
      </c>
      <c r="PX35" s="37">
        <v>-61932000000</v>
      </c>
      <c r="QS35" s="158"/>
      <c r="QT35" s="160"/>
      <c r="SA35" s="37">
        <v>570509000000</v>
      </c>
      <c r="SB35" s="37">
        <v>127209000000</v>
      </c>
      <c r="SC35" s="37">
        <v>697718000000</v>
      </c>
      <c r="SD35" s="37">
        <v>551246000000</v>
      </c>
      <c r="SE35" s="37">
        <v>84540000000</v>
      </c>
      <c r="SF35" s="37">
        <v>635786000000</v>
      </c>
      <c r="SH35" s="157"/>
      <c r="SI35" s="37">
        <v>536268000000</v>
      </c>
      <c r="SJ35" s="37">
        <v>536268000000</v>
      </c>
      <c r="SL35" s="158">
        <v>258917000000</v>
      </c>
      <c r="SM35" s="160">
        <v>258917000000</v>
      </c>
      <c r="SX35" s="158">
        <v>252498000000</v>
      </c>
      <c r="SY35" s="160">
        <v>252498000000</v>
      </c>
      <c r="SZ35" s="37">
        <v>24243000000</v>
      </c>
      <c r="TA35" s="37">
        <v>24243000000</v>
      </c>
      <c r="TG35" s="37">
        <v>24243000000</v>
      </c>
      <c r="TH35" s="37">
        <v>24243000000</v>
      </c>
      <c r="TI35" s="37">
        <v>24243000000</v>
      </c>
      <c r="TJ35" s="37">
        <v>24243000000</v>
      </c>
      <c r="TS35" s="158"/>
      <c r="TT35" s="160"/>
      <c r="UE35" s="158"/>
      <c r="UF35" s="159"/>
      <c r="UG35" s="159"/>
      <c r="UH35" s="160"/>
      <c r="UZ35" s="158"/>
      <c r="VC35" s="37">
        <v>1062188000000</v>
      </c>
      <c r="VD35" s="37">
        <v>550773000000</v>
      </c>
      <c r="VE35" s="37">
        <v>306652000000</v>
      </c>
      <c r="VF35" s="37">
        <v>26119000000</v>
      </c>
      <c r="VG35" s="37">
        <v>332771000000</v>
      </c>
      <c r="VH35" s="37">
        <v>138102000000</v>
      </c>
      <c r="VI35" s="37">
        <v>3463000000</v>
      </c>
      <c r="VK35" s="37">
        <v>141565000000</v>
      </c>
      <c r="VO35" s="37">
        <v>610000000</v>
      </c>
      <c r="VP35" s="37">
        <v>610000000</v>
      </c>
      <c r="VQ35" s="37">
        <v>610000000</v>
      </c>
      <c r="VR35" s="37" t="s">
        <v>1149</v>
      </c>
      <c r="VS35" s="37" t="s">
        <v>1150</v>
      </c>
    </row>
    <row r="36" spans="1:591" s="37" customFormat="1" ht="12.75">
      <c r="A36" s="37">
        <v>1990</v>
      </c>
      <c r="B36" s="37">
        <v>200</v>
      </c>
      <c r="C36" s="37" t="s">
        <v>1148</v>
      </c>
      <c r="FU36" s="37">
        <v>24317000000</v>
      </c>
      <c r="FV36" s="37">
        <v>24317000000</v>
      </c>
      <c r="GB36" s="157"/>
      <c r="GY36" s="158"/>
      <c r="GZ36" s="159"/>
      <c r="HA36" s="159"/>
      <c r="HB36" s="159"/>
      <c r="HC36" s="159"/>
      <c r="HD36" s="159"/>
      <c r="HE36" s="160"/>
      <c r="IE36" s="37">
        <v>317851000000</v>
      </c>
      <c r="IF36" s="37">
        <v>317851000000</v>
      </c>
      <c r="IL36" s="157"/>
      <c r="JA36" s="158"/>
      <c r="JB36" s="159"/>
      <c r="JC36" s="159"/>
      <c r="JD36" s="160"/>
      <c r="JK36" s="158"/>
      <c r="JL36" s="160"/>
      <c r="JT36" s="158"/>
      <c r="KS36" s="37">
        <v>11952000000</v>
      </c>
      <c r="KT36" s="37">
        <v>31189000000</v>
      </c>
      <c r="KU36" s="37">
        <v>43141000000</v>
      </c>
      <c r="LA36" s="157"/>
      <c r="NM36" s="157"/>
      <c r="PV36" s="157"/>
      <c r="PW36" s="37">
        <v>-51755000000</v>
      </c>
      <c r="PX36" s="37">
        <v>-51755000000</v>
      </c>
      <c r="QS36" s="158"/>
      <c r="QT36" s="160"/>
      <c r="SA36" s="37">
        <v>639874000000</v>
      </c>
      <c r="SB36" s="37">
        <v>142505000000</v>
      </c>
      <c r="SC36" s="37">
        <v>782379000000</v>
      </c>
      <c r="SD36" s="37">
        <v>629846000000</v>
      </c>
      <c r="SE36" s="37">
        <v>100778000000</v>
      </c>
      <c r="SF36" s="37">
        <v>730624000000</v>
      </c>
      <c r="SH36" s="157"/>
      <c r="SI36" s="37">
        <v>598950000000</v>
      </c>
      <c r="SJ36" s="37">
        <v>598950000000</v>
      </c>
      <c r="SL36" s="158">
        <v>284010000000</v>
      </c>
      <c r="SM36" s="160">
        <v>284010000000</v>
      </c>
      <c r="SX36" s="158">
        <v>290838000000</v>
      </c>
      <c r="SY36" s="160">
        <v>290838000000</v>
      </c>
      <c r="SZ36" s="37">
        <v>28191000000</v>
      </c>
      <c r="TA36" s="37">
        <v>28191000000</v>
      </c>
      <c r="TG36" s="37">
        <v>28191000000</v>
      </c>
      <c r="TH36" s="37">
        <v>28191000000</v>
      </c>
      <c r="TI36" s="37">
        <v>28191000000</v>
      </c>
      <c r="TJ36" s="37">
        <v>28191000000</v>
      </c>
      <c r="TS36" s="158"/>
      <c r="TT36" s="160"/>
      <c r="UE36" s="158"/>
      <c r="UF36" s="159"/>
      <c r="UG36" s="159"/>
      <c r="UH36" s="160"/>
      <c r="UZ36" s="158"/>
      <c r="VC36" s="37">
        <v>1184659000000</v>
      </c>
      <c r="VD36" s="37">
        <v>609811000000</v>
      </c>
      <c r="VE36" s="37">
        <v>354120000000</v>
      </c>
      <c r="VF36" s="37">
        <v>31189000000</v>
      </c>
      <c r="VG36" s="37">
        <v>385309000000</v>
      </c>
      <c r="VH36" s="37">
        <v>156158000000</v>
      </c>
      <c r="VI36" s="37">
        <v>5728000000</v>
      </c>
      <c r="VK36" s="37">
        <v>161886000000</v>
      </c>
      <c r="VO36" s="37">
        <v>-4089000000</v>
      </c>
      <c r="VP36" s="37">
        <v>-4089000000</v>
      </c>
      <c r="VQ36" s="37">
        <v>-4089000000</v>
      </c>
      <c r="VR36" s="37" t="s">
        <v>1149</v>
      </c>
      <c r="VS36" s="37" t="s">
        <v>1150</v>
      </c>
    </row>
    <row r="37" spans="1:591" s="37" customFormat="1" ht="12.75">
      <c r="A37" s="37">
        <v>1991</v>
      </c>
      <c r="B37" s="37">
        <v>200</v>
      </c>
      <c r="C37" s="37" t="s">
        <v>1148</v>
      </c>
      <c r="FU37" s="37">
        <v>28402000000</v>
      </c>
      <c r="FV37" s="37">
        <v>28402000000</v>
      </c>
      <c r="GB37" s="157"/>
      <c r="GY37" s="158"/>
      <c r="GZ37" s="159"/>
      <c r="HA37" s="159"/>
      <c r="HB37" s="159"/>
      <c r="HC37" s="159"/>
      <c r="HD37" s="159"/>
      <c r="HE37" s="160"/>
      <c r="IE37" s="37">
        <v>378064000000</v>
      </c>
      <c r="IF37" s="37">
        <v>378064000000</v>
      </c>
      <c r="IL37" s="157"/>
      <c r="JA37" s="158"/>
      <c r="JB37" s="159"/>
      <c r="JC37" s="159"/>
      <c r="JD37" s="160"/>
      <c r="JK37" s="158"/>
      <c r="JL37" s="160"/>
      <c r="JT37" s="158"/>
      <c r="KS37" s="37">
        <v>14958000000</v>
      </c>
      <c r="KT37" s="37">
        <v>36336000000</v>
      </c>
      <c r="KU37" s="37">
        <v>51294000000</v>
      </c>
      <c r="LA37" s="157"/>
      <c r="NM37" s="157"/>
      <c r="PV37" s="157"/>
      <c r="PW37" s="37">
        <v>-47657000000</v>
      </c>
      <c r="PX37" s="37">
        <v>-47657000000</v>
      </c>
      <c r="QS37" s="158"/>
      <c r="QT37" s="160"/>
      <c r="SA37" s="37">
        <v>765886000000</v>
      </c>
      <c r="SB37" s="37">
        <v>161106000000</v>
      </c>
      <c r="SC37" s="37">
        <v>926992000000</v>
      </c>
      <c r="SD37" s="37">
        <v>764124000000</v>
      </c>
      <c r="SE37" s="37">
        <v>115211000000</v>
      </c>
      <c r="SF37" s="37">
        <v>879335000000</v>
      </c>
      <c r="SH37" s="157"/>
      <c r="SI37" s="37">
        <v>690324000000</v>
      </c>
      <c r="SJ37" s="37">
        <v>690324000000</v>
      </c>
      <c r="SL37" s="158">
        <v>324518000000</v>
      </c>
      <c r="SM37" s="160">
        <v>324518000000</v>
      </c>
      <c r="SX37" s="158">
        <v>327165000000</v>
      </c>
      <c r="SY37" s="160">
        <v>327165000000</v>
      </c>
      <c r="SZ37" s="37">
        <v>34631000000</v>
      </c>
      <c r="TA37" s="37">
        <v>34631000000</v>
      </c>
      <c r="TG37" s="37">
        <v>34631000000</v>
      </c>
      <c r="TH37" s="37">
        <v>34631000000</v>
      </c>
      <c r="TI37" s="37">
        <v>34631000000</v>
      </c>
      <c r="TJ37" s="37">
        <v>34631000000</v>
      </c>
      <c r="TS37" s="158"/>
      <c r="TT37" s="160"/>
      <c r="UE37" s="158"/>
      <c r="UF37" s="159"/>
      <c r="UG37" s="159"/>
      <c r="UH37" s="160"/>
      <c r="UZ37" s="158"/>
      <c r="VC37" s="37">
        <v>1312610000000</v>
      </c>
      <c r="VD37" s="37">
        <v>660928000000</v>
      </c>
      <c r="VE37" s="37">
        <v>421424000000</v>
      </c>
      <c r="VF37" s="37">
        <v>36336000000</v>
      </c>
      <c r="VG37" s="37">
        <v>457760000000</v>
      </c>
      <c r="VH37" s="37">
        <v>180809000000</v>
      </c>
      <c r="VI37" s="37">
        <v>4098000000</v>
      </c>
      <c r="VK37" s="37">
        <v>184907000000</v>
      </c>
      <c r="VO37" s="37">
        <v>4010000000</v>
      </c>
      <c r="VP37" s="37">
        <v>4010000000</v>
      </c>
      <c r="VQ37" s="37">
        <v>4010000000</v>
      </c>
      <c r="VR37" s="37" t="s">
        <v>1149</v>
      </c>
      <c r="VS37" s="37" t="s">
        <v>1150</v>
      </c>
    </row>
    <row r="38" spans="1:591" s="37" customFormat="1" ht="12.75">
      <c r="A38" s="37">
        <v>1992</v>
      </c>
      <c r="B38" s="37">
        <v>200</v>
      </c>
      <c r="C38" s="37" t="s">
        <v>1148</v>
      </c>
      <c r="FU38" s="37">
        <v>30311000000</v>
      </c>
      <c r="FV38" s="37">
        <v>30311000000</v>
      </c>
      <c r="GB38" s="157"/>
      <c r="GY38" s="158"/>
      <c r="GZ38" s="159"/>
      <c r="HA38" s="159"/>
      <c r="HB38" s="159"/>
      <c r="HC38" s="159"/>
      <c r="HD38" s="159"/>
      <c r="HE38" s="160"/>
      <c r="IE38" s="37">
        <v>442487000000</v>
      </c>
      <c r="IF38" s="37">
        <v>442487000000</v>
      </c>
      <c r="IL38" s="157"/>
      <c r="JA38" s="158"/>
      <c r="JB38" s="159"/>
      <c r="JC38" s="159"/>
      <c r="JD38" s="160"/>
      <c r="JK38" s="158"/>
      <c r="JL38" s="160"/>
      <c r="JT38" s="158"/>
      <c r="KS38" s="37">
        <v>22338000000</v>
      </c>
      <c r="KT38" s="37">
        <v>41457000000</v>
      </c>
      <c r="KU38" s="37">
        <v>63795000000</v>
      </c>
      <c r="LA38" s="157"/>
      <c r="NM38" s="157"/>
      <c r="PV38" s="157"/>
      <c r="PW38" s="37">
        <v>-42665000000</v>
      </c>
      <c r="PX38" s="37">
        <v>-42665000000</v>
      </c>
      <c r="QS38" s="158"/>
      <c r="QT38" s="160"/>
      <c r="SA38" s="37">
        <v>924953000000</v>
      </c>
      <c r="SB38" s="37">
        <v>185907000000</v>
      </c>
      <c r="SC38" s="37">
        <v>1110860000000</v>
      </c>
      <c r="SD38" s="37">
        <v>937349000000</v>
      </c>
      <c r="SE38" s="37">
        <v>130846000000</v>
      </c>
      <c r="SF38" s="37">
        <v>1068195000000</v>
      </c>
      <c r="SH38" s="157"/>
      <c r="SI38" s="37">
        <v>805082000000</v>
      </c>
      <c r="SJ38" s="37">
        <v>805082000000</v>
      </c>
      <c r="SL38" s="158">
        <v>384768000000</v>
      </c>
      <c r="SM38" s="160">
        <v>384768000000</v>
      </c>
      <c r="SX38" s="158">
        <v>371756000000</v>
      </c>
      <c r="SY38" s="160">
        <v>371756000000</v>
      </c>
      <c r="SZ38" s="37">
        <v>46763000000</v>
      </c>
      <c r="TA38" s="37">
        <v>46763000000</v>
      </c>
      <c r="TG38" s="37">
        <v>46763000000</v>
      </c>
      <c r="TH38" s="37">
        <v>46763000000</v>
      </c>
      <c r="TI38" s="37">
        <v>46763000000</v>
      </c>
      <c r="TJ38" s="37">
        <v>46763000000</v>
      </c>
      <c r="TS38" s="158"/>
      <c r="TT38" s="160"/>
      <c r="UE38" s="158"/>
      <c r="UF38" s="159"/>
      <c r="UG38" s="159"/>
      <c r="UH38" s="160"/>
      <c r="UZ38" s="158"/>
      <c r="VC38" s="37">
        <v>1436619000000</v>
      </c>
      <c r="VD38" s="37">
        <v>680095000000</v>
      </c>
      <c r="VE38" s="37">
        <v>495136000000</v>
      </c>
      <c r="VF38" s="37">
        <v>41457000000</v>
      </c>
      <c r="VG38" s="37">
        <v>536593000000</v>
      </c>
      <c r="VH38" s="37">
        <v>217637000000</v>
      </c>
      <c r="VI38" s="37">
        <v>8187000000</v>
      </c>
      <c r="VK38" s="37">
        <v>225824000000</v>
      </c>
      <c r="VO38" s="37">
        <v>1796000000</v>
      </c>
      <c r="VP38" s="37">
        <v>1796000000</v>
      </c>
      <c r="VQ38" s="37">
        <v>1796000000</v>
      </c>
      <c r="VR38" s="37" t="s">
        <v>1149</v>
      </c>
      <c r="VS38" s="37" t="s">
        <v>1150</v>
      </c>
    </row>
    <row r="39" spans="1:591" s="37" customFormat="1" ht="12.75">
      <c r="A39" s="37">
        <v>1993</v>
      </c>
      <c r="B39" s="37">
        <v>200</v>
      </c>
      <c r="C39" s="37" t="s">
        <v>1148</v>
      </c>
      <c r="FU39" s="37">
        <v>33956000000</v>
      </c>
      <c r="FV39" s="37">
        <v>33956000000</v>
      </c>
      <c r="GB39" s="157"/>
      <c r="GY39" s="158"/>
      <c r="GZ39" s="159"/>
      <c r="HA39" s="159"/>
      <c r="HB39" s="159"/>
      <c r="HC39" s="159"/>
      <c r="HD39" s="159"/>
      <c r="HE39" s="160"/>
      <c r="IE39" s="37">
        <v>507126000000</v>
      </c>
      <c r="IF39" s="37">
        <v>507126000000</v>
      </c>
      <c r="IL39" s="157"/>
      <c r="JA39" s="158"/>
      <c r="JB39" s="159"/>
      <c r="JC39" s="159"/>
      <c r="JD39" s="160"/>
      <c r="JK39" s="158"/>
      <c r="JL39" s="160"/>
      <c r="JT39" s="158"/>
      <c r="KS39" s="37">
        <v>25899000000</v>
      </c>
      <c r="KT39" s="37">
        <v>46384000000</v>
      </c>
      <c r="KU39" s="37">
        <v>72283000000</v>
      </c>
      <c r="LA39" s="157"/>
      <c r="NM39" s="157"/>
      <c r="PV39" s="157"/>
      <c r="PW39" s="37">
        <v>-62889000000</v>
      </c>
      <c r="PX39" s="37">
        <v>-62889000000</v>
      </c>
      <c r="QC39" s="37">
        <v>204000000</v>
      </c>
      <c r="QD39" s="37">
        <v>283000000</v>
      </c>
      <c r="QS39" s="158">
        <v>312581000000</v>
      </c>
      <c r="QT39" s="160">
        <v>317406000000</v>
      </c>
      <c r="SA39" s="37">
        <v>1046250000000</v>
      </c>
      <c r="SB39" s="37">
        <v>209576000000</v>
      </c>
      <c r="SC39" s="37">
        <v>1255826000000</v>
      </c>
      <c r="SD39" s="37">
        <v>1052962000000</v>
      </c>
      <c r="SE39" s="37">
        <v>139975000000</v>
      </c>
      <c r="SF39" s="37">
        <v>1192937000000</v>
      </c>
      <c r="SH39" s="157"/>
      <c r="SI39" s="37">
        <v>927996000000</v>
      </c>
      <c r="SJ39" s="37">
        <v>927996000000</v>
      </c>
      <c r="SL39" s="158">
        <v>437626000000</v>
      </c>
      <c r="SM39" s="160">
        <v>437626000000</v>
      </c>
      <c r="SP39" s="37">
        <v>932900000000</v>
      </c>
      <c r="SQ39" s="37">
        <v>932900000000</v>
      </c>
      <c r="SX39" s="158">
        <v>421883000000</v>
      </c>
      <c r="SY39" s="160">
        <v>421883000000</v>
      </c>
      <c r="SZ39" s="37">
        <v>51151000000</v>
      </c>
      <c r="TA39" s="37">
        <v>51151000000</v>
      </c>
      <c r="TG39" s="37">
        <v>51151000000</v>
      </c>
      <c r="TH39" s="37">
        <v>51151000000</v>
      </c>
      <c r="TI39" s="37">
        <v>51151000000</v>
      </c>
      <c r="TJ39" s="37">
        <v>51151000000</v>
      </c>
      <c r="TS39" s="158">
        <v>317406000000</v>
      </c>
      <c r="TT39" s="160">
        <v>312581000000</v>
      </c>
      <c r="UE39" s="158"/>
      <c r="UF39" s="159"/>
      <c r="UG39" s="159"/>
      <c r="UH39" s="160"/>
      <c r="UZ39" s="158"/>
      <c r="VC39" s="37">
        <v>1619378000000</v>
      </c>
      <c r="VD39" s="37">
        <v>759869000000</v>
      </c>
      <c r="VE39" s="37">
        <v>566981000000</v>
      </c>
      <c r="VF39" s="37">
        <v>46384000000</v>
      </c>
      <c r="VG39" s="37">
        <v>613365000000</v>
      </c>
      <c r="VH39" s="37">
        <v>249443000000</v>
      </c>
      <c r="VI39" s="37">
        <v>2299000000</v>
      </c>
      <c r="VK39" s="37">
        <v>251742000000</v>
      </c>
      <c r="VO39" s="37">
        <v>17337000000</v>
      </c>
      <c r="VP39" s="37">
        <v>17337000000</v>
      </c>
      <c r="VQ39" s="37">
        <v>17337000000</v>
      </c>
      <c r="VR39" s="37" t="s">
        <v>1149</v>
      </c>
      <c r="VS39" s="37" t="s">
        <v>1150</v>
      </c>
    </row>
    <row r="40" spans="1:591" s="37" customFormat="1" ht="12.75">
      <c r="A40" s="37">
        <v>1994</v>
      </c>
      <c r="B40" s="37">
        <v>200</v>
      </c>
      <c r="C40" s="37" t="s">
        <v>1148</v>
      </c>
      <c r="FU40" s="37">
        <v>38957000000</v>
      </c>
      <c r="FV40" s="37">
        <v>38957000000</v>
      </c>
      <c r="GB40" s="157"/>
      <c r="GY40" s="158"/>
      <c r="GZ40" s="159"/>
      <c r="HA40" s="159"/>
      <c r="HB40" s="159"/>
      <c r="HC40" s="159"/>
      <c r="HD40" s="159"/>
      <c r="HE40" s="160"/>
      <c r="IE40" s="37">
        <v>585452000000</v>
      </c>
      <c r="IF40" s="37">
        <v>585452000000</v>
      </c>
      <c r="IL40" s="157"/>
      <c r="JA40" s="158"/>
      <c r="JB40" s="159"/>
      <c r="JC40" s="159"/>
      <c r="JD40" s="160"/>
      <c r="JK40" s="158"/>
      <c r="JL40" s="160"/>
      <c r="JT40" s="158"/>
      <c r="KS40" s="37">
        <v>30111000000</v>
      </c>
      <c r="KT40" s="37">
        <v>53037000000</v>
      </c>
      <c r="KU40" s="37">
        <v>83148000000</v>
      </c>
      <c r="LA40" s="157"/>
      <c r="NM40" s="157"/>
      <c r="PV40" s="157"/>
      <c r="PW40" s="37">
        <v>-12893000000</v>
      </c>
      <c r="PX40" s="37">
        <v>-12893000000</v>
      </c>
      <c r="QC40" s="37">
        <v>252000000</v>
      </c>
      <c r="QD40" s="37">
        <v>408000000</v>
      </c>
      <c r="QS40" s="158">
        <v>371594000000</v>
      </c>
      <c r="QT40" s="160">
        <v>373382000000</v>
      </c>
      <c r="SA40" s="37">
        <v>1170013000000</v>
      </c>
      <c r="SB40" s="37">
        <v>234284000000</v>
      </c>
      <c r="SC40" s="37">
        <v>1404297000000</v>
      </c>
      <c r="SD40" s="37">
        <v>1229041000000</v>
      </c>
      <c r="SE40" s="37">
        <v>162363000000</v>
      </c>
      <c r="SF40" s="37">
        <v>1391404000000</v>
      </c>
      <c r="SH40" s="157"/>
      <c r="SI40" s="37">
        <v>1047470000000</v>
      </c>
      <c r="SJ40" s="37">
        <v>1047470000000</v>
      </c>
      <c r="SL40" s="158">
        <v>517108000000</v>
      </c>
      <c r="SM40" s="160">
        <v>517108000000</v>
      </c>
      <c r="SP40" s="37">
        <v>1049415000000</v>
      </c>
      <c r="SQ40" s="37">
        <v>1049415000000</v>
      </c>
      <c r="SX40" s="158">
        <v>469489000000</v>
      </c>
      <c r="SY40" s="160">
        <v>469489000000</v>
      </c>
      <c r="SZ40" s="37">
        <v>53802000000</v>
      </c>
      <c r="TA40" s="37">
        <v>53802000000</v>
      </c>
      <c r="TG40" s="37">
        <v>53802000000</v>
      </c>
      <c r="TH40" s="37">
        <v>53802000000</v>
      </c>
      <c r="TI40" s="37">
        <v>53802000000</v>
      </c>
      <c r="TJ40" s="37">
        <v>53802000000</v>
      </c>
      <c r="TS40" s="158">
        <v>373382000000</v>
      </c>
      <c r="TT40" s="160">
        <v>371594000000</v>
      </c>
      <c r="UE40" s="158"/>
      <c r="UF40" s="159"/>
      <c r="UG40" s="159"/>
      <c r="UH40" s="160"/>
      <c r="UZ40" s="158"/>
      <c r="VC40" s="37">
        <v>1814170000000</v>
      </c>
      <c r="VD40" s="37">
        <v>827573000000</v>
      </c>
      <c r="VE40" s="37">
        <v>654520000000</v>
      </c>
      <c r="VF40" s="37">
        <v>53037000000</v>
      </c>
      <c r="VG40" s="37">
        <v>707557000000</v>
      </c>
      <c r="VH40" s="37">
        <v>305757000000</v>
      </c>
      <c r="VI40" s="37">
        <v>21263000000</v>
      </c>
      <c r="VK40" s="37">
        <v>327020000000</v>
      </c>
      <c r="VO40" s="37">
        <v>7071000000</v>
      </c>
      <c r="VP40" s="37">
        <v>7071000000</v>
      </c>
      <c r="VQ40" s="37">
        <v>7071000000</v>
      </c>
      <c r="VR40" s="37" t="s">
        <v>1149</v>
      </c>
      <c r="VS40" s="37" t="s">
        <v>1150</v>
      </c>
    </row>
    <row r="41" spans="1:591" s="37" customFormat="1" ht="12.75">
      <c r="A41" s="37">
        <v>1995</v>
      </c>
      <c r="B41" s="37">
        <v>200</v>
      </c>
      <c r="C41" s="37" t="s">
        <v>1148</v>
      </c>
      <c r="FU41" s="37">
        <v>43896000000</v>
      </c>
      <c r="FV41" s="37">
        <v>43896000000</v>
      </c>
      <c r="GB41" s="157"/>
      <c r="GY41" s="158"/>
      <c r="GZ41" s="159"/>
      <c r="HA41" s="159"/>
      <c r="HB41" s="159"/>
      <c r="HC41" s="159"/>
      <c r="HD41" s="159"/>
      <c r="HE41" s="160"/>
      <c r="IE41" s="37">
        <v>647812000000</v>
      </c>
      <c r="IF41" s="37">
        <v>647812000000</v>
      </c>
      <c r="IL41" s="157"/>
      <c r="JA41" s="158"/>
      <c r="JB41" s="159"/>
      <c r="JC41" s="159"/>
      <c r="JD41" s="160"/>
      <c r="JK41" s="158"/>
      <c r="JL41" s="160"/>
      <c r="JT41" s="158"/>
      <c r="KS41" s="37">
        <v>35184000000</v>
      </c>
      <c r="KT41" s="37">
        <v>58440000000</v>
      </c>
      <c r="KU41" s="37">
        <v>93624000000</v>
      </c>
      <c r="LA41" s="157"/>
      <c r="NM41" s="157"/>
      <c r="PV41" s="157"/>
      <c r="PW41" s="37">
        <v>49612000000</v>
      </c>
      <c r="PX41" s="37">
        <v>49612000000</v>
      </c>
      <c r="QC41" s="37">
        <v>396000000</v>
      </c>
      <c r="QD41" s="37">
        <v>488000000</v>
      </c>
      <c r="QS41" s="158">
        <v>380978000000</v>
      </c>
      <c r="QT41" s="160">
        <v>390376000000</v>
      </c>
      <c r="SA41" s="37">
        <v>1344127000000</v>
      </c>
      <c r="SB41" s="37">
        <v>253643000000</v>
      </c>
      <c r="SC41" s="37">
        <v>1597770000000</v>
      </c>
      <c r="SD41" s="37">
        <v>1466759000000</v>
      </c>
      <c r="SE41" s="37">
        <v>180623000000</v>
      </c>
      <c r="SF41" s="37">
        <v>1647382000000</v>
      </c>
      <c r="SH41" s="157"/>
      <c r="SI41" s="37">
        <v>1115739000000</v>
      </c>
      <c r="SJ41" s="37">
        <v>1115739000000</v>
      </c>
      <c r="SL41" s="158">
        <v>531002000000</v>
      </c>
      <c r="SM41" s="160">
        <v>531002000000</v>
      </c>
      <c r="SP41" s="37">
        <v>1125229000000</v>
      </c>
      <c r="SQ41" s="37">
        <v>1125229000000</v>
      </c>
      <c r="SX41" s="158">
        <v>529546000000</v>
      </c>
      <c r="SY41" s="160">
        <v>529546000000</v>
      </c>
      <c r="SZ41" s="37">
        <v>50360000000</v>
      </c>
      <c r="TA41" s="37">
        <v>50360000000</v>
      </c>
      <c r="TG41" s="37">
        <v>50360000000</v>
      </c>
      <c r="TH41" s="37">
        <v>50360000000</v>
      </c>
      <c r="TI41" s="37">
        <v>50360000000</v>
      </c>
      <c r="TJ41" s="37">
        <v>50360000000</v>
      </c>
      <c r="TS41" s="158">
        <v>390376000000</v>
      </c>
      <c r="TT41" s="160">
        <v>380978000000</v>
      </c>
      <c r="UE41" s="158"/>
      <c r="UF41" s="159"/>
      <c r="UG41" s="159"/>
      <c r="UH41" s="160"/>
      <c r="UZ41" s="158"/>
      <c r="VC41" s="37">
        <v>1961688000000</v>
      </c>
      <c r="VD41" s="37">
        <v>901140000000</v>
      </c>
      <c r="VE41" s="37">
        <v>726892000000</v>
      </c>
      <c r="VF41" s="37">
        <v>58440000000</v>
      </c>
      <c r="VG41" s="37">
        <v>785332000000</v>
      </c>
      <c r="VH41" s="37">
        <v>334363000000</v>
      </c>
      <c r="VI41" s="37">
        <v>45656000000</v>
      </c>
      <c r="VK41" s="37">
        <v>380019000000</v>
      </c>
      <c r="VO41" s="37">
        <v>4831000000</v>
      </c>
      <c r="VP41" s="37">
        <v>4831000000</v>
      </c>
      <c r="VQ41" s="37">
        <v>4831000000</v>
      </c>
      <c r="VR41" s="37" t="s">
        <v>1149</v>
      </c>
      <c r="VS41" s="37" t="s">
        <v>1150</v>
      </c>
    </row>
    <row r="42" spans="1:591" s="37" customFormat="1" ht="12.75">
      <c r="A42" s="37">
        <v>1996</v>
      </c>
      <c r="B42" s="37">
        <v>200</v>
      </c>
      <c r="C42" s="37" t="s">
        <v>1148</v>
      </c>
      <c r="FU42" s="37">
        <v>48124000000</v>
      </c>
      <c r="FV42" s="37">
        <v>48124000000</v>
      </c>
      <c r="GB42" s="157"/>
      <c r="GY42" s="158"/>
      <c r="GZ42" s="159"/>
      <c r="HA42" s="159"/>
      <c r="HB42" s="159"/>
      <c r="HC42" s="159"/>
      <c r="HD42" s="159"/>
      <c r="HE42" s="160"/>
      <c r="IE42" s="37">
        <v>707384000000</v>
      </c>
      <c r="IF42" s="37">
        <v>707384000000</v>
      </c>
      <c r="IL42" s="157"/>
      <c r="JA42" s="158"/>
      <c r="JB42" s="159"/>
      <c r="JC42" s="159"/>
      <c r="JD42" s="160"/>
      <c r="JK42" s="158"/>
      <c r="JL42" s="160"/>
      <c r="JT42" s="158"/>
      <c r="KS42" s="37">
        <v>39717000000</v>
      </c>
      <c r="KT42" s="37">
        <v>63824000000</v>
      </c>
      <c r="KU42" s="37">
        <v>103541000000</v>
      </c>
      <c r="LA42" s="157"/>
      <c r="NM42" s="157"/>
      <c r="PV42" s="157"/>
      <c r="PW42" s="37">
        <v>17816000000</v>
      </c>
      <c r="PX42" s="37">
        <v>17816000000</v>
      </c>
      <c r="QC42" s="37">
        <v>820000000</v>
      </c>
      <c r="QD42" s="37">
        <v>792000000</v>
      </c>
      <c r="QS42" s="158">
        <v>400796000000</v>
      </c>
      <c r="QT42" s="160">
        <v>389748000000</v>
      </c>
      <c r="SA42" s="37">
        <v>1397917000000</v>
      </c>
      <c r="SB42" s="37">
        <v>285385000000</v>
      </c>
      <c r="SC42" s="37">
        <v>1683302000000</v>
      </c>
      <c r="SD42" s="37">
        <v>1511365000000</v>
      </c>
      <c r="SE42" s="37">
        <v>189753000000</v>
      </c>
      <c r="SF42" s="37">
        <v>1701118000000</v>
      </c>
      <c r="SH42" s="157"/>
      <c r="SI42" s="37">
        <v>1229481000000</v>
      </c>
      <c r="SJ42" s="37">
        <v>1229481000000</v>
      </c>
      <c r="SL42" s="158">
        <v>593136000000</v>
      </c>
      <c r="SM42" s="160">
        <v>593136000000</v>
      </c>
      <c r="SP42" s="37">
        <v>1218405000000</v>
      </c>
      <c r="SQ42" s="37">
        <v>1218405000000</v>
      </c>
      <c r="SX42" s="158">
        <v>584355000000</v>
      </c>
      <c r="SY42" s="160">
        <v>584383000000</v>
      </c>
      <c r="SZ42" s="37">
        <v>59701000000</v>
      </c>
      <c r="TA42" s="37">
        <v>59701000000</v>
      </c>
      <c r="TG42" s="37">
        <v>59701000000</v>
      </c>
      <c r="TH42" s="37">
        <v>59701000000</v>
      </c>
      <c r="TI42" s="37">
        <v>59701000000</v>
      </c>
      <c r="TJ42" s="37">
        <v>59701000000</v>
      </c>
      <c r="TS42" s="158">
        <v>389748000000</v>
      </c>
      <c r="TT42" s="160">
        <v>400796000000</v>
      </c>
      <c r="UE42" s="158"/>
      <c r="UF42" s="159"/>
      <c r="UG42" s="159"/>
      <c r="UH42" s="160"/>
      <c r="UZ42" s="158"/>
      <c r="VC42" s="37">
        <v>2125555000000</v>
      </c>
      <c r="VD42" s="37">
        <v>948036000000</v>
      </c>
      <c r="VE42" s="37">
        <v>795225000000</v>
      </c>
      <c r="VF42" s="37">
        <v>63824000000</v>
      </c>
      <c r="VG42" s="37">
        <v>859049000000</v>
      </c>
      <c r="VH42" s="37">
        <v>378486000000</v>
      </c>
      <c r="VI42" s="37">
        <v>9762000000</v>
      </c>
      <c r="VK42" s="37">
        <v>388248000000</v>
      </c>
      <c r="VO42" s="37">
        <v>-7738000000</v>
      </c>
      <c r="VP42" s="37">
        <v>-7738000000</v>
      </c>
      <c r="VQ42" s="37">
        <v>-7738000000</v>
      </c>
      <c r="VR42" s="37" t="s">
        <v>1149</v>
      </c>
      <c r="VS42" s="37" t="s">
        <v>1150</v>
      </c>
    </row>
    <row r="43" spans="1:591" s="37" customFormat="1" ht="12.75">
      <c r="A43" s="37">
        <v>1997</v>
      </c>
      <c r="B43" s="37">
        <v>200</v>
      </c>
      <c r="C43" s="37" t="s">
        <v>1148</v>
      </c>
      <c r="FU43" s="37">
        <v>52789000000</v>
      </c>
      <c r="FV43" s="37">
        <v>52789000000</v>
      </c>
      <c r="GB43" s="157"/>
      <c r="GY43" s="158"/>
      <c r="GZ43" s="159"/>
      <c r="HA43" s="159"/>
      <c r="HB43" s="159"/>
      <c r="HC43" s="159"/>
      <c r="HD43" s="159"/>
      <c r="HE43" s="160"/>
      <c r="IE43" s="37">
        <v>781036000000</v>
      </c>
      <c r="IF43" s="37">
        <v>781036000000</v>
      </c>
      <c r="IL43" s="157"/>
      <c r="JA43" s="158"/>
      <c r="JB43" s="159"/>
      <c r="JC43" s="159"/>
      <c r="JD43" s="160"/>
      <c r="JK43" s="158"/>
      <c r="JL43" s="160"/>
      <c r="JT43" s="158"/>
      <c r="KS43" s="37">
        <v>45901000000</v>
      </c>
      <c r="KT43" s="37">
        <v>66850000000</v>
      </c>
      <c r="KU43" s="37">
        <v>112751000000</v>
      </c>
      <c r="LA43" s="157"/>
      <c r="NM43" s="157"/>
      <c r="PV43" s="157"/>
      <c r="PW43" s="37">
        <v>45756000000</v>
      </c>
      <c r="PX43" s="37">
        <v>45756000000</v>
      </c>
      <c r="PY43" s="37">
        <v>59836000000</v>
      </c>
      <c r="PZ43" s="37">
        <v>59836000000</v>
      </c>
      <c r="QC43" s="37">
        <v>1279000000</v>
      </c>
      <c r="QD43" s="37">
        <v>963000000</v>
      </c>
      <c r="QS43" s="158">
        <v>467291000000</v>
      </c>
      <c r="QT43" s="160">
        <v>465992000000</v>
      </c>
      <c r="RA43" s="37">
        <v>18279000000</v>
      </c>
      <c r="RB43" s="37">
        <v>5812000000</v>
      </c>
      <c r="SA43" s="37">
        <v>1455949000000</v>
      </c>
      <c r="SB43" s="37">
        <v>286595000000</v>
      </c>
      <c r="SC43" s="37">
        <v>1742544000000</v>
      </c>
      <c r="SD43" s="37">
        <v>1589876000000</v>
      </c>
      <c r="SE43" s="37">
        <v>198424000000</v>
      </c>
      <c r="SF43" s="37">
        <v>1788300000000</v>
      </c>
      <c r="SH43" s="157"/>
      <c r="SI43" s="37">
        <v>1365024000000</v>
      </c>
      <c r="SJ43" s="37">
        <v>1365024000000</v>
      </c>
      <c r="SL43" s="158">
        <v>638062000000</v>
      </c>
      <c r="SM43" s="160">
        <v>638062000000</v>
      </c>
      <c r="SP43" s="37">
        <v>1363409000000</v>
      </c>
      <c r="SQ43" s="37">
        <v>1363409000000</v>
      </c>
      <c r="SR43" s="37">
        <v>1350942000000</v>
      </c>
      <c r="SS43" s="37">
        <v>1350942000000</v>
      </c>
      <c r="ST43" s="37">
        <v>404366000000</v>
      </c>
      <c r="SU43" s="37">
        <v>404366000000</v>
      </c>
      <c r="SX43" s="158">
        <v>649589000000</v>
      </c>
      <c r="SY43" s="160">
        <v>649905000000</v>
      </c>
      <c r="SZ43" s="37">
        <v>82205000000</v>
      </c>
      <c r="TA43" s="37">
        <v>82205000000</v>
      </c>
      <c r="TG43" s="37">
        <v>82205000000</v>
      </c>
      <c r="TH43" s="37">
        <v>82205000000</v>
      </c>
      <c r="TI43" s="37">
        <v>82205000000</v>
      </c>
      <c r="TJ43" s="37">
        <v>82205000000</v>
      </c>
      <c r="TS43" s="158">
        <v>465992000000</v>
      </c>
      <c r="TT43" s="160">
        <v>467291000000</v>
      </c>
      <c r="UA43" s="37">
        <v>5812000000</v>
      </c>
      <c r="UB43" s="37">
        <v>18279000000</v>
      </c>
      <c r="UE43" s="158"/>
      <c r="UF43" s="159"/>
      <c r="UG43" s="159"/>
      <c r="UH43" s="160"/>
      <c r="UZ43" s="158"/>
      <c r="VC43" s="37">
        <v>2290707000000</v>
      </c>
      <c r="VD43" s="37">
        <v>1002740000000</v>
      </c>
      <c r="VE43" s="37">
        <v>879726000000</v>
      </c>
      <c r="VF43" s="37">
        <v>66850000000</v>
      </c>
      <c r="VG43" s="37">
        <v>946576000000</v>
      </c>
      <c r="VH43" s="37">
        <v>451891000000</v>
      </c>
      <c r="VI43" s="37">
        <v>12313000000</v>
      </c>
      <c r="VK43" s="37">
        <v>464204000000</v>
      </c>
      <c r="VO43" s="37">
        <v>-5148000000</v>
      </c>
      <c r="VP43" s="37">
        <v>-5148000000</v>
      </c>
      <c r="VQ43" s="37">
        <v>-5148000000</v>
      </c>
      <c r="VR43" s="37" t="s">
        <v>1149</v>
      </c>
      <c r="VS43" s="37" t="s">
        <v>1150</v>
      </c>
    </row>
    <row r="44" spans="1:591" s="37" customFormat="1" ht="12.75">
      <c r="A44" s="37">
        <v>1998</v>
      </c>
      <c r="B44" s="37">
        <v>200</v>
      </c>
      <c r="C44" s="37" t="s">
        <v>1148</v>
      </c>
      <c r="FU44" s="37">
        <v>54582000000</v>
      </c>
      <c r="FV44" s="37">
        <v>54582000000</v>
      </c>
      <c r="GB44" s="157"/>
      <c r="GY44" s="158"/>
      <c r="GZ44" s="159"/>
      <c r="HA44" s="159"/>
      <c r="HB44" s="159"/>
      <c r="HC44" s="159"/>
      <c r="HD44" s="159"/>
      <c r="HE44" s="160"/>
      <c r="IE44" s="37">
        <v>741366000000</v>
      </c>
      <c r="IF44" s="37">
        <v>741366000000</v>
      </c>
      <c r="IL44" s="157"/>
      <c r="JA44" s="158"/>
      <c r="JB44" s="159"/>
      <c r="JC44" s="159"/>
      <c r="JD44" s="160"/>
      <c r="JK44" s="158"/>
      <c r="JL44" s="160"/>
      <c r="JT44" s="158"/>
      <c r="KS44" s="37">
        <v>49109000000</v>
      </c>
      <c r="KT44" s="37">
        <v>67441000000</v>
      </c>
      <c r="KU44" s="37">
        <v>116550000000</v>
      </c>
      <c r="LA44" s="157"/>
      <c r="NM44" s="157"/>
      <c r="PV44" s="157"/>
      <c r="PW44" s="37">
        <v>-7186000000</v>
      </c>
      <c r="PX44" s="37">
        <v>-7186000000</v>
      </c>
      <c r="PY44" s="37">
        <v>-19421000000</v>
      </c>
      <c r="PZ44" s="37">
        <v>-19421000000</v>
      </c>
      <c r="QA44" s="37">
        <v>-976000000</v>
      </c>
      <c r="QC44" s="37">
        <v>1357000000</v>
      </c>
      <c r="QD44" s="37">
        <v>1190000000</v>
      </c>
      <c r="QS44" s="158">
        <v>329729000000</v>
      </c>
      <c r="QT44" s="160">
        <v>354492000000</v>
      </c>
      <c r="RA44" s="37">
        <v>17543000000</v>
      </c>
      <c r="RB44" s="37">
        <v>5179000000</v>
      </c>
      <c r="RF44" s="37">
        <v>18445000000</v>
      </c>
      <c r="RG44" s="37">
        <v>2923000000</v>
      </c>
      <c r="RH44" s="37">
        <v>21369000000</v>
      </c>
      <c r="RX44" s="37">
        <v>-1143603000000</v>
      </c>
      <c r="RY44" s="37">
        <v>-1130535000000</v>
      </c>
      <c r="SA44" s="37">
        <v>1347649000000</v>
      </c>
      <c r="SB44" s="37">
        <v>262099000000</v>
      </c>
      <c r="SC44" s="37">
        <v>1609748000000</v>
      </c>
      <c r="SD44" s="37">
        <v>1408317000000</v>
      </c>
      <c r="SE44" s="37">
        <v>194245000000</v>
      </c>
      <c r="SF44" s="37">
        <v>1602562000000</v>
      </c>
      <c r="SH44" s="157"/>
      <c r="SI44" s="37">
        <v>1292764000000</v>
      </c>
      <c r="SJ44" s="37">
        <v>1292764000000</v>
      </c>
      <c r="SL44" s="158">
        <v>563846000000</v>
      </c>
      <c r="SM44" s="160">
        <v>563846000000</v>
      </c>
      <c r="SP44" s="37">
        <v>1317362000000</v>
      </c>
      <c r="SQ44" s="37">
        <v>1317362000000</v>
      </c>
      <c r="SR44" s="37">
        <v>1304998000000</v>
      </c>
      <c r="SS44" s="37">
        <v>1304998000000</v>
      </c>
      <c r="ST44" s="37">
        <v>392500000000</v>
      </c>
      <c r="SU44" s="37">
        <v>392500000000</v>
      </c>
      <c r="SV44" s="37">
        <v>976000000</v>
      </c>
      <c r="SX44" s="158">
        <v>654250000000</v>
      </c>
      <c r="SY44" s="160">
        <v>654417000000</v>
      </c>
      <c r="SZ44" s="37">
        <v>60372000000</v>
      </c>
      <c r="TA44" s="37">
        <v>60372000000</v>
      </c>
      <c r="TG44" s="37">
        <v>60372000000</v>
      </c>
      <c r="TH44" s="37">
        <v>60372000000</v>
      </c>
      <c r="TI44" s="37">
        <v>60372000000</v>
      </c>
      <c r="TJ44" s="37">
        <v>60372000000</v>
      </c>
      <c r="TS44" s="158">
        <v>354492000000</v>
      </c>
      <c r="TT44" s="160">
        <v>329729000000</v>
      </c>
      <c r="UA44" s="37">
        <v>5179000000</v>
      </c>
      <c r="UB44" s="37">
        <v>17543000000</v>
      </c>
      <c r="UE44" s="158"/>
      <c r="UF44" s="159">
        <v>2923000000</v>
      </c>
      <c r="UG44" s="159">
        <v>21369000000</v>
      </c>
      <c r="UH44" s="160">
        <v>-18445000000</v>
      </c>
      <c r="UZ44" s="158"/>
      <c r="VC44" s="37">
        <v>2155434000000</v>
      </c>
      <c r="VD44" s="37">
        <v>937170000000</v>
      </c>
      <c r="VE44" s="37">
        <v>845057000000</v>
      </c>
      <c r="VF44" s="37">
        <v>67441000000</v>
      </c>
      <c r="VG44" s="37">
        <v>912498000000</v>
      </c>
      <c r="VH44" s="37">
        <v>388731000000</v>
      </c>
      <c r="VI44" s="37">
        <v>-15651000000</v>
      </c>
      <c r="VK44" s="37">
        <v>373080000000</v>
      </c>
      <c r="VO44" s="37">
        <v>14128000000</v>
      </c>
      <c r="VP44" s="37">
        <v>14128000000</v>
      </c>
      <c r="VQ44" s="37">
        <v>14128000000</v>
      </c>
      <c r="VR44" s="37" t="s">
        <v>1149</v>
      </c>
      <c r="VS44" s="37" t="s">
        <v>1150</v>
      </c>
    </row>
    <row r="45" spans="1:591" s="37" customFormat="1" ht="12.75">
      <c r="A45" s="37">
        <v>1999</v>
      </c>
      <c r="B45" s="37">
        <v>200</v>
      </c>
      <c r="C45" s="37" t="s">
        <v>1148</v>
      </c>
      <c r="FU45" s="37">
        <v>57181000000</v>
      </c>
      <c r="FV45" s="37">
        <v>57181000000</v>
      </c>
      <c r="GB45" s="157"/>
      <c r="GY45" s="158"/>
      <c r="GZ45" s="159"/>
      <c r="HA45" s="159"/>
      <c r="HB45" s="159"/>
      <c r="HC45" s="159"/>
      <c r="HD45" s="159"/>
      <c r="HE45" s="160"/>
      <c r="IE45" s="37">
        <v>708067000000</v>
      </c>
      <c r="IF45" s="37">
        <v>708067000000</v>
      </c>
      <c r="IL45" s="157"/>
      <c r="JA45" s="158"/>
      <c r="JB45" s="159"/>
      <c r="JC45" s="159"/>
      <c r="JD45" s="160"/>
      <c r="JK45" s="158"/>
      <c r="JL45" s="160"/>
      <c r="JT45" s="158"/>
      <c r="KS45" s="37">
        <v>51230000000</v>
      </c>
      <c r="KT45" s="37">
        <v>68763000000</v>
      </c>
      <c r="KU45" s="37">
        <v>119993000000</v>
      </c>
      <c r="LA45" s="157"/>
      <c r="NM45" s="157"/>
      <c r="PV45" s="157"/>
      <c r="PW45" s="37">
        <v>-66711000000</v>
      </c>
      <c r="PX45" s="37">
        <v>-66711000000</v>
      </c>
      <c r="PY45" s="37">
        <v>-79535000000</v>
      </c>
      <c r="PZ45" s="37">
        <v>-79535000000</v>
      </c>
      <c r="QA45" s="37">
        <v>-65723000000</v>
      </c>
      <c r="QC45" s="37">
        <v>1296000000</v>
      </c>
      <c r="QD45" s="37">
        <v>1014000000</v>
      </c>
      <c r="QS45" s="158">
        <v>337083000000</v>
      </c>
      <c r="QT45" s="160">
        <v>362133000000</v>
      </c>
      <c r="RA45" s="37">
        <v>16363000000</v>
      </c>
      <c r="RB45" s="37">
        <v>4419000000</v>
      </c>
      <c r="RF45" s="37">
        <v>14611000000</v>
      </c>
      <c r="RG45" s="37">
        <v>799000000</v>
      </c>
      <c r="RH45" s="37">
        <v>13812000000</v>
      </c>
      <c r="RX45" s="37">
        <v>-141453000000</v>
      </c>
      <c r="RY45" s="37">
        <v>-71892000000</v>
      </c>
      <c r="SA45" s="37">
        <v>1349000000000</v>
      </c>
      <c r="SB45" s="37">
        <v>276385000000</v>
      </c>
      <c r="SC45" s="37">
        <v>1625385000000</v>
      </c>
      <c r="SD45" s="37">
        <v>1373500000000</v>
      </c>
      <c r="SE45" s="37">
        <v>185174000000</v>
      </c>
      <c r="SF45" s="37">
        <v>1558674000000</v>
      </c>
      <c r="SH45" s="157"/>
      <c r="SI45" s="37">
        <v>1266668000000</v>
      </c>
      <c r="SJ45" s="37">
        <v>1266668000000</v>
      </c>
      <c r="SL45" s="158">
        <v>546097000000</v>
      </c>
      <c r="SM45" s="160">
        <v>546097000000</v>
      </c>
      <c r="SP45" s="37">
        <v>1291436000000</v>
      </c>
      <c r="SQ45" s="37">
        <v>1291436000000</v>
      </c>
      <c r="SR45" s="37">
        <v>1279493000000</v>
      </c>
      <c r="SS45" s="37">
        <v>1279493000000</v>
      </c>
      <c r="ST45" s="37">
        <v>394252000000</v>
      </c>
      <c r="SU45" s="37">
        <v>394252000000</v>
      </c>
      <c r="SV45" s="37">
        <v>65723000000</v>
      </c>
      <c r="SX45" s="158">
        <v>648394000000</v>
      </c>
      <c r="SY45" s="160">
        <v>648676000000</v>
      </c>
      <c r="SZ45" s="37">
        <v>53474000000</v>
      </c>
      <c r="TA45" s="37">
        <v>53474000000</v>
      </c>
      <c r="TG45" s="37">
        <v>53474000000</v>
      </c>
      <c r="TH45" s="37">
        <v>53474000000</v>
      </c>
      <c r="TI45" s="37">
        <v>53474000000</v>
      </c>
      <c r="TJ45" s="37">
        <v>53474000000</v>
      </c>
      <c r="TS45" s="158">
        <v>362133000000</v>
      </c>
      <c r="TT45" s="160">
        <v>337083000000</v>
      </c>
      <c r="UA45" s="37">
        <v>4419000000</v>
      </c>
      <c r="UB45" s="37">
        <v>16363000000</v>
      </c>
      <c r="UE45" s="158"/>
      <c r="UF45" s="159">
        <v>14611000000</v>
      </c>
      <c r="UG45" s="159">
        <v>-13812000000</v>
      </c>
      <c r="UH45" s="160">
        <v>799000000</v>
      </c>
      <c r="UZ45" s="158"/>
      <c r="VC45" s="37">
        <v>2110683000000</v>
      </c>
      <c r="VD45" s="37">
        <v>915911000000</v>
      </c>
      <c r="VE45" s="37">
        <v>816478000000</v>
      </c>
      <c r="VF45" s="37">
        <v>68763000000</v>
      </c>
      <c r="VG45" s="37">
        <v>885241000000</v>
      </c>
      <c r="VH45" s="37">
        <v>325328000000</v>
      </c>
      <c r="VI45" s="37">
        <v>-10612000000</v>
      </c>
      <c r="VK45" s="37">
        <v>314716000000</v>
      </c>
      <c r="VO45" s="37">
        <v>18422000000</v>
      </c>
      <c r="VP45" s="37">
        <v>18422000000</v>
      </c>
      <c r="VQ45" s="37">
        <v>18422000000</v>
      </c>
      <c r="VR45" s="37" t="s">
        <v>1149</v>
      </c>
      <c r="VS45" s="37" t="s">
        <v>1150</v>
      </c>
    </row>
    <row r="46" spans="1:591" s="37" customFormat="1" ht="12.75">
      <c r="A46" s="37">
        <v>2000</v>
      </c>
      <c r="B46" s="37">
        <v>1000</v>
      </c>
      <c r="C46" s="37" t="s">
        <v>1148</v>
      </c>
      <c r="FU46" s="37">
        <v>43517000000</v>
      </c>
      <c r="FV46" s="37">
        <v>43517000000</v>
      </c>
      <c r="GB46" s="157"/>
      <c r="GY46" s="158"/>
      <c r="GZ46" s="159"/>
      <c r="HA46" s="159"/>
      <c r="HB46" s="159"/>
      <c r="HC46" s="159"/>
      <c r="HD46" s="159"/>
      <c r="HE46" s="160"/>
      <c r="IE46" s="37">
        <v>740806000000</v>
      </c>
      <c r="IF46" s="37">
        <v>740806000000</v>
      </c>
      <c r="IL46" s="157"/>
      <c r="JA46" s="158"/>
      <c r="JB46" s="159"/>
      <c r="JC46" s="159"/>
      <c r="JD46" s="160"/>
      <c r="JK46" s="158"/>
      <c r="JL46" s="160"/>
      <c r="JT46" s="158"/>
      <c r="KS46" s="37">
        <v>48698000000</v>
      </c>
      <c r="KT46" s="37">
        <v>76596000000</v>
      </c>
      <c r="KU46" s="37">
        <v>125294000000</v>
      </c>
      <c r="LA46" s="157"/>
      <c r="NM46" s="157"/>
      <c r="PV46" s="157">
        <v>-58865000000</v>
      </c>
      <c r="PW46" s="37">
        <v>-58969000000</v>
      </c>
      <c r="PX46" s="37">
        <v>-58969000000</v>
      </c>
      <c r="PY46" s="37">
        <v>-58792000000</v>
      </c>
      <c r="PZ46" s="37">
        <v>-58792000000</v>
      </c>
      <c r="QA46" s="37">
        <v>-58865000000</v>
      </c>
      <c r="QC46" s="37">
        <v>1755000000</v>
      </c>
      <c r="QD46" s="37">
        <v>1056000000</v>
      </c>
      <c r="QS46" s="158">
        <v>414582000000</v>
      </c>
      <c r="QT46" s="160">
        <v>426027000000</v>
      </c>
      <c r="RA46" s="37">
        <v>15115000000</v>
      </c>
      <c r="RB46" s="37">
        <v>4193000000</v>
      </c>
      <c r="RF46" s="37">
        <v>-73000000</v>
      </c>
      <c r="RG46" s="37">
        <v>350000000</v>
      </c>
      <c r="RH46" s="37">
        <v>423000000</v>
      </c>
      <c r="RX46" s="37">
        <v>527258000000</v>
      </c>
      <c r="RY46" s="37">
        <v>588653000000</v>
      </c>
      <c r="SA46" s="37">
        <v>1439635000000</v>
      </c>
      <c r="SB46" s="37">
        <v>246037000000</v>
      </c>
      <c r="SC46" s="37">
        <v>1685672000000</v>
      </c>
      <c r="SD46" s="37">
        <v>1280002000000</v>
      </c>
      <c r="SE46" s="37">
        <v>346701000000</v>
      </c>
      <c r="SF46" s="37">
        <v>1626703000000</v>
      </c>
      <c r="SH46" s="157"/>
      <c r="SI46" s="37">
        <v>1337501000000</v>
      </c>
      <c r="SJ46" s="37">
        <v>1337501000000</v>
      </c>
      <c r="SL46" s="158">
        <v>594456000000</v>
      </c>
      <c r="SM46" s="160">
        <v>594456000000</v>
      </c>
      <c r="SP46" s="37">
        <v>1348246000000</v>
      </c>
      <c r="SQ46" s="37">
        <v>1348246000000</v>
      </c>
      <c r="SR46" s="37">
        <v>1337324000000</v>
      </c>
      <c r="SS46" s="37">
        <v>1337324000000</v>
      </c>
      <c r="ST46" s="37">
        <v>427707000000</v>
      </c>
      <c r="SU46" s="37">
        <v>427707000000</v>
      </c>
      <c r="SV46" s="37">
        <v>58865000000</v>
      </c>
      <c r="SX46" s="158">
        <v>662406000000</v>
      </c>
      <c r="SY46" s="160">
        <v>663106000000</v>
      </c>
      <c r="SZ46" s="37">
        <v>31231000000</v>
      </c>
      <c r="TB46" s="37">
        <v>31231000000</v>
      </c>
      <c r="TC46" s="37">
        <v>31231000000</v>
      </c>
      <c r="TD46" s="37">
        <v>31231000000</v>
      </c>
      <c r="TE46" s="37">
        <v>25473000000</v>
      </c>
      <c r="TF46" s="37">
        <v>25473000000</v>
      </c>
      <c r="TG46" s="37">
        <v>56704000000</v>
      </c>
      <c r="TH46" s="37">
        <v>56704000000</v>
      </c>
      <c r="TI46" s="37">
        <v>56704000000</v>
      </c>
      <c r="TJ46" s="37">
        <v>56704000000</v>
      </c>
      <c r="TS46" s="158">
        <v>426027000000</v>
      </c>
      <c r="TT46" s="160">
        <v>414582000000</v>
      </c>
      <c r="UA46" s="37">
        <v>4193000000</v>
      </c>
      <c r="UB46" s="37">
        <v>15115000000</v>
      </c>
      <c r="UE46" s="158"/>
      <c r="UF46" s="159">
        <v>350000000</v>
      </c>
      <c r="UG46" s="159">
        <v>423000000</v>
      </c>
      <c r="UH46" s="160">
        <v>73000000</v>
      </c>
      <c r="UZ46" s="158"/>
      <c r="VC46" s="37">
        <v>2681283000000</v>
      </c>
      <c r="VD46" s="37">
        <v>1398248000000</v>
      </c>
      <c r="VE46" s="37">
        <v>833021000000</v>
      </c>
      <c r="VF46" s="37">
        <v>76596000000</v>
      </c>
      <c r="VG46" s="37">
        <v>909617000000</v>
      </c>
      <c r="VH46" s="37">
        <v>354516000000</v>
      </c>
      <c r="VI46" s="37">
        <v>14399000000</v>
      </c>
      <c r="VK46" s="37">
        <v>368915000000</v>
      </c>
      <c r="VO46" s="37">
        <v>23235000000</v>
      </c>
      <c r="VP46" s="37">
        <v>23235000000</v>
      </c>
      <c r="VQ46" s="37">
        <v>23235000000</v>
      </c>
      <c r="VR46" s="37" t="s">
        <v>1149</v>
      </c>
      <c r="VS46" s="37" t="s">
        <v>1150</v>
      </c>
    </row>
    <row r="47" spans="1:591" s="37" customFormat="1" ht="12.75">
      <c r="A47" s="37">
        <v>2001</v>
      </c>
      <c r="B47" s="37">
        <v>1000</v>
      </c>
      <c r="C47" s="37" t="s">
        <v>1148</v>
      </c>
      <c r="FU47" s="37">
        <v>46572000000</v>
      </c>
      <c r="FV47" s="37">
        <v>46572000000</v>
      </c>
      <c r="GB47" s="157"/>
      <c r="GY47" s="158"/>
      <c r="GZ47" s="159"/>
      <c r="HA47" s="159"/>
      <c r="HB47" s="159"/>
      <c r="HC47" s="159"/>
      <c r="HD47" s="159"/>
      <c r="HE47" s="160"/>
      <c r="IE47" s="37">
        <v>741022000000</v>
      </c>
      <c r="IF47" s="37">
        <v>741022000000</v>
      </c>
      <c r="IL47" s="157"/>
      <c r="JA47" s="158"/>
      <c r="JB47" s="159"/>
      <c r="JC47" s="159"/>
      <c r="JD47" s="160"/>
      <c r="JK47" s="158"/>
      <c r="JL47" s="160"/>
      <c r="JT47" s="158"/>
      <c r="KS47" s="37">
        <v>52525000000</v>
      </c>
      <c r="KT47" s="37">
        <v>82281000000</v>
      </c>
      <c r="KU47" s="37">
        <v>134806000000</v>
      </c>
      <c r="LA47" s="157"/>
      <c r="NM47" s="157"/>
      <c r="PV47" s="157">
        <v>-80612000000</v>
      </c>
      <c r="PW47" s="37">
        <v>-61967000000</v>
      </c>
      <c r="PX47" s="37">
        <v>-61967000000</v>
      </c>
      <c r="PY47" s="37">
        <v>-81044000000</v>
      </c>
      <c r="PZ47" s="37">
        <v>-81044000000</v>
      </c>
      <c r="QA47" s="37">
        <v>-80612000000</v>
      </c>
      <c r="QC47" s="37">
        <v>2405000000</v>
      </c>
      <c r="QD47" s="37">
        <v>1190000000</v>
      </c>
      <c r="QS47" s="158">
        <v>344219000000</v>
      </c>
      <c r="QT47" s="160">
        <v>375888000000</v>
      </c>
      <c r="RA47" s="37">
        <v>16095000000</v>
      </c>
      <c r="RB47" s="37">
        <v>4719000000</v>
      </c>
      <c r="RF47" s="37">
        <v>472000000</v>
      </c>
      <c r="RG47" s="37">
        <v>432000000</v>
      </c>
      <c r="RH47" s="37">
        <v>40000000</v>
      </c>
      <c r="RX47" s="37">
        <v>-154902000000</v>
      </c>
      <c r="RY47" s="37">
        <v>-92959000000</v>
      </c>
      <c r="SA47" s="37">
        <v>1378804000000</v>
      </c>
      <c r="SB47" s="37">
        <v>243158000000</v>
      </c>
      <c r="SC47" s="37">
        <v>1621962000000</v>
      </c>
      <c r="SD47" s="37">
        <v>1216732000000</v>
      </c>
      <c r="SE47" s="37">
        <v>343263000000</v>
      </c>
      <c r="SF47" s="37">
        <v>1559995000000</v>
      </c>
      <c r="SH47" s="157"/>
      <c r="SI47" s="37">
        <v>1321142000000</v>
      </c>
      <c r="SJ47" s="37">
        <v>1321142000000</v>
      </c>
      <c r="SL47" s="158">
        <v>575033000000</v>
      </c>
      <c r="SM47" s="160">
        <v>575033000000</v>
      </c>
      <c r="SP47" s="37">
        <v>1351595000000</v>
      </c>
      <c r="SQ47" s="37">
        <v>1351595000000</v>
      </c>
      <c r="SR47" s="37">
        <v>1340219000000</v>
      </c>
      <c r="SS47" s="37">
        <v>1340219000000</v>
      </c>
      <c r="ST47" s="37">
        <v>417819000000</v>
      </c>
      <c r="SU47" s="37">
        <v>417819000000</v>
      </c>
      <c r="SV47" s="37">
        <v>80612000000</v>
      </c>
      <c r="SX47" s="158">
        <v>667759000000</v>
      </c>
      <c r="SY47" s="160">
        <v>668976000000</v>
      </c>
      <c r="SZ47" s="37">
        <v>26433000000</v>
      </c>
      <c r="TB47" s="37">
        <v>26433000000</v>
      </c>
      <c r="TC47" s="37">
        <v>26433000000</v>
      </c>
      <c r="TD47" s="37">
        <v>26433000000</v>
      </c>
      <c r="TE47" s="37">
        <v>25980000000</v>
      </c>
      <c r="TF47" s="37">
        <v>25980000000</v>
      </c>
      <c r="TG47" s="37">
        <v>52414000000</v>
      </c>
      <c r="TH47" s="37">
        <v>52414000000</v>
      </c>
      <c r="TI47" s="37">
        <v>52414000000</v>
      </c>
      <c r="TJ47" s="37">
        <v>52414000000</v>
      </c>
      <c r="TS47" s="158">
        <v>375888000000</v>
      </c>
      <c r="TT47" s="160">
        <v>344219000000</v>
      </c>
      <c r="UA47" s="37">
        <v>4719000000</v>
      </c>
      <c r="UB47" s="37">
        <v>16095000000</v>
      </c>
      <c r="UE47" s="158"/>
      <c r="UF47" s="159">
        <v>40000000</v>
      </c>
      <c r="UG47" s="159">
        <v>-432000000</v>
      </c>
      <c r="UH47" s="160">
        <v>472000000</v>
      </c>
      <c r="UZ47" s="158"/>
      <c r="VC47" s="37">
        <v>2604240000000</v>
      </c>
      <c r="VD47" s="37">
        <v>1334250000000</v>
      </c>
      <c r="VE47" s="37">
        <v>840119000000</v>
      </c>
      <c r="VF47" s="37">
        <v>82281000000</v>
      </c>
      <c r="VG47" s="37">
        <v>922400000000</v>
      </c>
      <c r="VH47" s="37">
        <v>340835000000</v>
      </c>
      <c r="VI47" s="37">
        <v>-4060000000</v>
      </c>
      <c r="VK47" s="37">
        <v>336775000000</v>
      </c>
      <c r="VO47" s="37">
        <v>24720000000</v>
      </c>
      <c r="VP47" s="37">
        <v>24720000000</v>
      </c>
      <c r="VQ47" s="37">
        <v>24720000000</v>
      </c>
      <c r="VR47" s="37" t="s">
        <v>1149</v>
      </c>
      <c r="VS47" s="37" t="s">
        <v>1150</v>
      </c>
    </row>
    <row r="48" spans="1:591" s="37" customFormat="1" ht="12.75">
      <c r="A48" s="37">
        <v>2002</v>
      </c>
      <c r="B48" s="37">
        <v>1000</v>
      </c>
      <c r="C48" s="37" t="s">
        <v>1148</v>
      </c>
      <c r="FU48" s="37">
        <v>46312000000</v>
      </c>
      <c r="FV48" s="37">
        <v>46312000000</v>
      </c>
      <c r="GB48" s="157"/>
      <c r="GY48" s="158"/>
      <c r="GZ48" s="159"/>
      <c r="HA48" s="159"/>
      <c r="HB48" s="159"/>
      <c r="HC48" s="159"/>
      <c r="HD48" s="159"/>
      <c r="HE48" s="160"/>
      <c r="IE48" s="37">
        <v>706489000000</v>
      </c>
      <c r="IF48" s="37">
        <v>706489000000</v>
      </c>
      <c r="IL48" s="157"/>
      <c r="JA48" s="158"/>
      <c r="JB48" s="159"/>
      <c r="JC48" s="159"/>
      <c r="JD48" s="160"/>
      <c r="JK48" s="158"/>
      <c r="JL48" s="160"/>
      <c r="JT48" s="158"/>
      <c r="KS48" s="37">
        <v>53999000000</v>
      </c>
      <c r="KT48" s="37">
        <v>83980000000</v>
      </c>
      <c r="KU48" s="37">
        <v>137979000000</v>
      </c>
      <c r="LA48" s="157"/>
      <c r="NM48" s="157"/>
      <c r="PV48" s="157">
        <v>-95765000000</v>
      </c>
      <c r="PW48" s="37">
        <v>-105825000000</v>
      </c>
      <c r="PX48" s="37">
        <v>-105825000000</v>
      </c>
      <c r="PY48" s="37">
        <v>-102392000000</v>
      </c>
      <c r="PZ48" s="37">
        <v>-102392000000</v>
      </c>
      <c r="QA48" s="37">
        <v>-95765000000</v>
      </c>
      <c r="QC48" s="37">
        <v>2331000000</v>
      </c>
      <c r="QD48" s="37">
        <v>940000000</v>
      </c>
      <c r="QS48" s="158">
        <v>316141000000</v>
      </c>
      <c r="QT48" s="160">
        <v>325921000000</v>
      </c>
      <c r="RA48" s="37">
        <v>17886000000</v>
      </c>
      <c r="RB48" s="37">
        <v>6063000000</v>
      </c>
      <c r="RF48" s="37">
        <v>6627000000</v>
      </c>
      <c r="RG48" s="37">
        <v>6643000000</v>
      </c>
      <c r="RH48" s="37">
        <v>16000000</v>
      </c>
      <c r="RX48" s="37">
        <v>-245099000000</v>
      </c>
      <c r="RY48" s="37">
        <v>-120897000000</v>
      </c>
      <c r="SA48" s="37">
        <v>1452130000000</v>
      </c>
      <c r="SB48" s="37">
        <v>261356000000</v>
      </c>
      <c r="SC48" s="37">
        <v>1713486000000</v>
      </c>
      <c r="SD48" s="37">
        <v>1263578000000</v>
      </c>
      <c r="SE48" s="37">
        <v>344083000000</v>
      </c>
      <c r="SF48" s="37">
        <v>1607661000000</v>
      </c>
      <c r="SH48" s="157"/>
      <c r="SI48" s="37">
        <v>1297341000000</v>
      </c>
      <c r="SJ48" s="37">
        <v>1297341000000</v>
      </c>
      <c r="SL48" s="158">
        <v>578109000000</v>
      </c>
      <c r="SM48" s="160">
        <v>578109000000</v>
      </c>
      <c r="SP48" s="37">
        <v>1305731000000</v>
      </c>
      <c r="SQ48" s="37">
        <v>1305731000000</v>
      </c>
      <c r="SR48" s="37">
        <v>1293908000000</v>
      </c>
      <c r="SS48" s="37">
        <v>1293908000000</v>
      </c>
      <c r="ST48" s="37">
        <v>403128000000</v>
      </c>
      <c r="SU48" s="37">
        <v>403128000000</v>
      </c>
      <c r="SV48" s="37">
        <v>95765000000</v>
      </c>
      <c r="SX48" s="158">
        <v>653390000000</v>
      </c>
      <c r="SY48" s="160">
        <v>654780000000</v>
      </c>
      <c r="SZ48" s="37">
        <v>24406000000</v>
      </c>
      <c r="TB48" s="37">
        <v>24406000000</v>
      </c>
      <c r="TC48" s="37">
        <v>24406000000</v>
      </c>
      <c r="TD48" s="37">
        <v>24406000000</v>
      </c>
      <c r="TE48" s="37">
        <v>16892000000</v>
      </c>
      <c r="TF48" s="37">
        <v>16892000000</v>
      </c>
      <c r="TG48" s="37">
        <v>41299000000</v>
      </c>
      <c r="TH48" s="37">
        <v>41299000000</v>
      </c>
      <c r="TI48" s="37">
        <v>41299000000</v>
      </c>
      <c r="TJ48" s="37">
        <v>41299000000</v>
      </c>
      <c r="TS48" s="158">
        <v>325921000000</v>
      </c>
      <c r="TT48" s="160">
        <v>316141000000</v>
      </c>
      <c r="UA48" s="37">
        <v>6063000000</v>
      </c>
      <c r="UB48" s="37">
        <v>17886000000</v>
      </c>
      <c r="UE48" s="158"/>
      <c r="UF48" s="159">
        <v>16000000</v>
      </c>
      <c r="UG48" s="159">
        <v>6643000000</v>
      </c>
      <c r="UH48" s="160">
        <v>-6627000000</v>
      </c>
      <c r="UZ48" s="158"/>
      <c r="VC48" s="37">
        <v>2565005000000</v>
      </c>
      <c r="VD48" s="37">
        <v>1315224000000</v>
      </c>
      <c r="VE48" s="37">
        <v>806800000000</v>
      </c>
      <c r="VF48" s="37">
        <v>83980000000</v>
      </c>
      <c r="VG48" s="37">
        <v>890780000000</v>
      </c>
      <c r="VH48" s="37">
        <v>295076000000</v>
      </c>
      <c r="VI48" s="37">
        <v>5660000000</v>
      </c>
      <c r="VK48" s="37">
        <v>300736000000</v>
      </c>
      <c r="VO48" s="37">
        <v>23153000000</v>
      </c>
      <c r="VP48" s="37">
        <v>23153000000</v>
      </c>
      <c r="VQ48" s="37">
        <v>23153000000</v>
      </c>
      <c r="VR48" s="37" t="s">
        <v>1149</v>
      </c>
      <c r="VS48" s="37" t="s">
        <v>1150</v>
      </c>
    </row>
    <row r="49" spans="1:591" s="37" customFormat="1" ht="12.75">
      <c r="A49" s="37">
        <v>2003</v>
      </c>
      <c r="B49" s="37">
        <v>1000</v>
      </c>
      <c r="C49" s="37" t="s">
        <v>1148</v>
      </c>
      <c r="FU49" s="37">
        <v>45943000000</v>
      </c>
      <c r="FV49" s="37">
        <v>45943000000</v>
      </c>
      <c r="GB49" s="157"/>
      <c r="GY49" s="158"/>
      <c r="GZ49" s="159"/>
      <c r="HA49" s="159"/>
      <c r="HB49" s="159"/>
      <c r="HC49" s="159"/>
      <c r="HD49" s="159"/>
      <c r="HE49" s="160"/>
      <c r="IE49" s="37">
        <v>677018000000</v>
      </c>
      <c r="IF49" s="37">
        <v>677018000000</v>
      </c>
      <c r="IL49" s="157"/>
      <c r="JA49" s="158"/>
      <c r="JB49" s="159"/>
      <c r="JC49" s="159"/>
      <c r="JD49" s="160"/>
      <c r="JK49" s="158"/>
      <c r="JL49" s="160"/>
      <c r="JT49" s="158"/>
      <c r="KS49" s="37">
        <v>54199000000</v>
      </c>
      <c r="KT49" s="37">
        <v>83948000000</v>
      </c>
      <c r="KU49" s="37">
        <v>138147000000</v>
      </c>
      <c r="LA49" s="157"/>
      <c r="NM49" s="157"/>
      <c r="PV49" s="157">
        <v>-134937000000</v>
      </c>
      <c r="PW49" s="37">
        <v>-114323000000</v>
      </c>
      <c r="PX49" s="37">
        <v>-114323000000</v>
      </c>
      <c r="PY49" s="37">
        <v>-135546000000</v>
      </c>
      <c r="PZ49" s="37">
        <v>-135546000000</v>
      </c>
      <c r="QA49" s="37">
        <v>-134937000000</v>
      </c>
      <c r="QC49" s="37">
        <v>2470000000</v>
      </c>
      <c r="QD49" s="37">
        <v>932000000</v>
      </c>
      <c r="QS49" s="158">
        <v>305705000000</v>
      </c>
      <c r="QT49" s="160">
        <v>339468000000</v>
      </c>
      <c r="RA49" s="37">
        <v>15120000000</v>
      </c>
      <c r="RB49" s="37">
        <v>4117000000</v>
      </c>
      <c r="RF49" s="37">
        <v>22000000</v>
      </c>
      <c r="RG49" s="37">
        <v>608000000</v>
      </c>
      <c r="RH49" s="37">
        <v>630000000</v>
      </c>
      <c r="RX49" s="37">
        <v>175964000000</v>
      </c>
      <c r="RY49" s="37">
        <v>315799000000</v>
      </c>
      <c r="SA49" s="37">
        <v>1631127000000</v>
      </c>
      <c r="SB49" s="37">
        <v>263628000000</v>
      </c>
      <c r="SC49" s="37">
        <v>1894755000000</v>
      </c>
      <c r="SD49" s="37">
        <v>1442596000000</v>
      </c>
      <c r="SE49" s="37">
        <v>337836000000</v>
      </c>
      <c r="SF49" s="37">
        <v>1780432000000</v>
      </c>
      <c r="SH49" s="157"/>
      <c r="SI49" s="37">
        <v>1256669000000</v>
      </c>
      <c r="SJ49" s="37">
        <v>1256669000000</v>
      </c>
      <c r="SL49" s="158">
        <v>570649000000</v>
      </c>
      <c r="SM49" s="160">
        <v>570649000000</v>
      </c>
      <c r="SP49" s="37">
        <v>1288895000000</v>
      </c>
      <c r="SQ49" s="37">
        <v>1288895000000</v>
      </c>
      <c r="SR49" s="37">
        <v>1277892000000</v>
      </c>
      <c r="SS49" s="37">
        <v>1277892000000</v>
      </c>
      <c r="ST49" s="37">
        <v>416784000000</v>
      </c>
      <c r="SU49" s="37">
        <v>416784000000</v>
      </c>
      <c r="SV49" s="37">
        <v>134938000000</v>
      </c>
      <c r="SX49" s="158">
        <v>633624000000</v>
      </c>
      <c r="SY49" s="160">
        <v>635162000000</v>
      </c>
      <c r="SZ49" s="37">
        <v>25428000000</v>
      </c>
      <c r="TB49" s="37">
        <v>25428000000</v>
      </c>
      <c r="TC49" s="37">
        <v>25428000000</v>
      </c>
      <c r="TD49" s="37">
        <v>25428000000</v>
      </c>
      <c r="TE49" s="37">
        <v>21245000000</v>
      </c>
      <c r="TF49" s="37">
        <v>21245000000</v>
      </c>
      <c r="TG49" s="37">
        <v>46674000000</v>
      </c>
      <c r="TH49" s="37">
        <v>46674000000</v>
      </c>
      <c r="TI49" s="37">
        <v>46674000000</v>
      </c>
      <c r="TJ49" s="37">
        <v>46674000000</v>
      </c>
      <c r="TS49" s="158">
        <v>339468000000</v>
      </c>
      <c r="TT49" s="160">
        <v>305705000000</v>
      </c>
      <c r="UA49" s="37">
        <v>4117000000</v>
      </c>
      <c r="UB49" s="37">
        <v>15120000000</v>
      </c>
      <c r="UE49" s="158"/>
      <c r="UF49" s="159">
        <v>-608000000</v>
      </c>
      <c r="UG49" s="159">
        <v>630000000</v>
      </c>
      <c r="UH49" s="160">
        <v>22000000</v>
      </c>
      <c r="UZ49" s="158"/>
      <c r="VC49" s="37">
        <v>2564158000000</v>
      </c>
      <c r="VD49" s="37">
        <v>1337103000000</v>
      </c>
      <c r="VE49" s="37">
        <v>777160000000</v>
      </c>
      <c r="VF49" s="37">
        <v>83948000000</v>
      </c>
      <c r="VG49" s="37">
        <v>861108000000</v>
      </c>
      <c r="VH49" s="37">
        <v>272127000000</v>
      </c>
      <c r="VI49" s="37">
        <v>9111000000</v>
      </c>
      <c r="VK49" s="37">
        <v>281238000000</v>
      </c>
      <c r="VO49" s="37">
        <v>4185000000</v>
      </c>
      <c r="VP49" s="37">
        <v>4185000000</v>
      </c>
      <c r="VQ49" s="37">
        <v>4185000000</v>
      </c>
      <c r="VR49" s="37" t="s">
        <v>1149</v>
      </c>
      <c r="VS49" s="37" t="s">
        <v>1150</v>
      </c>
    </row>
    <row r="50" spans="1:591" s="37" customFormat="1" ht="12.75">
      <c r="A50" s="37">
        <v>2004</v>
      </c>
      <c r="B50" s="37">
        <v>1000</v>
      </c>
      <c r="C50" s="37" t="s">
        <v>1148</v>
      </c>
      <c r="FU50" s="37">
        <v>43897000000</v>
      </c>
      <c r="FV50" s="37">
        <v>43897000000</v>
      </c>
      <c r="GB50" s="157"/>
      <c r="GY50" s="158"/>
      <c r="GZ50" s="159"/>
      <c r="HA50" s="159"/>
      <c r="HB50" s="159"/>
      <c r="HC50" s="159"/>
      <c r="HD50" s="159"/>
      <c r="HE50" s="160"/>
      <c r="IE50" s="37">
        <v>727546000000</v>
      </c>
      <c r="IF50" s="37">
        <v>727546000000</v>
      </c>
      <c r="IL50" s="157"/>
      <c r="JA50" s="158"/>
      <c r="JB50" s="159"/>
      <c r="JC50" s="159"/>
      <c r="JD50" s="160"/>
      <c r="JK50" s="158"/>
      <c r="JL50" s="160"/>
      <c r="JT50" s="158"/>
      <c r="KS50" s="37">
        <v>51622000000</v>
      </c>
      <c r="KT50" s="37">
        <v>84732000000</v>
      </c>
      <c r="KU50" s="37">
        <v>136354000000</v>
      </c>
      <c r="LA50" s="157"/>
      <c r="NM50" s="157"/>
      <c r="PV50" s="157">
        <v>-130445000000</v>
      </c>
      <c r="PW50" s="37">
        <v>-114716000000</v>
      </c>
      <c r="PX50" s="37">
        <v>-114716000000</v>
      </c>
      <c r="PY50" s="37">
        <v>-131014000000</v>
      </c>
      <c r="PZ50" s="37">
        <v>-131014000000</v>
      </c>
      <c r="QA50" s="37">
        <v>-130445000000</v>
      </c>
      <c r="QC50" s="37">
        <v>2497000000</v>
      </c>
      <c r="QD50" s="37">
        <v>1869000000</v>
      </c>
      <c r="QS50" s="158">
        <v>379748000000</v>
      </c>
      <c r="QT50" s="160">
        <v>408354000000</v>
      </c>
      <c r="RA50" s="37">
        <v>16551000000</v>
      </c>
      <c r="RB50" s="37">
        <v>4871000000</v>
      </c>
      <c r="RF50" s="37">
        <v>10000000</v>
      </c>
      <c r="RG50" s="37">
        <v>569000000</v>
      </c>
      <c r="RH50" s="37">
        <v>579000000</v>
      </c>
      <c r="RX50" s="37">
        <v>585661000000</v>
      </c>
      <c r="RY50" s="37">
        <v>757028000000</v>
      </c>
      <c r="SA50" s="37">
        <v>1891906000000</v>
      </c>
      <c r="SB50" s="37">
        <v>317617000000</v>
      </c>
      <c r="SC50" s="37">
        <v>2209523000000</v>
      </c>
      <c r="SD50" s="37">
        <v>1703214000000</v>
      </c>
      <c r="SE50" s="37">
        <v>391593000000</v>
      </c>
      <c r="SF50" s="37">
        <v>2094807000000</v>
      </c>
      <c r="SH50" s="157"/>
      <c r="SI50" s="37">
        <v>1316949000000</v>
      </c>
      <c r="SJ50" s="37">
        <v>1316949000000</v>
      </c>
      <c r="SL50" s="158">
        <v>618269000000</v>
      </c>
      <c r="SM50" s="160">
        <v>618269000000</v>
      </c>
      <c r="SP50" s="37">
        <v>1344927000000</v>
      </c>
      <c r="SQ50" s="37">
        <v>1344927000000</v>
      </c>
      <c r="SR50" s="37">
        <v>1333247000000</v>
      </c>
      <c r="SS50" s="37">
        <v>1333247000000</v>
      </c>
      <c r="ST50" s="37">
        <v>425450000000</v>
      </c>
      <c r="SU50" s="37">
        <v>425450000000</v>
      </c>
      <c r="SV50" s="37">
        <v>130445000000</v>
      </c>
      <c r="SX50" s="158">
        <v>642125000000</v>
      </c>
      <c r="SY50" s="160">
        <v>642754000000</v>
      </c>
      <c r="SZ50" s="37">
        <v>33296000000</v>
      </c>
      <c r="TB50" s="37">
        <v>33296000000</v>
      </c>
      <c r="TC50" s="37">
        <v>33296000000</v>
      </c>
      <c r="TD50" s="37">
        <v>33296000000</v>
      </c>
      <c r="TE50" s="37">
        <v>24302000000</v>
      </c>
      <c r="TF50" s="37">
        <v>24302000000</v>
      </c>
      <c r="TG50" s="37">
        <v>57598000000</v>
      </c>
      <c r="TH50" s="37">
        <v>57598000000</v>
      </c>
      <c r="TI50" s="37">
        <v>57598000000</v>
      </c>
      <c r="TJ50" s="37">
        <v>57598000000</v>
      </c>
      <c r="TS50" s="158">
        <v>408354000000</v>
      </c>
      <c r="TT50" s="160">
        <v>379748000000</v>
      </c>
      <c r="UA50" s="37">
        <v>4871000000</v>
      </c>
      <c r="UB50" s="37">
        <v>16551000000</v>
      </c>
      <c r="UE50" s="158"/>
      <c r="UF50" s="159">
        <v>10000000</v>
      </c>
      <c r="UG50" s="159">
        <v>579000000</v>
      </c>
      <c r="UH50" s="160">
        <v>-569000000</v>
      </c>
      <c r="UZ50" s="158"/>
      <c r="VC50" s="37">
        <v>2743271000000</v>
      </c>
      <c r="VD50" s="37">
        <v>1457947000000</v>
      </c>
      <c r="VE50" s="37">
        <v>823065000000</v>
      </c>
      <c r="VF50" s="37">
        <v>84732000000</v>
      </c>
      <c r="VG50" s="37">
        <v>907797000000</v>
      </c>
      <c r="VH50" s="37">
        <v>287360000000</v>
      </c>
      <c r="VI50" s="37">
        <v>7076000000</v>
      </c>
      <c r="VK50" s="37">
        <v>294436000000</v>
      </c>
      <c r="VO50" s="37">
        <v>-1671000000</v>
      </c>
      <c r="VP50" s="37">
        <v>-1671000000</v>
      </c>
      <c r="VQ50" s="37">
        <v>-1671000000</v>
      </c>
      <c r="VR50" s="37" t="s">
        <v>1149</v>
      </c>
      <c r="VS50" s="37" t="s">
        <v>1150</v>
      </c>
    </row>
    <row r="51" spans="1:591" s="37" customFormat="1" ht="12.75">
      <c r="A51" s="37">
        <v>2005</v>
      </c>
      <c r="B51" s="37">
        <v>1000</v>
      </c>
      <c r="C51" s="37" t="s">
        <v>1148</v>
      </c>
      <c r="FU51" s="37">
        <v>43040000000</v>
      </c>
      <c r="FV51" s="37">
        <v>43040000000</v>
      </c>
      <c r="GB51" s="157"/>
      <c r="GY51" s="158"/>
      <c r="GZ51" s="159"/>
      <c r="HA51" s="159"/>
      <c r="HB51" s="159"/>
      <c r="HC51" s="159"/>
      <c r="HD51" s="159"/>
      <c r="HE51" s="160"/>
      <c r="IE51" s="37">
        <v>768614000000</v>
      </c>
      <c r="IF51" s="37">
        <v>768614000000</v>
      </c>
      <c r="IL51" s="157"/>
      <c r="JA51" s="158"/>
      <c r="JB51" s="159"/>
      <c r="JC51" s="159"/>
      <c r="JD51" s="160"/>
      <c r="JK51" s="158"/>
      <c r="JL51" s="160"/>
      <c r="JT51" s="158"/>
      <c r="KS51" s="37">
        <v>50400000000</v>
      </c>
      <c r="KT51" s="37">
        <v>80166000000</v>
      </c>
      <c r="KU51" s="37">
        <v>130566000000</v>
      </c>
      <c r="LA51" s="157"/>
      <c r="NM51" s="157"/>
      <c r="PV51" s="157">
        <v>-167195000000</v>
      </c>
      <c r="PW51" s="37">
        <v>-172514000000</v>
      </c>
      <c r="PX51" s="37">
        <v>-172514000000</v>
      </c>
      <c r="PY51" s="37">
        <v>-167774000000</v>
      </c>
      <c r="PZ51" s="37">
        <v>-167774000000</v>
      </c>
      <c r="QA51" s="37">
        <v>-167195000000</v>
      </c>
      <c r="QC51" s="37">
        <v>2708000000</v>
      </c>
      <c r="QD51" s="37">
        <v>2309000000</v>
      </c>
      <c r="QS51" s="158">
        <v>500184000000</v>
      </c>
      <c r="QT51" s="160">
        <v>508047000000</v>
      </c>
      <c r="RA51" s="37">
        <v>19535000000</v>
      </c>
      <c r="RB51" s="37">
        <v>7331000000</v>
      </c>
      <c r="RF51" s="37">
        <v>579000000</v>
      </c>
      <c r="RG51" s="37">
        <v>404000000</v>
      </c>
      <c r="RH51" s="37">
        <v>983000000</v>
      </c>
      <c r="RX51" s="37">
        <v>386337000000</v>
      </c>
      <c r="RY51" s="37">
        <v>536952000000</v>
      </c>
      <c r="SA51" s="37">
        <v>2137419000000</v>
      </c>
      <c r="SB51" s="37">
        <v>368438000000</v>
      </c>
      <c r="SC51" s="37">
        <v>2505857000000</v>
      </c>
      <c r="SD51" s="37">
        <v>1895908000000</v>
      </c>
      <c r="SE51" s="37">
        <v>437435000000</v>
      </c>
      <c r="SF51" s="37">
        <v>2333343000000</v>
      </c>
      <c r="SH51" s="157"/>
      <c r="SI51" s="37">
        <v>1412125000000</v>
      </c>
      <c r="SJ51" s="37">
        <v>1412125000000</v>
      </c>
      <c r="SL51" s="158">
        <v>678399000000</v>
      </c>
      <c r="SM51" s="160">
        <v>678399000000</v>
      </c>
      <c r="SP51" s="37">
        <v>1419589000000</v>
      </c>
      <c r="SQ51" s="37">
        <v>1419589000000</v>
      </c>
      <c r="SR51" s="37">
        <v>1407385000000</v>
      </c>
      <c r="SS51" s="37">
        <v>1407385000000</v>
      </c>
      <c r="ST51" s="37">
        <v>465165000000</v>
      </c>
      <c r="SU51" s="37">
        <v>465165000000</v>
      </c>
      <c r="SV51" s="37">
        <v>167195000000</v>
      </c>
      <c r="SX51" s="158">
        <v>672790000000</v>
      </c>
      <c r="SY51" s="160">
        <v>673188000000</v>
      </c>
      <c r="SZ51" s="37">
        <v>35305000000</v>
      </c>
      <c r="TB51" s="37">
        <v>35305000000</v>
      </c>
      <c r="TC51" s="37">
        <v>35305000000</v>
      </c>
      <c r="TD51" s="37">
        <v>35305000000</v>
      </c>
      <c r="TE51" s="37">
        <v>26415000000</v>
      </c>
      <c r="TF51" s="37">
        <v>26415000000</v>
      </c>
      <c r="TG51" s="37">
        <v>61719000000</v>
      </c>
      <c r="TH51" s="37">
        <v>61719000000</v>
      </c>
      <c r="TI51" s="37">
        <v>61719000000</v>
      </c>
      <c r="TJ51" s="37">
        <v>61719000000</v>
      </c>
      <c r="TS51" s="158">
        <v>508047000000</v>
      </c>
      <c r="TT51" s="160">
        <v>500184000000</v>
      </c>
      <c r="UA51" s="37">
        <v>7331000000</v>
      </c>
      <c r="UB51" s="37">
        <v>19535000000</v>
      </c>
      <c r="UE51" s="158"/>
      <c r="UF51" s="159">
        <v>983000000</v>
      </c>
      <c r="UG51" s="159">
        <v>-579000000</v>
      </c>
      <c r="UH51" s="160">
        <v>404000000</v>
      </c>
      <c r="UZ51" s="158"/>
      <c r="VC51" s="37">
        <v>2977291000000</v>
      </c>
      <c r="VD51" s="37">
        <v>1599288000000</v>
      </c>
      <c r="VE51" s="37">
        <v>862054000000</v>
      </c>
      <c r="VF51" s="37">
        <v>80166000000</v>
      </c>
      <c r="VG51" s="37">
        <v>942220000000</v>
      </c>
      <c r="VH51" s="37">
        <v>302152000000</v>
      </c>
      <c r="VI51" s="37">
        <v>-4761000000</v>
      </c>
      <c r="VK51" s="37">
        <v>297391000000</v>
      </c>
      <c r="VO51" s="37">
        <v>-1182000000</v>
      </c>
      <c r="VP51" s="37">
        <v>-1182000000</v>
      </c>
      <c r="VQ51" s="37">
        <v>-1182000000</v>
      </c>
      <c r="VR51" s="37" t="s">
        <v>1149</v>
      </c>
      <c r="VS51" s="37" t="s">
        <v>1150</v>
      </c>
    </row>
    <row r="52" spans="1:591" s="37" customFormat="1" ht="12.75">
      <c r="A52" s="37">
        <v>2006</v>
      </c>
      <c r="B52" s="37">
        <v>1000</v>
      </c>
      <c r="C52" s="37" t="s">
        <v>1148</v>
      </c>
      <c r="FU52" s="37">
        <v>43368000000</v>
      </c>
      <c r="FV52" s="37">
        <v>43368000000</v>
      </c>
      <c r="GB52" s="157"/>
      <c r="GY52" s="158"/>
      <c r="GZ52" s="159"/>
      <c r="HA52" s="159"/>
      <c r="HB52" s="159"/>
      <c r="HC52" s="159"/>
      <c r="HD52" s="159"/>
      <c r="HE52" s="160"/>
      <c r="IE52" s="37">
        <v>825323000000</v>
      </c>
      <c r="IF52" s="37">
        <v>825323000000</v>
      </c>
      <c r="IL52" s="157"/>
      <c r="JA52" s="158"/>
      <c r="JB52" s="159"/>
      <c r="JC52" s="159"/>
      <c r="JD52" s="160"/>
      <c r="JK52" s="158"/>
      <c r="JL52" s="160"/>
      <c r="JT52" s="158"/>
      <c r="KS52" s="37">
        <v>50720000000</v>
      </c>
      <c r="KT52" s="37">
        <v>81117000000</v>
      </c>
      <c r="KU52" s="37">
        <v>131837000000</v>
      </c>
      <c r="LA52" s="157"/>
      <c r="NM52" s="157"/>
      <c r="PV52" s="157">
        <v>-190045000000</v>
      </c>
      <c r="PW52" s="37">
        <v>-167799000000</v>
      </c>
      <c r="PX52" s="37">
        <v>-167799000000</v>
      </c>
      <c r="PY52" s="37">
        <v>-190811000000</v>
      </c>
      <c r="PZ52" s="37">
        <v>-190811000000</v>
      </c>
      <c r="QA52" s="37">
        <v>-190045000000</v>
      </c>
      <c r="QC52" s="37">
        <v>2926000000</v>
      </c>
      <c r="QD52" s="37">
        <v>2284000000</v>
      </c>
      <c r="QS52" s="158">
        <v>621511000000</v>
      </c>
      <c r="QT52" s="160">
        <v>657666000000</v>
      </c>
      <c r="RA52" s="37">
        <v>19958000000</v>
      </c>
      <c r="RB52" s="37">
        <v>7456000000</v>
      </c>
      <c r="RF52" s="37">
        <v>770000000</v>
      </c>
      <c r="RG52" s="37">
        <v>4000000</v>
      </c>
      <c r="RH52" s="37">
        <v>765000000</v>
      </c>
      <c r="RX52" s="37">
        <v>896877000000</v>
      </c>
      <c r="RY52" s="37">
        <v>1116470000000</v>
      </c>
      <c r="SA52" s="37">
        <v>2361062000000</v>
      </c>
      <c r="SB52" s="37">
        <v>422921000000</v>
      </c>
      <c r="SC52" s="37">
        <v>2783983000000</v>
      </c>
      <c r="SD52" s="37">
        <v>2121277000000</v>
      </c>
      <c r="SE52" s="37">
        <v>494907000000</v>
      </c>
      <c r="SF52" s="37">
        <v>2616184000000</v>
      </c>
      <c r="SH52" s="157"/>
      <c r="SI52" s="37">
        <v>1503351000000</v>
      </c>
      <c r="SJ52" s="37">
        <v>1503351000000</v>
      </c>
      <c r="SL52" s="158">
        <v>732751000000</v>
      </c>
      <c r="SM52" s="160">
        <v>732751000000</v>
      </c>
      <c r="SP52" s="37">
        <v>1538864000000</v>
      </c>
      <c r="SQ52" s="37">
        <v>1538864000000</v>
      </c>
      <c r="SR52" s="37">
        <v>1526363000000</v>
      </c>
      <c r="SS52" s="37">
        <v>1526363000000</v>
      </c>
      <c r="ST52" s="37">
        <v>525835000000</v>
      </c>
      <c r="SU52" s="37">
        <v>525835000000</v>
      </c>
      <c r="SV52" s="37">
        <v>190046000000</v>
      </c>
      <c r="SX52" s="158">
        <v>710638000000</v>
      </c>
      <c r="SY52" s="160">
        <v>711280000000</v>
      </c>
      <c r="SZ52" s="37">
        <v>40348000000</v>
      </c>
      <c r="TB52" s="37">
        <v>40348000000</v>
      </c>
      <c r="TC52" s="37">
        <v>40348000000</v>
      </c>
      <c r="TD52" s="37">
        <v>40348000000</v>
      </c>
      <c r="TE52" s="37">
        <v>29504000000</v>
      </c>
      <c r="TF52" s="37">
        <v>29504000000</v>
      </c>
      <c r="TG52" s="37">
        <v>69852000000</v>
      </c>
      <c r="TH52" s="37">
        <v>69852000000</v>
      </c>
      <c r="TI52" s="37">
        <v>69852000000</v>
      </c>
      <c r="TJ52" s="37">
        <v>69852000000</v>
      </c>
      <c r="TS52" s="158">
        <v>657666000000</v>
      </c>
      <c r="TT52" s="160">
        <v>621511000000</v>
      </c>
      <c r="UA52" s="37">
        <v>7456000000</v>
      </c>
      <c r="UB52" s="37">
        <v>19958000000</v>
      </c>
      <c r="UE52" s="158"/>
      <c r="UF52" s="159">
        <v>770000000</v>
      </c>
      <c r="UG52" s="159">
        <v>-765000000</v>
      </c>
      <c r="UH52" s="160">
        <v>4000000</v>
      </c>
      <c r="UZ52" s="158"/>
      <c r="VC52" s="37">
        <v>3228823000000</v>
      </c>
      <c r="VD52" s="37">
        <v>1755287000000</v>
      </c>
      <c r="VE52" s="37">
        <v>919411000000</v>
      </c>
      <c r="VF52" s="37">
        <v>81117000000</v>
      </c>
      <c r="VG52" s="37">
        <v>1000528000000</v>
      </c>
      <c r="VH52" s="37">
        <v>337153000000</v>
      </c>
      <c r="VI52" s="37">
        <v>-2129000000</v>
      </c>
      <c r="VK52" s="37">
        <v>335024000000</v>
      </c>
      <c r="VO52" s="37">
        <v>-10532000000</v>
      </c>
      <c r="VP52" s="37">
        <v>-10532000000</v>
      </c>
      <c r="VQ52" s="37">
        <v>-10532000000</v>
      </c>
      <c r="VR52" s="37" t="s">
        <v>1149</v>
      </c>
      <c r="VS52" s="37" t="s">
        <v>1150</v>
      </c>
    </row>
    <row r="53" spans="1:591" s="37" customFormat="1" ht="12.75">
      <c r="A53" s="37">
        <v>2007</v>
      </c>
      <c r="B53" s="37">
        <v>1000</v>
      </c>
      <c r="C53" s="37" t="s">
        <v>1148</v>
      </c>
      <c r="FU53" s="37">
        <v>45886000000</v>
      </c>
      <c r="FV53" s="37">
        <v>45886000000</v>
      </c>
      <c r="GB53" s="157"/>
      <c r="GY53" s="158"/>
      <c r="GZ53" s="159"/>
      <c r="HA53" s="159"/>
      <c r="HB53" s="159"/>
      <c r="HC53" s="159"/>
      <c r="HD53" s="159"/>
      <c r="HE53" s="160"/>
      <c r="IE53" s="37">
        <v>936482000000</v>
      </c>
      <c r="IF53" s="37">
        <v>936482000000</v>
      </c>
      <c r="IL53" s="157"/>
      <c r="JA53" s="158"/>
      <c r="JB53" s="159"/>
      <c r="JC53" s="159"/>
      <c r="JD53" s="160"/>
      <c r="JK53" s="158"/>
      <c r="JL53" s="160"/>
      <c r="JT53" s="158"/>
      <c r="KS53" s="37">
        <v>53174000000</v>
      </c>
      <c r="KT53" s="37">
        <v>85793000000</v>
      </c>
      <c r="KU53" s="37">
        <v>138967000000</v>
      </c>
      <c r="LA53" s="157"/>
      <c r="NM53" s="157"/>
      <c r="PV53" s="157">
        <v>-214259000000</v>
      </c>
      <c r="PW53" s="37">
        <v>-176224000000</v>
      </c>
      <c r="PX53" s="37">
        <v>-176224000000</v>
      </c>
      <c r="PY53" s="37">
        <v>-214939000000</v>
      </c>
      <c r="PZ53" s="37">
        <v>-214939000000</v>
      </c>
      <c r="QA53" s="37">
        <v>-214259000000</v>
      </c>
      <c r="QC53" s="37">
        <v>3024000000</v>
      </c>
      <c r="QD53" s="37">
        <v>2470000000</v>
      </c>
      <c r="QS53" s="158">
        <v>847379000000</v>
      </c>
      <c r="QT53" s="160">
        <v>900744000000</v>
      </c>
      <c r="RA53" s="37">
        <v>21412000000</v>
      </c>
      <c r="RB53" s="37">
        <v>7316000000</v>
      </c>
      <c r="RF53" s="37">
        <v>29000000</v>
      </c>
      <c r="RG53" s="37">
        <v>710000000</v>
      </c>
      <c r="RH53" s="37">
        <v>680000000</v>
      </c>
      <c r="RX53" s="37">
        <v>2104557000000</v>
      </c>
      <c r="RY53" s="37">
        <v>2364268000000</v>
      </c>
      <c r="SA53" s="37">
        <v>2574439000000</v>
      </c>
      <c r="SB53" s="37">
        <v>502775000000</v>
      </c>
      <c r="SC53" s="37">
        <v>3077214000000</v>
      </c>
      <c r="SD53" s="37">
        <v>2364930000000</v>
      </c>
      <c r="SE53" s="37">
        <v>536060000000</v>
      </c>
      <c r="SF53" s="37">
        <v>2900990000000</v>
      </c>
      <c r="SH53" s="157"/>
      <c r="SI53" s="37">
        <v>1650756000000</v>
      </c>
      <c r="SJ53" s="37">
        <v>1650756000000</v>
      </c>
      <c r="SL53" s="158">
        <v>797588000000</v>
      </c>
      <c r="SM53" s="160">
        <v>797588000000</v>
      </c>
      <c r="SP53" s="37">
        <v>1703567000000</v>
      </c>
      <c r="SQ53" s="37">
        <v>1703567000000</v>
      </c>
      <c r="SR53" s="37">
        <v>1689471000000</v>
      </c>
      <c r="SS53" s="37">
        <v>1689471000000</v>
      </c>
      <c r="ST53" s="37">
        <v>568136000000</v>
      </c>
      <c r="SU53" s="37">
        <v>568136000000</v>
      </c>
      <c r="SV53" s="37">
        <v>214259000000</v>
      </c>
      <c r="SX53" s="158">
        <v>779045000000</v>
      </c>
      <c r="SY53" s="160">
        <v>779600000000</v>
      </c>
      <c r="SZ53" s="37">
        <v>64634000000</v>
      </c>
      <c r="TB53" s="37">
        <v>64634000000</v>
      </c>
      <c r="TC53" s="37">
        <v>64634000000</v>
      </c>
      <c r="TD53" s="37">
        <v>64634000000</v>
      </c>
      <c r="TE53" s="37">
        <v>28058000000</v>
      </c>
      <c r="TF53" s="37">
        <v>28058000000</v>
      </c>
      <c r="TG53" s="37">
        <v>92692000000</v>
      </c>
      <c r="TH53" s="37">
        <v>92692000000</v>
      </c>
      <c r="TI53" s="37">
        <v>92692000000</v>
      </c>
      <c r="TJ53" s="37">
        <v>92692000000</v>
      </c>
      <c r="TS53" s="158">
        <v>900744000000</v>
      </c>
      <c r="TT53" s="160">
        <v>847379000000</v>
      </c>
      <c r="UA53" s="37">
        <v>7316000000</v>
      </c>
      <c r="UB53" s="37">
        <v>21412000000</v>
      </c>
      <c r="UE53" s="158"/>
      <c r="UF53" s="159">
        <v>-680000000</v>
      </c>
      <c r="UG53" s="159">
        <v>710000000</v>
      </c>
      <c r="UH53" s="160">
        <v>29000000</v>
      </c>
      <c r="UZ53" s="158"/>
      <c r="VC53" s="37">
        <v>3560222000000</v>
      </c>
      <c r="VD53" s="37">
        <v>1954977000000</v>
      </c>
      <c r="VE53" s="37">
        <v>1035542000000</v>
      </c>
      <c r="VF53" s="37">
        <v>85793000000</v>
      </c>
      <c r="VG53" s="37">
        <v>1121335000000</v>
      </c>
      <c r="VH53" s="37">
        <v>340356000000</v>
      </c>
      <c r="VI53" s="37">
        <v>12841000000</v>
      </c>
      <c r="VK53" s="37">
        <v>353197000000</v>
      </c>
      <c r="VO53" s="37">
        <v>-19123000000</v>
      </c>
      <c r="VP53" s="37">
        <v>-19123000000</v>
      </c>
      <c r="VQ53" s="37">
        <v>-19123000000</v>
      </c>
      <c r="VR53" s="37" t="s">
        <v>1149</v>
      </c>
      <c r="VS53" s="37" t="s">
        <v>1150</v>
      </c>
    </row>
    <row r="54" spans="1:591" s="37" customFormat="1" ht="12.75">
      <c r="A54" s="37">
        <v>2008</v>
      </c>
      <c r="B54" s="37">
        <v>1000</v>
      </c>
      <c r="C54" s="37" t="s">
        <v>1148</v>
      </c>
      <c r="FU54" s="37">
        <v>48715000000</v>
      </c>
      <c r="FV54" s="37">
        <v>48715000000</v>
      </c>
      <c r="GB54" s="157"/>
      <c r="GY54" s="158"/>
      <c r="GZ54" s="159"/>
      <c r="HA54" s="159"/>
      <c r="HB54" s="159"/>
      <c r="HC54" s="159"/>
      <c r="HD54" s="159"/>
      <c r="HE54" s="160"/>
      <c r="IE54" s="37">
        <v>977767000000</v>
      </c>
      <c r="IF54" s="37">
        <v>977767000000</v>
      </c>
      <c r="IL54" s="157"/>
      <c r="JA54" s="158"/>
      <c r="JB54" s="159"/>
      <c r="JC54" s="159"/>
      <c r="JD54" s="160"/>
      <c r="JK54" s="158"/>
      <c r="JL54" s="160"/>
      <c r="JT54" s="158"/>
      <c r="KS54" s="37">
        <v>56907000000</v>
      </c>
      <c r="KT54" s="37">
        <v>91110000000</v>
      </c>
      <c r="KU54" s="37">
        <v>148017000000</v>
      </c>
      <c r="LA54" s="157"/>
      <c r="NM54" s="157"/>
      <c r="PV54" s="157">
        <v>-253849000000</v>
      </c>
      <c r="PW54" s="37">
        <v>-173712000000</v>
      </c>
      <c r="PX54" s="37">
        <v>-173712000000</v>
      </c>
      <c r="PY54" s="37">
        <v>-255808000000</v>
      </c>
      <c r="PZ54" s="37">
        <v>-255808000000</v>
      </c>
      <c r="QA54" s="37">
        <v>-253849000000</v>
      </c>
      <c r="QC54" s="37">
        <v>3061000000</v>
      </c>
      <c r="QD54" s="37">
        <v>2767000000</v>
      </c>
      <c r="QS54" s="158">
        <v>837371000000</v>
      </c>
      <c r="QT54" s="160">
        <v>938173000000</v>
      </c>
      <c r="RA54" s="37">
        <v>23170000000</v>
      </c>
      <c r="RB54" s="37">
        <v>4759000000</v>
      </c>
      <c r="RF54" s="37">
        <v>20000000</v>
      </c>
      <c r="RG54" s="37">
        <v>1978000000</v>
      </c>
      <c r="RH54" s="37">
        <v>1958000000</v>
      </c>
      <c r="RX54" s="37">
        <v>-329829000000</v>
      </c>
      <c r="RY54" s="37">
        <v>-77079000000</v>
      </c>
      <c r="SA54" s="37">
        <v>2758181000000</v>
      </c>
      <c r="SB54" s="37">
        <v>544358000000</v>
      </c>
      <c r="SC54" s="37">
        <v>3302539000000</v>
      </c>
      <c r="SD54" s="37">
        <v>2563428000000</v>
      </c>
      <c r="SE54" s="37">
        <v>565399000000</v>
      </c>
      <c r="SF54" s="37">
        <v>3128827000000</v>
      </c>
      <c r="SH54" s="157"/>
      <c r="SI54" s="37">
        <v>1707487000000</v>
      </c>
      <c r="SJ54" s="37">
        <v>1707487000000</v>
      </c>
      <c r="SL54" s="158">
        <v>793760000000</v>
      </c>
      <c r="SM54" s="160">
        <v>793760000000</v>
      </c>
      <c r="SP54" s="37">
        <v>1807994000000</v>
      </c>
      <c r="SQ54" s="37">
        <v>1807994000000</v>
      </c>
      <c r="SR54" s="37">
        <v>1789582000000</v>
      </c>
      <c r="SS54" s="37">
        <v>1789582000000</v>
      </c>
      <c r="ST54" s="37">
        <v>615083000000</v>
      </c>
      <c r="SU54" s="37">
        <v>615083000000</v>
      </c>
      <c r="SV54" s="37">
        <v>253849000000</v>
      </c>
      <c r="SX54" s="158">
        <v>802362000000</v>
      </c>
      <c r="SY54" s="160">
        <v>802656000000</v>
      </c>
      <c r="SZ54" s="37">
        <v>58233000000</v>
      </c>
      <c r="TB54" s="37">
        <v>58233000000</v>
      </c>
      <c r="TC54" s="37">
        <v>58233000000</v>
      </c>
      <c r="TD54" s="37">
        <v>58233000000</v>
      </c>
      <c r="TE54" s="37">
        <v>23597000000</v>
      </c>
      <c r="TF54" s="37">
        <v>23597000000</v>
      </c>
      <c r="TG54" s="37">
        <v>81830000000</v>
      </c>
      <c r="TH54" s="37">
        <v>81830000000</v>
      </c>
      <c r="TI54" s="37">
        <v>81830000000</v>
      </c>
      <c r="TJ54" s="37">
        <v>81830000000</v>
      </c>
      <c r="TS54" s="158">
        <v>938173000000</v>
      </c>
      <c r="TT54" s="160">
        <v>837371000000</v>
      </c>
      <c r="UA54" s="37">
        <v>4759000000</v>
      </c>
      <c r="UB54" s="37">
        <v>23170000000</v>
      </c>
      <c r="UE54" s="158"/>
      <c r="UF54" s="159">
        <v>-1958000000</v>
      </c>
      <c r="UG54" s="159">
        <v>1978000000</v>
      </c>
      <c r="UH54" s="160">
        <v>20000000</v>
      </c>
      <c r="UZ54" s="158"/>
      <c r="VC54" s="37">
        <v>3687794000000</v>
      </c>
      <c r="VD54" s="37">
        <v>2067780000000</v>
      </c>
      <c r="VE54" s="37">
        <v>1083389000000</v>
      </c>
      <c r="VF54" s="37">
        <v>91110000000</v>
      </c>
      <c r="VG54" s="37">
        <v>1174499000000</v>
      </c>
      <c r="VH54" s="37">
        <v>350796000000</v>
      </c>
      <c r="VI54" s="37">
        <v>8480000000</v>
      </c>
      <c r="VK54" s="37">
        <v>359276000000</v>
      </c>
      <c r="VO54" s="37">
        <v>29240000000</v>
      </c>
      <c r="VP54" s="37">
        <v>29240000000</v>
      </c>
      <c r="VQ54" s="37">
        <v>29240000000</v>
      </c>
      <c r="VR54" s="37" t="s">
        <v>1149</v>
      </c>
      <c r="VS54" s="37" t="s">
        <v>1150</v>
      </c>
    </row>
    <row r="55" spans="1:591" s="37" customFormat="1" ht="12.75">
      <c r="A55" s="37">
        <v>2009</v>
      </c>
      <c r="B55" s="37">
        <v>1000</v>
      </c>
      <c r="C55" s="37" t="s">
        <v>1148</v>
      </c>
      <c r="FU55" s="37">
        <v>51986000000</v>
      </c>
      <c r="FV55" s="37">
        <v>51986000000</v>
      </c>
      <c r="GB55" s="157"/>
      <c r="GY55" s="158"/>
      <c r="GZ55" s="159"/>
      <c r="HA55" s="159"/>
      <c r="HB55" s="159"/>
      <c r="HC55" s="159"/>
      <c r="HD55" s="159"/>
      <c r="HE55" s="160"/>
      <c r="IE55" s="37">
        <v>961629000000</v>
      </c>
      <c r="IF55" s="37">
        <v>961629000000</v>
      </c>
      <c r="IL55" s="157"/>
      <c r="JA55" s="158"/>
      <c r="JB55" s="159"/>
      <c r="JC55" s="159"/>
      <c r="JD55" s="160"/>
      <c r="JK55" s="158"/>
      <c r="JL55" s="160"/>
      <c r="JT55" s="158"/>
      <c r="KS55" s="37">
        <v>59037000000</v>
      </c>
      <c r="KT55" s="37">
        <v>93475000000</v>
      </c>
      <c r="KU55" s="37">
        <v>152512000000</v>
      </c>
      <c r="LA55" s="157"/>
      <c r="NM55" s="157"/>
      <c r="PV55" s="157">
        <v>-160981000000</v>
      </c>
      <c r="PW55" s="37">
        <v>-130625000000</v>
      </c>
      <c r="PX55" s="37">
        <v>-130625000000</v>
      </c>
      <c r="PY55" s="37">
        <v>-164001000000</v>
      </c>
      <c r="PZ55" s="37">
        <v>-164001000000</v>
      </c>
      <c r="QA55" s="37">
        <v>-160981000000</v>
      </c>
      <c r="QC55" s="37">
        <v>3204000000</v>
      </c>
      <c r="QD55" s="37">
        <v>2696000000</v>
      </c>
      <c r="QS55" s="158">
        <v>734250000000</v>
      </c>
      <c r="QT55" s="160">
        <v>784519000000</v>
      </c>
      <c r="RA55" s="37">
        <v>20022000000</v>
      </c>
      <c r="RB55" s="37">
        <v>3637000000</v>
      </c>
      <c r="RF55" s="37">
        <v>246000000</v>
      </c>
      <c r="RG55" s="37">
        <v>3021000000</v>
      </c>
      <c r="RH55" s="37">
        <v>3266000000</v>
      </c>
      <c r="RX55" s="37">
        <v>293600000000</v>
      </c>
      <c r="RY55" s="37">
        <v>435111000000</v>
      </c>
      <c r="SA55" s="37">
        <v>2454394000000</v>
      </c>
      <c r="SB55" s="37">
        <v>501303000000</v>
      </c>
      <c r="SC55" s="37">
        <v>2955697000000</v>
      </c>
      <c r="SD55" s="37">
        <v>2351386000000</v>
      </c>
      <c r="SE55" s="37">
        <v>473686000000</v>
      </c>
      <c r="SF55" s="37">
        <v>2825072000000</v>
      </c>
      <c r="SH55" s="157"/>
      <c r="SI55" s="37">
        <v>1659245000000</v>
      </c>
      <c r="SJ55" s="37">
        <v>1659245000000</v>
      </c>
      <c r="SL55" s="158">
        <v>738521000000</v>
      </c>
      <c r="SM55" s="160">
        <v>738521000000</v>
      </c>
      <c r="SP55" s="37">
        <v>1709007000000</v>
      </c>
      <c r="SQ55" s="37">
        <v>1709007000000</v>
      </c>
      <c r="SR55" s="37">
        <v>1692621000000</v>
      </c>
      <c r="SS55" s="37">
        <v>1692621000000</v>
      </c>
      <c r="ST55" s="37">
        <v>526494000000</v>
      </c>
      <c r="SU55" s="37">
        <v>526494000000</v>
      </c>
      <c r="SV55" s="37">
        <v>160980000000</v>
      </c>
      <c r="SX55" s="158">
        <v>819435000000</v>
      </c>
      <c r="SY55" s="160">
        <v>819943000000</v>
      </c>
      <c r="SZ55" s="37">
        <v>54689000000</v>
      </c>
      <c r="TB55" s="37">
        <v>54689000000</v>
      </c>
      <c r="TC55" s="37">
        <v>54689000000</v>
      </c>
      <c r="TD55" s="37">
        <v>54689000000</v>
      </c>
      <c r="TE55" s="37">
        <v>23361000000</v>
      </c>
      <c r="TF55" s="37">
        <v>23361000000</v>
      </c>
      <c r="TG55" s="37">
        <v>78050000000</v>
      </c>
      <c r="TH55" s="37">
        <v>78050000000</v>
      </c>
      <c r="TI55" s="37">
        <v>78050000000</v>
      </c>
      <c r="TJ55" s="37">
        <v>78050000000</v>
      </c>
      <c r="TS55" s="158">
        <v>784519000000</v>
      </c>
      <c r="TT55" s="160">
        <v>734250000000</v>
      </c>
      <c r="UA55" s="37">
        <v>3637000000</v>
      </c>
      <c r="UB55" s="37">
        <v>20022000000</v>
      </c>
      <c r="UE55" s="158"/>
      <c r="UF55" s="159">
        <v>3266000000</v>
      </c>
      <c r="UG55" s="159">
        <v>246000000</v>
      </c>
      <c r="UH55" s="160">
        <v>-3021000000</v>
      </c>
      <c r="UZ55" s="158"/>
      <c r="VC55" s="37">
        <v>3381493000000</v>
      </c>
      <c r="VD55" s="37">
        <v>1799669000000</v>
      </c>
      <c r="VE55" s="37">
        <v>1072652000000</v>
      </c>
      <c r="VF55" s="37">
        <v>93475000000</v>
      </c>
      <c r="VG55" s="37">
        <v>1166127000000</v>
      </c>
      <c r="VH55" s="37">
        <v>339552000000</v>
      </c>
      <c r="VI55" s="37">
        <v>22941000000</v>
      </c>
      <c r="VK55" s="37">
        <v>362493000000</v>
      </c>
      <c r="VO55" s="37">
        <v>22732000000</v>
      </c>
      <c r="VP55" s="37">
        <v>22732000000</v>
      </c>
      <c r="VQ55" s="37">
        <v>22732000000</v>
      </c>
      <c r="VR55" s="37" t="s">
        <v>1149</v>
      </c>
      <c r="VS55" s="37" t="s">
        <v>1150</v>
      </c>
    </row>
    <row r="56" spans="1:591" s="37" customFormat="1" ht="12.75">
      <c r="A56" s="37">
        <v>2010</v>
      </c>
      <c r="B56" s="37">
        <v>1000</v>
      </c>
      <c r="C56" s="37" t="s">
        <v>1148</v>
      </c>
      <c r="FU56" s="37">
        <v>51510000000</v>
      </c>
      <c r="FV56" s="37">
        <v>51510000000</v>
      </c>
      <c r="GB56" s="157"/>
      <c r="GY56" s="158"/>
      <c r="GZ56" s="159"/>
      <c r="HA56" s="159"/>
      <c r="HB56" s="159"/>
      <c r="HC56" s="159"/>
      <c r="HD56" s="159"/>
      <c r="HE56" s="160"/>
      <c r="IE56" s="37">
        <v>1038724000000</v>
      </c>
      <c r="IF56" s="37">
        <v>1038724000000</v>
      </c>
      <c r="IL56" s="157"/>
      <c r="JA56" s="158"/>
      <c r="JB56" s="159"/>
      <c r="JC56" s="159"/>
      <c r="JD56" s="160"/>
      <c r="JK56" s="158"/>
      <c r="JL56" s="160"/>
      <c r="JT56" s="158"/>
      <c r="KS56" s="37">
        <v>60194000000</v>
      </c>
      <c r="KT56" s="37">
        <v>97177000000</v>
      </c>
      <c r="KU56" s="37">
        <v>157371000000</v>
      </c>
      <c r="LA56" s="157"/>
      <c r="NM56" s="157"/>
      <c r="PV56" s="157">
        <v>-119932000000</v>
      </c>
      <c r="PW56" s="37">
        <v>-104353000000</v>
      </c>
      <c r="PX56" s="37">
        <v>-104353000000</v>
      </c>
      <c r="PY56" s="37">
        <v>-124369000000</v>
      </c>
      <c r="PZ56" s="37">
        <v>-124369000000</v>
      </c>
      <c r="QA56" s="37">
        <v>-119932000000</v>
      </c>
      <c r="QC56" s="37">
        <v>3752000000</v>
      </c>
      <c r="QD56" s="37">
        <v>2638000000</v>
      </c>
      <c r="QS56" s="158">
        <v>888393000000</v>
      </c>
      <c r="QT56" s="160">
        <v>927103000000</v>
      </c>
      <c r="RA56" s="37">
        <v>22030000000</v>
      </c>
      <c r="RB56" s="37">
        <v>4449000000</v>
      </c>
      <c r="RF56" s="37">
        <v>4436000000</v>
      </c>
      <c r="RG56" s="37">
        <v>4544000000</v>
      </c>
      <c r="RH56" s="37">
        <v>108000000</v>
      </c>
      <c r="RX56" s="37">
        <v>1627323000000</v>
      </c>
      <c r="RY56" s="37">
        <v>1711725000000</v>
      </c>
      <c r="SA56" s="37">
        <v>3021492000000</v>
      </c>
      <c r="SB56" s="37">
        <v>625719000000</v>
      </c>
      <c r="SC56" s="37">
        <v>3647211000000</v>
      </c>
      <c r="SD56" s="37">
        <v>2995928000000</v>
      </c>
      <c r="SE56" s="37">
        <v>546930000000</v>
      </c>
      <c r="SF56" s="37">
        <v>3542858000000</v>
      </c>
      <c r="SH56" s="157"/>
      <c r="SI56" s="37">
        <v>1776332000000</v>
      </c>
      <c r="SJ56" s="37">
        <v>1776332000000</v>
      </c>
      <c r="SL56" s="158">
        <v>830331000000</v>
      </c>
      <c r="SM56" s="160">
        <v>830331000000</v>
      </c>
      <c r="SP56" s="37">
        <v>1813928000000</v>
      </c>
      <c r="SQ56" s="37">
        <v>1813928000000</v>
      </c>
      <c r="SR56" s="37">
        <v>1796348000000</v>
      </c>
      <c r="SS56" s="37">
        <v>1796348000000</v>
      </c>
      <c r="ST56" s="37">
        <v>548743000000</v>
      </c>
      <c r="SU56" s="37">
        <v>548743000000</v>
      </c>
      <c r="SV56" s="37">
        <v>119933000000</v>
      </c>
      <c r="SX56" s="158">
        <v>879983000000</v>
      </c>
      <c r="SY56" s="160">
        <v>881096000000</v>
      </c>
      <c r="SZ56" s="37">
        <v>68707000000</v>
      </c>
      <c r="TB56" s="37">
        <v>68707000000</v>
      </c>
      <c r="TC56" s="37">
        <v>68707000000</v>
      </c>
      <c r="TD56" s="37">
        <v>68707000000</v>
      </c>
      <c r="TE56" s="37">
        <v>25870000000</v>
      </c>
      <c r="TF56" s="37">
        <v>25870000000</v>
      </c>
      <c r="TG56" s="37">
        <v>94577000000</v>
      </c>
      <c r="TH56" s="37">
        <v>94577000000</v>
      </c>
      <c r="TI56" s="37">
        <v>94577000000</v>
      </c>
      <c r="TJ56" s="37">
        <v>94577000000</v>
      </c>
      <c r="TS56" s="158">
        <v>927103000000</v>
      </c>
      <c r="TT56" s="160">
        <v>888393000000</v>
      </c>
      <c r="UA56" s="37">
        <v>4449000000</v>
      </c>
      <c r="UB56" s="37">
        <v>22030000000</v>
      </c>
      <c r="UE56" s="158"/>
      <c r="UF56" s="159">
        <v>108000000</v>
      </c>
      <c r="UG56" s="159">
        <v>-4436000000</v>
      </c>
      <c r="UH56" s="160">
        <v>4544000000</v>
      </c>
      <c r="UZ56" s="158"/>
      <c r="VC56" s="37">
        <v>3804236000000</v>
      </c>
      <c r="VD56" s="37">
        <v>2066938000000</v>
      </c>
      <c r="VE56" s="37">
        <v>1150428000000</v>
      </c>
      <c r="VF56" s="37">
        <v>97177000000</v>
      </c>
      <c r="VG56" s="37">
        <v>1247605000000</v>
      </c>
      <c r="VH56" s="37">
        <v>386852000000</v>
      </c>
      <c r="VI56" s="37">
        <v>37522000000</v>
      </c>
      <c r="VK56" s="37">
        <v>424374000000</v>
      </c>
      <c r="VO56" s="37">
        <v>-29673000000</v>
      </c>
      <c r="VP56" s="37">
        <v>-29673000000</v>
      </c>
      <c r="VQ56" s="37">
        <v>-29673000000</v>
      </c>
      <c r="VR56" s="37" t="s">
        <v>1149</v>
      </c>
      <c r="VS56" s="37" t="s">
        <v>1150</v>
      </c>
    </row>
    <row r="57" spans="1:591" s="37" customFormat="1" ht="12.75">
      <c r="A57" s="37">
        <v>2011</v>
      </c>
      <c r="B57" s="37">
        <v>1000</v>
      </c>
      <c r="C57" s="37" t="s">
        <v>1148</v>
      </c>
      <c r="FU57" s="37">
        <v>55164000000</v>
      </c>
      <c r="FV57" s="37">
        <v>55164000000</v>
      </c>
      <c r="GB57" s="157"/>
      <c r="GY57" s="158"/>
      <c r="GZ57" s="159"/>
      <c r="HA57" s="159"/>
      <c r="HB57" s="159"/>
      <c r="HC57" s="159"/>
      <c r="HD57" s="159"/>
      <c r="HE57" s="160"/>
      <c r="IE57" s="37">
        <v>1169238000000</v>
      </c>
      <c r="IF57" s="37">
        <v>1169238000000</v>
      </c>
      <c r="IL57" s="157"/>
      <c r="JA57" s="158"/>
      <c r="JB57" s="159"/>
      <c r="JC57" s="159"/>
      <c r="JD57" s="160"/>
      <c r="JK57" s="158"/>
      <c r="JL57" s="160"/>
      <c r="JT57" s="158"/>
      <c r="KS57" s="37">
        <v>65081000000</v>
      </c>
      <c r="KT57" s="37">
        <v>103436000000</v>
      </c>
      <c r="KU57" s="37">
        <v>168517000000</v>
      </c>
      <c r="LA57" s="157"/>
      <c r="NM57" s="157"/>
      <c r="PV57" s="157">
        <v>-105492000000</v>
      </c>
      <c r="PW57" s="37">
        <v>-74478000000</v>
      </c>
      <c r="PX57" s="37">
        <v>-74478000000</v>
      </c>
      <c r="PY57" s="37">
        <v>-107513000000</v>
      </c>
      <c r="PZ57" s="37">
        <v>-107513000000</v>
      </c>
      <c r="QA57" s="37">
        <v>-105492000000</v>
      </c>
      <c r="QC57" s="37">
        <v>4315000000</v>
      </c>
      <c r="QD57" s="37">
        <v>2737000000</v>
      </c>
      <c r="QS57" s="158">
        <v>1002210000000</v>
      </c>
      <c r="QT57" s="160">
        <v>1056615000000</v>
      </c>
      <c r="RA57" s="37">
        <v>26649000000</v>
      </c>
      <c r="RB57" s="37">
        <v>6858000000</v>
      </c>
      <c r="RF57" s="37">
        <v>19000000</v>
      </c>
      <c r="RG57" s="37">
        <v>2021000000</v>
      </c>
      <c r="RH57" s="37">
        <v>2040000000</v>
      </c>
      <c r="RX57" s="37">
        <v>1299006000000</v>
      </c>
      <c r="RY57" s="37">
        <v>1410226000000</v>
      </c>
      <c r="SA57" s="37">
        <v>3406765000000</v>
      </c>
      <c r="SB57" s="37">
        <v>710716000000</v>
      </c>
      <c r="SC57" s="37">
        <v>4117481000000</v>
      </c>
      <c r="SD57" s="37">
        <v>3464968000000</v>
      </c>
      <c r="SE57" s="37">
        <v>578035000000</v>
      </c>
      <c r="SF57" s="37">
        <v>4043003000000</v>
      </c>
      <c r="SH57" s="157"/>
      <c r="SI57" s="37">
        <v>1934430000000</v>
      </c>
      <c r="SJ57" s="37">
        <v>1934430000000</v>
      </c>
      <c r="SL57" s="158">
        <v>912347000000</v>
      </c>
      <c r="SM57" s="160">
        <v>912347000000</v>
      </c>
      <c r="SP57" s="37">
        <v>1987256000000</v>
      </c>
      <c r="SQ57" s="37">
        <v>1987256000000</v>
      </c>
      <c r="SR57" s="37">
        <v>1967465000000</v>
      </c>
      <c r="SS57" s="37">
        <v>1967465000000</v>
      </c>
      <c r="ST57" s="37">
        <v>574546000000</v>
      </c>
      <c r="SU57" s="37">
        <v>574546000000</v>
      </c>
      <c r="SV57" s="37">
        <v>105492000000</v>
      </c>
      <c r="SX57" s="158">
        <v>959148000000</v>
      </c>
      <c r="SY57" s="160">
        <v>960726000000</v>
      </c>
      <c r="SZ57" s="37">
        <v>69401000000</v>
      </c>
      <c r="TB57" s="37">
        <v>69401000000</v>
      </c>
      <c r="TC57" s="37">
        <v>69401000000</v>
      </c>
      <c r="TD57" s="37">
        <v>69401000000</v>
      </c>
      <c r="TE57" s="37">
        <v>27976000000</v>
      </c>
      <c r="TF57" s="37">
        <v>27976000000</v>
      </c>
      <c r="TG57" s="37">
        <v>97376000000</v>
      </c>
      <c r="TH57" s="37">
        <v>97376000000</v>
      </c>
      <c r="TI57" s="37">
        <v>97376000000</v>
      </c>
      <c r="TJ57" s="37">
        <v>97376000000</v>
      </c>
      <c r="TS57" s="158">
        <v>1056615000000</v>
      </c>
      <c r="TT57" s="160">
        <v>1002210000000</v>
      </c>
      <c r="UA57" s="37">
        <v>6858000000</v>
      </c>
      <c r="UB57" s="37">
        <v>26649000000</v>
      </c>
      <c r="UE57" s="158"/>
      <c r="UF57" s="159">
        <v>2040000000</v>
      </c>
      <c r="UG57" s="159">
        <v>-2021000000</v>
      </c>
      <c r="UH57" s="160">
        <v>19000000</v>
      </c>
      <c r="UZ57" s="158"/>
      <c r="VC57" s="37">
        <v>4115513000000</v>
      </c>
      <c r="VD57" s="37">
        <v>2214464000000</v>
      </c>
      <c r="VE57" s="37">
        <v>1289483000000</v>
      </c>
      <c r="VF57" s="37">
        <v>103436000000</v>
      </c>
      <c r="VG57" s="37">
        <v>1392919000000</v>
      </c>
      <c r="VH57" s="37">
        <v>455294000000</v>
      </c>
      <c r="VI57" s="37">
        <v>11739000000</v>
      </c>
      <c r="VK57" s="37">
        <v>467033000000</v>
      </c>
      <c r="VO57" s="37">
        <v>-36020000000</v>
      </c>
      <c r="VP57" s="37">
        <v>-36020000000</v>
      </c>
      <c r="VQ57" s="37">
        <v>-36020000000</v>
      </c>
      <c r="VR57" s="37" t="s">
        <v>1149</v>
      </c>
      <c r="VS57" s="37" t="s">
        <v>1150</v>
      </c>
    </row>
    <row r="58" spans="1:591" s="37" customFormat="1" ht="12.75">
      <c r="A58" s="37">
        <v>2012</v>
      </c>
      <c r="B58" s="37">
        <v>1000</v>
      </c>
      <c r="C58" s="37" t="s">
        <v>1148</v>
      </c>
      <c r="FU58" s="37">
        <v>59991000000</v>
      </c>
      <c r="FV58" s="37">
        <v>59991000000</v>
      </c>
      <c r="GB58" s="157"/>
      <c r="GY58" s="158"/>
      <c r="GZ58" s="159"/>
      <c r="HA58" s="159"/>
      <c r="HB58" s="159"/>
      <c r="HC58" s="159"/>
      <c r="HD58" s="159"/>
      <c r="HE58" s="160"/>
      <c r="IE58" s="37">
        <v>1254978000000</v>
      </c>
      <c r="IF58" s="37">
        <v>1254978000000</v>
      </c>
      <c r="IL58" s="157"/>
      <c r="JA58" s="158"/>
      <c r="JB58" s="159"/>
      <c r="JC58" s="159"/>
      <c r="JD58" s="160"/>
      <c r="JK58" s="158"/>
      <c r="JL58" s="160"/>
      <c r="JT58" s="158"/>
      <c r="KS58" s="37">
        <v>72105000000</v>
      </c>
      <c r="KT58" s="37">
        <v>113205000000</v>
      </c>
      <c r="KU58" s="37">
        <v>185310000000</v>
      </c>
      <c r="LA58" s="157"/>
      <c r="NM58" s="157"/>
      <c r="PV58" s="157">
        <v>-30718000000</v>
      </c>
      <c r="PW58" s="37">
        <v>-23031000000</v>
      </c>
      <c r="PX58" s="37">
        <v>-23031000000</v>
      </c>
      <c r="PY58" s="37">
        <v>-32151000000</v>
      </c>
      <c r="PZ58" s="37">
        <v>-32151000000</v>
      </c>
      <c r="QA58" s="37">
        <v>-30718000000</v>
      </c>
      <c r="QC58" s="37">
        <v>4710000000</v>
      </c>
      <c r="QD58" s="37">
        <v>2845000000</v>
      </c>
      <c r="QS58" s="158">
        <v>1057069000000</v>
      </c>
      <c r="QT58" s="160">
        <v>1088390000000</v>
      </c>
      <c r="RA58" s="37">
        <v>27357000000</v>
      </c>
      <c r="RB58" s="37">
        <v>7021000000</v>
      </c>
      <c r="RF58" s="37">
        <v>1000000</v>
      </c>
      <c r="RG58" s="37">
        <v>1433000000</v>
      </c>
      <c r="RH58" s="37">
        <v>1434000000</v>
      </c>
      <c r="RX58" s="37">
        <v>941225000000</v>
      </c>
      <c r="RY58" s="37">
        <v>1007456000000</v>
      </c>
      <c r="SA58" s="37">
        <v>3632957000000</v>
      </c>
      <c r="SB58" s="37">
        <v>764026000000</v>
      </c>
      <c r="SC58" s="37">
        <v>4396983000000</v>
      </c>
      <c r="SD58" s="37">
        <v>3779686000000</v>
      </c>
      <c r="SE58" s="37">
        <v>594266000000</v>
      </c>
      <c r="SF58" s="37">
        <v>4373952000000</v>
      </c>
      <c r="SH58" s="157"/>
      <c r="SI58" s="37">
        <v>2037059000000</v>
      </c>
      <c r="SJ58" s="37">
        <v>2037059000000</v>
      </c>
      <c r="SL58" s="158">
        <v>956639000000</v>
      </c>
      <c r="SM58" s="160">
        <v>956639000000</v>
      </c>
      <c r="SP58" s="37">
        <v>2066514000000</v>
      </c>
      <c r="SQ58" s="37">
        <v>2066514000000</v>
      </c>
      <c r="SR58" s="37">
        <v>2046178000000</v>
      </c>
      <c r="SS58" s="37">
        <v>2046178000000</v>
      </c>
      <c r="ST58" s="37">
        <v>545899000000</v>
      </c>
      <c r="SU58" s="37">
        <v>545899000000</v>
      </c>
      <c r="SV58" s="37">
        <v>30717000000</v>
      </c>
      <c r="SX58" s="158">
        <v>1025626000000</v>
      </c>
      <c r="SY58" s="160">
        <v>1027492000000</v>
      </c>
      <c r="SZ58" s="37">
        <v>63575000000</v>
      </c>
      <c r="TB58" s="37">
        <v>63575000000</v>
      </c>
      <c r="TC58" s="37">
        <v>63575000000</v>
      </c>
      <c r="TD58" s="37">
        <v>63575000000</v>
      </c>
      <c r="TE58" s="37">
        <v>28907000000</v>
      </c>
      <c r="TF58" s="37">
        <v>28907000000</v>
      </c>
      <c r="TG58" s="37">
        <v>92482000000</v>
      </c>
      <c r="TH58" s="37">
        <v>92482000000</v>
      </c>
      <c r="TI58" s="37">
        <v>92482000000</v>
      </c>
      <c r="TJ58" s="37">
        <v>92482000000</v>
      </c>
      <c r="TS58" s="158">
        <v>1088390000000</v>
      </c>
      <c r="TT58" s="160">
        <v>1057069000000</v>
      </c>
      <c r="UA58" s="37">
        <v>7021000000</v>
      </c>
      <c r="UB58" s="37">
        <v>27357000000</v>
      </c>
      <c r="UE58" s="158"/>
      <c r="UF58" s="159">
        <v>-1433000000</v>
      </c>
      <c r="UG58" s="159">
        <v>1434000000</v>
      </c>
      <c r="UH58" s="160">
        <v>1000000</v>
      </c>
      <c r="UZ58" s="158"/>
      <c r="VC58" s="37">
        <v>4214629000000</v>
      </c>
      <c r="VD58" s="37">
        <v>2201591000000</v>
      </c>
      <c r="VE58" s="37">
        <v>1387074000000</v>
      </c>
      <c r="VF58" s="37">
        <v>113205000000</v>
      </c>
      <c r="VG58" s="37">
        <v>1500279000000</v>
      </c>
      <c r="VH58" s="37">
        <v>517411000000</v>
      </c>
      <c r="VI58" s="37">
        <v>-3662000000</v>
      </c>
      <c r="VK58" s="37">
        <v>513749000000</v>
      </c>
      <c r="VO58" s="37">
        <v>-39554000000</v>
      </c>
      <c r="VP58" s="37">
        <v>-39554000000</v>
      </c>
      <c r="VQ58" s="37">
        <v>-39554000000</v>
      </c>
      <c r="VR58" s="37" t="s">
        <v>1149</v>
      </c>
      <c r="VS58" s="37" t="s">
        <v>1150</v>
      </c>
    </row>
    <row r="59" spans="1:591" s="37" customFormat="1" ht="12.75">
      <c r="A59" s="37">
        <v>2013</v>
      </c>
      <c r="B59" s="37">
        <v>1000</v>
      </c>
      <c r="C59" s="37" t="s">
        <v>1148</v>
      </c>
      <c r="FU59" s="37">
        <v>64112000000</v>
      </c>
      <c r="FV59" s="37">
        <v>64112000000</v>
      </c>
      <c r="GB59" s="157"/>
      <c r="GY59" s="158"/>
      <c r="GZ59" s="159"/>
      <c r="HA59" s="159"/>
      <c r="HB59" s="159"/>
      <c r="HC59" s="159"/>
      <c r="HD59" s="159"/>
      <c r="HE59" s="160"/>
      <c r="IE59" s="37">
        <v>1348946000000</v>
      </c>
      <c r="IF59" s="37">
        <v>1348946000000</v>
      </c>
      <c r="IL59" s="157"/>
      <c r="JA59" s="158"/>
      <c r="JB59" s="159"/>
      <c r="JC59" s="159"/>
      <c r="JD59" s="160"/>
      <c r="JK59" s="158"/>
      <c r="JL59" s="160"/>
      <c r="JT59" s="158"/>
      <c r="KS59" s="37">
        <v>77842000000</v>
      </c>
      <c r="KT59" s="37">
        <v>120730000000</v>
      </c>
      <c r="KU59" s="37">
        <v>198572000000</v>
      </c>
      <c r="LA59" s="157"/>
      <c r="NM59" s="157"/>
      <c r="PV59" s="157">
        <v>-30867000000</v>
      </c>
      <c r="PW59" s="37">
        <v>-12832000000</v>
      </c>
      <c r="PX59" s="37">
        <v>-12832000000</v>
      </c>
      <c r="PY59" s="37">
        <v>-32475000000</v>
      </c>
      <c r="PZ59" s="37">
        <v>-32475000000</v>
      </c>
      <c r="QA59" s="37">
        <v>-30867000000</v>
      </c>
      <c r="QC59" s="37">
        <v>5090000000</v>
      </c>
      <c r="QD59" s="37">
        <v>2795000000</v>
      </c>
      <c r="QS59" s="158">
        <v>1137959000000</v>
      </c>
      <c r="QT59" s="160">
        <v>1180773000000</v>
      </c>
      <c r="RA59" s="37">
        <v>28964000000</v>
      </c>
      <c r="RB59" s="37">
        <v>8088000000</v>
      </c>
      <c r="RF59" s="37">
        <v>4000000</v>
      </c>
      <c r="RG59" s="37">
        <v>1609000000</v>
      </c>
      <c r="RH59" s="37">
        <v>1613000000</v>
      </c>
      <c r="RX59" s="37">
        <v>1348454000000</v>
      </c>
      <c r="RY59" s="37">
        <v>1433153000000</v>
      </c>
      <c r="SA59" s="37">
        <v>3926059000000</v>
      </c>
      <c r="SB59" s="37">
        <v>812640000000</v>
      </c>
      <c r="SC59" s="37">
        <v>4738699000000</v>
      </c>
      <c r="SD59" s="37">
        <v>4142651000000</v>
      </c>
      <c r="SE59" s="37">
        <v>583216000000</v>
      </c>
      <c r="SF59" s="37">
        <v>4725867000000</v>
      </c>
      <c r="SH59" s="157"/>
      <c r="SI59" s="37">
        <v>2138305000000</v>
      </c>
      <c r="SJ59" s="37">
        <v>2138305000000</v>
      </c>
      <c r="SL59" s="158">
        <v>997132000000</v>
      </c>
      <c r="SM59" s="160">
        <v>997132000000</v>
      </c>
      <c r="SP59" s="37">
        <v>2178824000000</v>
      </c>
      <c r="SQ59" s="37">
        <v>2178824000000</v>
      </c>
      <c r="SR59" s="37">
        <v>2157948000000</v>
      </c>
      <c r="SS59" s="37">
        <v>2157948000000</v>
      </c>
      <c r="ST59" s="37">
        <v>546318000000</v>
      </c>
      <c r="SU59" s="37">
        <v>546318000000</v>
      </c>
      <c r="SV59" s="37">
        <v>30866000000</v>
      </c>
      <c r="SX59" s="158">
        <v>1064653000000</v>
      </c>
      <c r="SY59" s="160">
        <v>1066948000000</v>
      </c>
      <c r="SZ59" s="37">
        <v>75314000000</v>
      </c>
      <c r="TB59" s="37">
        <v>75314000000</v>
      </c>
      <c r="TC59" s="37">
        <v>75314000000</v>
      </c>
      <c r="TD59" s="37">
        <v>75314000000</v>
      </c>
      <c r="TE59" s="37">
        <v>34000000000</v>
      </c>
      <c r="TF59" s="37">
        <v>34000000000</v>
      </c>
      <c r="TG59" s="37">
        <v>109315000000</v>
      </c>
      <c r="TH59" s="37">
        <v>109315000000</v>
      </c>
      <c r="TI59" s="37">
        <v>109315000000</v>
      </c>
      <c r="TJ59" s="37">
        <v>109315000000</v>
      </c>
      <c r="TS59" s="158">
        <v>1180773000000</v>
      </c>
      <c r="TT59" s="160">
        <v>1137959000000</v>
      </c>
      <c r="UA59" s="37">
        <v>8088000000</v>
      </c>
      <c r="UB59" s="37">
        <v>28964000000</v>
      </c>
      <c r="UE59" s="158"/>
      <c r="UF59" s="159">
        <v>-1609000000</v>
      </c>
      <c r="UG59" s="159">
        <v>1613000000</v>
      </c>
      <c r="UH59" s="160">
        <v>4000000</v>
      </c>
      <c r="UZ59" s="158"/>
      <c r="VC59" s="37">
        <v>4248617000000</v>
      </c>
      <c r="VD59" s="37">
        <v>2150537000000</v>
      </c>
      <c r="VE59" s="37">
        <v>1490900000000</v>
      </c>
      <c r="VF59" s="37">
        <v>120730000000</v>
      </c>
      <c r="VG59" s="37">
        <v>1611630000000</v>
      </c>
      <c r="VH59" s="37">
        <v>515516000000</v>
      </c>
      <c r="VI59" s="37">
        <v>-1673000000</v>
      </c>
      <c r="VK59" s="37">
        <v>513843000000</v>
      </c>
      <c r="VO59" s="37">
        <v>-35090000000</v>
      </c>
      <c r="VP59" s="37">
        <v>-35090000000</v>
      </c>
      <c r="VQ59" s="37">
        <v>-35090000000</v>
      </c>
      <c r="VR59" s="37" t="s">
        <v>1149</v>
      </c>
      <c r="VS59" s="37" t="s">
        <v>1150</v>
      </c>
    </row>
    <row r="60" spans="1:591" s="37" customFormat="1" ht="12.75">
      <c r="A60" s="37">
        <v>2014</v>
      </c>
      <c r="B60" s="37">
        <v>1000</v>
      </c>
      <c r="C60" s="37" t="s">
        <v>1148</v>
      </c>
      <c r="FU60" s="37">
        <v>68043000000</v>
      </c>
      <c r="FV60" s="37">
        <v>68043000000</v>
      </c>
      <c r="GB60" s="157"/>
      <c r="GY60" s="158"/>
      <c r="GZ60" s="159"/>
      <c r="HA60" s="159"/>
      <c r="HB60" s="159"/>
      <c r="HC60" s="159"/>
      <c r="HD60" s="159"/>
      <c r="HE60" s="160"/>
      <c r="IE60" s="37">
        <v>1434725000000</v>
      </c>
      <c r="IF60" s="37">
        <v>1434725000000</v>
      </c>
      <c r="IL60" s="157"/>
      <c r="JA60" s="158"/>
      <c r="JB60" s="159"/>
      <c r="JC60" s="159"/>
      <c r="JD60" s="160"/>
      <c r="JK60" s="158"/>
      <c r="JL60" s="160"/>
      <c r="JT60" s="158"/>
      <c r="KS60" s="37">
        <v>83739000000</v>
      </c>
      <c r="KT60" s="37">
        <v>130477000000</v>
      </c>
      <c r="KU60" s="37">
        <v>214216000000</v>
      </c>
      <c r="LA60" s="157"/>
      <c r="NM60" s="157"/>
      <c r="PV60" s="157">
        <v>-30705000000</v>
      </c>
      <c r="PW60" s="37">
        <v>-4632000000</v>
      </c>
      <c r="PX60" s="37">
        <v>-4632000000</v>
      </c>
      <c r="PY60" s="37">
        <v>-31453000000</v>
      </c>
      <c r="PZ60" s="37">
        <v>-31453000000</v>
      </c>
      <c r="QA60" s="37">
        <v>-30705000000</v>
      </c>
      <c r="QC60" s="37">
        <v>5518000000</v>
      </c>
      <c r="QD60" s="37">
        <v>2888000000</v>
      </c>
      <c r="QS60" s="158">
        <v>1202608000000</v>
      </c>
      <c r="QT60" s="160">
        <v>1251844000000</v>
      </c>
      <c r="RA60" s="37">
        <v>28588000000</v>
      </c>
      <c r="RB60" s="37">
        <v>8802000000</v>
      </c>
      <c r="RF60" s="37">
        <v>748000000</v>
      </c>
      <c r="RG60" s="37">
        <v>3000000</v>
      </c>
      <c r="RH60" s="37">
        <v>750000000</v>
      </c>
      <c r="RX60" s="37">
        <v>1910680000000</v>
      </c>
      <c r="RY60" s="37">
        <v>1983718000000</v>
      </c>
      <c r="SA60" s="37">
        <v>3986769000000</v>
      </c>
      <c r="SB60" s="37">
        <v>829085000000</v>
      </c>
      <c r="SC60" s="37">
        <v>4815854000000</v>
      </c>
      <c r="SD60" s="37">
        <v>4237700000000</v>
      </c>
      <c r="SE60" s="37">
        <v>573522000000</v>
      </c>
      <c r="SF60" s="37">
        <v>4811222000000</v>
      </c>
      <c r="SH60" s="157"/>
      <c r="SI60" s="37">
        <v>2260005000000</v>
      </c>
      <c r="SJ60" s="37">
        <v>2260005000000</v>
      </c>
      <c r="SL60" s="158">
        <v>1033518000000</v>
      </c>
      <c r="SM60" s="160">
        <v>1033518000000</v>
      </c>
      <c r="SP60" s="37">
        <v>2306612000000</v>
      </c>
      <c r="SQ60" s="37">
        <v>2306612000000</v>
      </c>
      <c r="SR60" s="37">
        <v>2286826000000</v>
      </c>
      <c r="SS60" s="37">
        <v>2286826000000</v>
      </c>
      <c r="ST60" s="37">
        <v>569842000000</v>
      </c>
      <c r="SU60" s="37">
        <v>569842000000</v>
      </c>
      <c r="SV60" s="37">
        <v>30705000000</v>
      </c>
      <c r="SX60" s="158">
        <v>1126593000000</v>
      </c>
      <c r="SY60" s="160">
        <v>1129222000000</v>
      </c>
      <c r="SZ60" s="37">
        <v>83236000000</v>
      </c>
      <c r="TB60" s="37">
        <v>83236000000</v>
      </c>
      <c r="TC60" s="37">
        <v>83236000000</v>
      </c>
      <c r="TD60" s="37">
        <v>83236000000</v>
      </c>
      <c r="TE60" s="37">
        <v>43232000000</v>
      </c>
      <c r="TF60" s="37">
        <v>43232000000</v>
      </c>
      <c r="TG60" s="37">
        <v>126468000000</v>
      </c>
      <c r="TH60" s="37">
        <v>126468000000</v>
      </c>
      <c r="TI60" s="37">
        <v>126468000000</v>
      </c>
      <c r="TJ60" s="37">
        <v>126468000000</v>
      </c>
      <c r="TS60" s="158">
        <v>1251844000000</v>
      </c>
      <c r="TT60" s="160">
        <v>1202608000000</v>
      </c>
      <c r="UA60" s="37">
        <v>8802000000</v>
      </c>
      <c r="UB60" s="37">
        <v>28588000000</v>
      </c>
      <c r="UE60" s="158"/>
      <c r="UF60" s="159">
        <v>750000000</v>
      </c>
      <c r="UG60" s="159">
        <v>3000000</v>
      </c>
      <c r="UH60" s="160">
        <v>-748000000</v>
      </c>
      <c r="UZ60" s="158"/>
      <c r="VC60" s="37">
        <v>4381022000000</v>
      </c>
      <c r="VD60" s="37">
        <v>2175051000000</v>
      </c>
      <c r="VE60" s="37">
        <v>1586507000000</v>
      </c>
      <c r="VF60" s="37">
        <v>130477000000</v>
      </c>
      <c r="VG60" s="37">
        <v>1716984000000</v>
      </c>
      <c r="VH60" s="37">
        <v>530916000000</v>
      </c>
      <c r="VI60" s="37">
        <v>7473000000</v>
      </c>
      <c r="VK60" s="37">
        <v>538389000000</v>
      </c>
      <c r="VO60" s="37">
        <v>-29203000000</v>
      </c>
      <c r="VP60" s="37">
        <v>-29203000000</v>
      </c>
      <c r="VQ60" s="37">
        <v>-29203000000</v>
      </c>
      <c r="VR60" s="37" t="s">
        <v>1149</v>
      </c>
      <c r="VS60" s="37" t="s">
        <v>1150</v>
      </c>
    </row>
    <row r="61" spans="1:591" s="37" customFormat="1" ht="12.75">
      <c r="A61" s="37">
        <v>2015</v>
      </c>
      <c r="B61" s="37">
        <v>1000</v>
      </c>
      <c r="C61" s="37" t="s">
        <v>1148</v>
      </c>
      <c r="FU61" s="37">
        <v>74658000000</v>
      </c>
      <c r="FV61" s="37">
        <v>74658000000</v>
      </c>
      <c r="GB61" s="157"/>
      <c r="GY61" s="158"/>
      <c r="GZ61" s="159"/>
      <c r="HA61" s="159"/>
      <c r="HB61" s="159"/>
      <c r="HC61" s="159"/>
      <c r="HD61" s="159"/>
      <c r="HE61" s="160"/>
      <c r="IE61" s="37">
        <v>1518433000000</v>
      </c>
      <c r="IF61" s="37">
        <v>1518433000000</v>
      </c>
      <c r="IL61" s="157"/>
      <c r="JA61" s="158"/>
      <c r="JB61" s="159"/>
      <c r="JC61" s="159"/>
      <c r="JD61" s="160"/>
      <c r="JK61" s="158"/>
      <c r="JL61" s="160"/>
      <c r="JT61" s="158"/>
      <c r="KS61" s="37">
        <v>90229000000</v>
      </c>
      <c r="KT61" s="37">
        <v>141034000000</v>
      </c>
      <c r="KU61" s="37">
        <v>231263000000</v>
      </c>
      <c r="LA61" s="157"/>
      <c r="NM61" s="157"/>
      <c r="PV61" s="157">
        <v>-79337000000</v>
      </c>
      <c r="PW61" s="37">
        <v>-57301000000</v>
      </c>
      <c r="PX61" s="37">
        <v>-57301000000</v>
      </c>
      <c r="PY61" s="37">
        <v>-79553000000</v>
      </c>
      <c r="PZ61" s="37">
        <v>-79553000000</v>
      </c>
      <c r="QA61" s="37">
        <v>-79337000000</v>
      </c>
      <c r="QC61" s="37">
        <v>5880000000</v>
      </c>
      <c r="QD61" s="37">
        <v>2998000000</v>
      </c>
      <c r="QS61" s="158">
        <v>1224200000000</v>
      </c>
      <c r="QT61" s="160">
        <v>1271459000000</v>
      </c>
      <c r="RA61" s="37">
        <v>31775000000</v>
      </c>
      <c r="RB61" s="37">
        <v>9650000000</v>
      </c>
      <c r="RF61" s="37">
        <v>472000000</v>
      </c>
      <c r="RG61" s="37">
        <v>216000000</v>
      </c>
      <c r="RH61" s="37">
        <v>256000000</v>
      </c>
      <c r="RX61" s="37">
        <v>574353000000</v>
      </c>
      <c r="RY61" s="37">
        <v>702779000000</v>
      </c>
      <c r="SA61" s="37">
        <v>3889225000000</v>
      </c>
      <c r="SB61" s="37">
        <v>808948000000</v>
      </c>
      <c r="SC61" s="37">
        <v>4698173000000</v>
      </c>
      <c r="SD61" s="37">
        <v>4066527000000</v>
      </c>
      <c r="SE61" s="37">
        <v>574345000000</v>
      </c>
      <c r="SF61" s="37">
        <v>4640872000000</v>
      </c>
      <c r="SH61" s="157"/>
      <c r="SI61" s="37">
        <v>2398280000000</v>
      </c>
      <c r="SJ61" s="37">
        <v>2398280000000</v>
      </c>
      <c r="SL61" s="158">
        <v>1095611000000</v>
      </c>
      <c r="SM61" s="160">
        <v>1095611000000</v>
      </c>
      <c r="SP61" s="37">
        <v>2442656000000</v>
      </c>
      <c r="SQ61" s="37">
        <v>2442656000000</v>
      </c>
      <c r="SR61" s="37">
        <v>2420532000000</v>
      </c>
      <c r="SS61" s="37">
        <v>2420532000000</v>
      </c>
      <c r="ST61" s="37">
        <v>596178000000</v>
      </c>
      <c r="SU61" s="37">
        <v>596178000000</v>
      </c>
      <c r="SV61" s="37">
        <v>79337000000</v>
      </c>
      <c r="SX61" s="158">
        <v>1178207000000</v>
      </c>
      <c r="SY61" s="160">
        <v>1181090000000</v>
      </c>
      <c r="SZ61" s="37">
        <v>95433000000</v>
      </c>
      <c r="TB61" s="37">
        <v>95433000000</v>
      </c>
      <c r="TC61" s="37">
        <v>95433000000</v>
      </c>
      <c r="TD61" s="37">
        <v>95433000000</v>
      </c>
      <c r="TE61" s="37">
        <v>48756000000</v>
      </c>
      <c r="TF61" s="37">
        <v>48756000000</v>
      </c>
      <c r="TG61" s="37">
        <v>144189000000</v>
      </c>
      <c r="TH61" s="37">
        <v>144189000000</v>
      </c>
      <c r="TI61" s="37">
        <v>144189000000</v>
      </c>
      <c r="TJ61" s="37">
        <v>144189000000</v>
      </c>
      <c r="TS61" s="158">
        <v>1271459000000</v>
      </c>
      <c r="TT61" s="160">
        <v>1224200000000</v>
      </c>
      <c r="UA61" s="37">
        <v>9650000000</v>
      </c>
      <c r="UB61" s="37">
        <v>31775000000</v>
      </c>
      <c r="UE61" s="158"/>
      <c r="UF61" s="159">
        <v>472000000</v>
      </c>
      <c r="UG61" s="159">
        <v>256000000</v>
      </c>
      <c r="UH61" s="160">
        <v>-216000000</v>
      </c>
      <c r="UZ61" s="158"/>
      <c r="VC61" s="37">
        <v>4463488000000</v>
      </c>
      <c r="VD61" s="37">
        <v>2138031000000</v>
      </c>
      <c r="VE61" s="37">
        <v>1683320000000</v>
      </c>
      <c r="VF61" s="37">
        <v>141034000000</v>
      </c>
      <c r="VG61" s="37">
        <v>1824354000000</v>
      </c>
      <c r="VH61" s="37">
        <v>537205000000</v>
      </c>
      <c r="VI61" s="37">
        <v>-20580000000</v>
      </c>
      <c r="VK61" s="37">
        <v>516625000000</v>
      </c>
      <c r="VO61" s="37">
        <v>-22610000000</v>
      </c>
      <c r="VP61" s="37">
        <v>-22610000000</v>
      </c>
      <c r="VQ61" s="37">
        <v>-22610000000</v>
      </c>
      <c r="VR61" s="37" t="s">
        <v>1149</v>
      </c>
      <c r="VS61" s="37" t="s">
        <v>1150</v>
      </c>
    </row>
    <row r="62" spans="1:591" s="37" customFormat="1" ht="12.75">
      <c r="A62" s="37">
        <v>2016</v>
      </c>
      <c r="B62" s="37">
        <v>1000</v>
      </c>
      <c r="C62" s="37" t="s">
        <v>1148</v>
      </c>
      <c r="FU62" s="37">
        <v>78764000000</v>
      </c>
      <c r="FV62" s="37">
        <v>78764000000</v>
      </c>
      <c r="GB62" s="157"/>
      <c r="GY62" s="158"/>
      <c r="GZ62" s="159"/>
      <c r="HA62" s="159"/>
      <c r="HB62" s="159"/>
      <c r="HC62" s="159"/>
      <c r="HD62" s="159"/>
      <c r="HE62" s="160"/>
      <c r="IE62" s="37">
        <v>1570821000000</v>
      </c>
      <c r="IF62" s="37">
        <v>1570821000000</v>
      </c>
      <c r="IL62" s="157"/>
      <c r="JA62" s="158"/>
      <c r="JB62" s="159"/>
      <c r="JC62" s="159"/>
      <c r="JD62" s="160"/>
      <c r="JK62" s="158"/>
      <c r="JL62" s="160"/>
      <c r="JT62" s="158"/>
      <c r="KS62" s="37">
        <v>97086000000</v>
      </c>
      <c r="KT62" s="37">
        <v>150522000000</v>
      </c>
      <c r="KU62" s="37">
        <v>247608000000</v>
      </c>
      <c r="LA62" s="157"/>
      <c r="NM62" s="157"/>
      <c r="PV62" s="157">
        <v>-98290000000</v>
      </c>
      <c r="PW62" s="37">
        <v>-57040000000</v>
      </c>
      <c r="PX62" s="37">
        <v>-57040000000</v>
      </c>
      <c r="PY62" s="37">
        <v>-98664000000</v>
      </c>
      <c r="PZ62" s="37">
        <v>-98664000000</v>
      </c>
      <c r="QA62" s="37">
        <v>-98290000000</v>
      </c>
      <c r="QC62" s="37">
        <v>6338000000</v>
      </c>
      <c r="QD62" s="37">
        <v>3102000000</v>
      </c>
      <c r="QS62" s="158">
        <v>1204603000000</v>
      </c>
      <c r="QT62" s="160">
        <v>1270432000000</v>
      </c>
      <c r="RA62" s="37">
        <v>31411000000</v>
      </c>
      <c r="RB62" s="37">
        <v>10442000000</v>
      </c>
      <c r="RF62" s="37">
        <v>377000000</v>
      </c>
      <c r="RG62" s="37">
        <v>3000000</v>
      </c>
      <c r="RH62" s="37">
        <v>374000000</v>
      </c>
      <c r="RX62" s="37">
        <v>608614000000</v>
      </c>
      <c r="RY62" s="37">
        <v>709344000000</v>
      </c>
      <c r="SA62" s="37">
        <v>3892886000000</v>
      </c>
      <c r="SB62" s="37">
        <v>764839000000</v>
      </c>
      <c r="SC62" s="37">
        <v>4657725000000</v>
      </c>
      <c r="SD62" s="37">
        <v>4022579000000</v>
      </c>
      <c r="SE62" s="37">
        <v>578106000000</v>
      </c>
      <c r="SF62" s="37">
        <v>4600685000000</v>
      </c>
      <c r="SH62" s="157"/>
      <c r="SI62" s="37">
        <v>2490703000000</v>
      </c>
      <c r="SJ62" s="37">
        <v>2490703000000</v>
      </c>
      <c r="SL62" s="158">
        <v>1130528000000</v>
      </c>
      <c r="SM62" s="160">
        <v>1130528000000</v>
      </c>
      <c r="SP62" s="37">
        <v>2553296000000</v>
      </c>
      <c r="SQ62" s="37">
        <v>2553296000000</v>
      </c>
      <c r="SR62" s="37">
        <v>2532327000000</v>
      </c>
      <c r="SS62" s="37">
        <v>2532327000000</v>
      </c>
      <c r="ST62" s="37">
        <v>635134000000</v>
      </c>
      <c r="SU62" s="37">
        <v>635134000000</v>
      </c>
      <c r="SV62" s="37">
        <v>98290000000</v>
      </c>
      <c r="SX62" s="158">
        <v>1237437000000</v>
      </c>
      <c r="SY62" s="160">
        <v>1240673000000</v>
      </c>
      <c r="SZ62" s="37">
        <v>84604000000</v>
      </c>
      <c r="TB62" s="37">
        <v>84604000000</v>
      </c>
      <c r="TC62" s="37">
        <v>84604000000</v>
      </c>
      <c r="TD62" s="37">
        <v>84604000000</v>
      </c>
      <c r="TE62" s="37">
        <v>46712000000</v>
      </c>
      <c r="TF62" s="37">
        <v>46712000000</v>
      </c>
      <c r="TG62" s="37">
        <v>131316000000</v>
      </c>
      <c r="TH62" s="37">
        <v>131316000000</v>
      </c>
      <c r="TI62" s="37">
        <v>131316000000</v>
      </c>
      <c r="TJ62" s="37">
        <v>131316000000</v>
      </c>
      <c r="TS62" s="158">
        <v>1270432000000</v>
      </c>
      <c r="TT62" s="160">
        <v>1204603000000</v>
      </c>
      <c r="UA62" s="37">
        <v>10442000000</v>
      </c>
      <c r="UB62" s="37">
        <v>31411000000</v>
      </c>
      <c r="UE62" s="158"/>
      <c r="UF62" s="159">
        <v>377000000</v>
      </c>
      <c r="UG62" s="159">
        <v>-374000000</v>
      </c>
      <c r="UH62" s="160">
        <v>3000000</v>
      </c>
      <c r="UZ62" s="158"/>
      <c r="VC62" s="37">
        <v>4563554000000</v>
      </c>
      <c r="VD62" s="37">
        <v>2145641000000</v>
      </c>
      <c r="VE62" s="37">
        <v>1746671000000</v>
      </c>
      <c r="VF62" s="37">
        <v>150522000000</v>
      </c>
      <c r="VG62" s="37">
        <v>1897193000000</v>
      </c>
      <c r="VH62" s="37">
        <v>536023000000</v>
      </c>
      <c r="VI62" s="37">
        <v>447000000</v>
      </c>
      <c r="VK62" s="37">
        <v>536470000000</v>
      </c>
      <c r="VO62" s="37">
        <v>-11814000000</v>
      </c>
      <c r="VP62" s="37">
        <v>-11814000000</v>
      </c>
      <c r="VQ62" s="37">
        <v>-11814000000</v>
      </c>
      <c r="VR62" s="37" t="s">
        <v>1149</v>
      </c>
      <c r="VS62" s="37" t="s">
        <v>1150</v>
      </c>
    </row>
    <row r="63" spans="1:591" s="37" customFormat="1" ht="12.75">
      <c r="A63" s="37">
        <v>2017</v>
      </c>
      <c r="B63" s="37">
        <v>1000</v>
      </c>
      <c r="C63" s="37" t="s">
        <v>1148</v>
      </c>
      <c r="FU63" s="37">
        <v>82548000000</v>
      </c>
      <c r="FV63" s="37">
        <v>82548000000</v>
      </c>
      <c r="GB63" s="157"/>
      <c r="GY63" s="158"/>
      <c r="GZ63" s="159"/>
      <c r="HA63" s="159"/>
      <c r="HB63" s="159"/>
      <c r="HC63" s="159"/>
      <c r="HD63" s="159"/>
      <c r="HE63" s="160"/>
      <c r="IE63" s="37">
        <v>1701156000000</v>
      </c>
      <c r="IF63" s="37">
        <v>1701156000000</v>
      </c>
      <c r="IL63" s="157"/>
      <c r="JA63" s="158"/>
      <c r="JB63" s="159"/>
      <c r="JC63" s="159"/>
      <c r="JD63" s="160"/>
      <c r="JK63" s="158"/>
      <c r="JL63" s="160"/>
      <c r="JT63" s="158"/>
      <c r="KS63" s="37">
        <v>102541000000</v>
      </c>
      <c r="KT63" s="37">
        <v>159403000000</v>
      </c>
      <c r="KU63" s="37">
        <v>261944000000</v>
      </c>
      <c r="LA63" s="157"/>
      <c r="NM63" s="157"/>
      <c r="PV63" s="157">
        <v>-111124000000</v>
      </c>
      <c r="PW63" s="37">
        <v>-21042000000</v>
      </c>
      <c r="PX63" s="37">
        <v>-21042000000</v>
      </c>
      <c r="PY63" s="37">
        <v>-111771000000</v>
      </c>
      <c r="PZ63" s="37">
        <v>-111771000000</v>
      </c>
      <c r="QA63" s="37">
        <v>-111124000000</v>
      </c>
      <c r="QC63" s="37">
        <v>6817000000</v>
      </c>
      <c r="QD63" s="37">
        <v>3406000000</v>
      </c>
      <c r="QS63" s="158">
        <v>1283106000000</v>
      </c>
      <c r="QT63" s="160">
        <v>1397251000000</v>
      </c>
      <c r="RA63" s="37">
        <v>32848000000</v>
      </c>
      <c r="RB63" s="37">
        <v>12843000000</v>
      </c>
      <c r="RF63" s="37">
        <v>4000000</v>
      </c>
      <c r="RG63" s="37">
        <v>650000000</v>
      </c>
      <c r="RH63" s="37">
        <v>646000000</v>
      </c>
      <c r="RX63" s="37">
        <v>1686160000000</v>
      </c>
      <c r="RY63" s="37">
        <v>1840558000000</v>
      </c>
      <c r="SA63" s="37">
        <v>4190160000000</v>
      </c>
      <c r="SB63" s="37">
        <v>810308000000</v>
      </c>
      <c r="SC63" s="37">
        <v>5000468000000</v>
      </c>
      <c r="SD63" s="37">
        <v>4377170000000</v>
      </c>
      <c r="SE63" s="37">
        <v>602256000000</v>
      </c>
      <c r="SF63" s="37">
        <v>4979426000000</v>
      </c>
      <c r="SH63" s="157"/>
      <c r="SL63" s="694"/>
      <c r="SM63" s="160"/>
      <c r="SP63" s="37">
        <v>2773371000000</v>
      </c>
      <c r="SQ63" s="37">
        <v>2773371000000</v>
      </c>
      <c r="SR63" s="37">
        <v>2753366000000</v>
      </c>
      <c r="SS63" s="37">
        <v>2753366000000</v>
      </c>
      <c r="ST63" s="37">
        <v>707718000000</v>
      </c>
      <c r="SU63" s="37">
        <v>707718000000</v>
      </c>
      <c r="SV63" s="37">
        <v>111125000000</v>
      </c>
      <c r="SX63" s="158"/>
      <c r="SY63" s="160"/>
      <c r="TS63" s="158">
        <v>1397251000000</v>
      </c>
      <c r="TT63" s="160">
        <v>1283106000000</v>
      </c>
      <c r="UA63" s="37">
        <v>12843000000</v>
      </c>
      <c r="UB63" s="37">
        <v>32848000000</v>
      </c>
      <c r="UE63" s="158"/>
      <c r="UF63" s="159">
        <v>650000000</v>
      </c>
      <c r="UG63" s="159">
        <v>4000000</v>
      </c>
      <c r="UH63" s="160">
        <v>-646000000</v>
      </c>
      <c r="UZ63" s="158"/>
      <c r="VE63" s="37">
        <v>1886245000000</v>
      </c>
      <c r="VF63" s="37">
        <v>159403000000</v>
      </c>
      <c r="VG63" s="37">
        <v>2045648000000</v>
      </c>
      <c r="VH63" s="37">
        <v>584567000000</v>
      </c>
      <c r="VI63" s="37">
        <v>11380000000</v>
      </c>
      <c r="VK63" s="37">
        <v>595947000000</v>
      </c>
      <c r="VR63" s="37" t="s">
        <v>1149</v>
      </c>
      <c r="VS63" s="37" t="s">
        <v>1150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9938-B9E4-487A-B0B6-E75D2FD9DD84}">
  <sheetPr>
    <tabColor theme="1"/>
  </sheetPr>
  <dimension ref="A1:I44"/>
  <sheetViews>
    <sheetView zoomScaleNormal="100" workbookViewId="0">
      <pane xSplit="1" ySplit="4" topLeftCell="B12" activePane="bottomRight" state="frozen"/>
      <selection pane="topRight" activeCell="B1" sqref="B1"/>
      <selection pane="bottomLeft" activeCell="A4" sqref="A4"/>
      <selection pane="bottomRight" activeCell="J18" sqref="J18"/>
    </sheetView>
  </sheetViews>
  <sheetFormatPr defaultColWidth="9" defaultRowHeight="12.75"/>
  <cols>
    <col min="1" max="3" width="9" style="242"/>
    <col min="4" max="5" width="11" style="246" customWidth="1"/>
    <col min="6" max="6" width="9" style="245"/>
    <col min="7" max="7" width="11" style="246" customWidth="1"/>
    <col min="8" max="16384" width="9" style="242"/>
  </cols>
  <sheetData>
    <row r="1" spans="1:7" ht="23.25">
      <c r="A1" s="252" t="s">
        <v>1247</v>
      </c>
    </row>
    <row r="2" spans="1:7" ht="38.25">
      <c r="A2" s="242" t="s">
        <v>1191</v>
      </c>
      <c r="B2" s="243" t="s">
        <v>1238</v>
      </c>
      <c r="C2" s="243" t="s">
        <v>1239</v>
      </c>
      <c r="D2" s="244" t="s">
        <v>1240</v>
      </c>
      <c r="E2" s="243" t="s">
        <v>1241</v>
      </c>
      <c r="F2" s="245" t="s">
        <v>1242</v>
      </c>
      <c r="G2" s="244" t="s">
        <v>1243</v>
      </c>
    </row>
    <row r="3" spans="1:7">
      <c r="A3" s="242" t="s">
        <v>1224</v>
      </c>
      <c r="B3" s="242" t="s">
        <v>1244</v>
      </c>
      <c r="C3" s="242" t="s">
        <v>1244</v>
      </c>
      <c r="D3" s="244" t="s">
        <v>1237</v>
      </c>
      <c r="E3" s="244" t="s">
        <v>1237</v>
      </c>
      <c r="F3" s="245" t="s">
        <v>1199</v>
      </c>
      <c r="G3" s="244" t="s">
        <v>1237</v>
      </c>
    </row>
    <row r="4" spans="1:7">
      <c r="A4" s="242" t="s">
        <v>1245</v>
      </c>
      <c r="D4" s="244"/>
      <c r="E4" s="244"/>
      <c r="F4" s="247" t="s">
        <v>1246</v>
      </c>
      <c r="G4" s="244"/>
    </row>
    <row r="5" spans="1:7">
      <c r="A5" s="242">
        <v>1981</v>
      </c>
      <c r="B5" s="242">
        <v>5183.3999999999996</v>
      </c>
      <c r="C5" s="248">
        <v>4811.7</v>
      </c>
      <c r="D5" s="249">
        <f t="shared" ref="D5:D10" si="0">B5*F5*1000</f>
        <v>3290565.4336739997</v>
      </c>
      <c r="E5" s="248">
        <v>3054600</v>
      </c>
      <c r="F5" s="250">
        <f>0.63482761</f>
        <v>0.63482760999999999</v>
      </c>
      <c r="G5" s="249" t="e">
        <f>B5*#REF!*1000</f>
        <v>#REF!</v>
      </c>
    </row>
    <row r="6" spans="1:7">
      <c r="A6" s="242">
        <v>1982</v>
      </c>
      <c r="B6" s="242">
        <v>5264.5</v>
      </c>
      <c r="C6" s="248"/>
      <c r="D6" s="249">
        <f t="shared" si="0"/>
        <v>3395106.0316954162</v>
      </c>
      <c r="E6" s="249"/>
      <c r="F6" s="250">
        <f>(F$11-F$5)/6+F5</f>
        <v>0.64490569506988626</v>
      </c>
      <c r="G6" s="249"/>
    </row>
    <row r="7" spans="1:7">
      <c r="A7" s="242">
        <v>1983</v>
      </c>
      <c r="B7" s="242">
        <v>5345.1</v>
      </c>
      <c r="C7" s="248"/>
      <c r="D7" s="249">
        <f t="shared" si="0"/>
        <v>3500953.8032250986</v>
      </c>
      <c r="E7" s="249"/>
      <c r="F7" s="250">
        <f>(F$11-F$5)/6+F6</f>
        <v>0.65498378013977254</v>
      </c>
      <c r="G7" s="249"/>
    </row>
    <row r="8" spans="1:7">
      <c r="A8" s="242">
        <v>1984</v>
      </c>
      <c r="B8" s="242">
        <v>5397.9</v>
      </c>
      <c r="C8" s="248"/>
      <c r="D8" s="249">
        <f t="shared" si="0"/>
        <v>3589937.4422152173</v>
      </c>
      <c r="E8" s="249"/>
      <c r="F8" s="250">
        <f>(F$11-F$5)/6+F7</f>
        <v>0.66506186520965882</v>
      </c>
      <c r="G8" s="249"/>
    </row>
    <row r="9" spans="1:7">
      <c r="A9" s="242">
        <v>1985</v>
      </c>
      <c r="B9" s="242">
        <v>5456.2</v>
      </c>
      <c r="C9" s="248"/>
      <c r="D9" s="249">
        <f t="shared" si="0"/>
        <v>3683698.5967152538</v>
      </c>
      <c r="E9" s="249"/>
      <c r="F9" s="250">
        <f>(F$11-F$5)/6+F8</f>
        <v>0.6751399502795451</v>
      </c>
      <c r="G9" s="249"/>
    </row>
    <row r="10" spans="1:7">
      <c r="A10" s="242">
        <v>1986</v>
      </c>
      <c r="B10" s="242">
        <v>5524.6</v>
      </c>
      <c r="C10" s="248">
        <v>5586.1</v>
      </c>
      <c r="D10" s="249">
        <f t="shared" si="0"/>
        <v>3785555.5580914686</v>
      </c>
      <c r="E10" s="248">
        <v>3960900</v>
      </c>
      <c r="F10" s="250">
        <f>(F$11-F$5)/6+F9</f>
        <v>0.68521803534943138</v>
      </c>
      <c r="G10" s="249" t="e">
        <f>B10*#REF!*1000</f>
        <v>#REF!</v>
      </c>
    </row>
    <row r="11" spans="1:7">
      <c r="A11" s="242">
        <v>1987</v>
      </c>
      <c r="B11" s="242">
        <v>5580.5</v>
      </c>
      <c r="C11" s="248"/>
      <c r="D11" s="244">
        <f>[17]pop!I3</f>
        <v>3880100.0000000005</v>
      </c>
      <c r="E11" s="244"/>
      <c r="F11" s="251">
        <f t="shared" ref="F11:F44" si="1">D11/B11/1000</f>
        <v>0.69529612041931743</v>
      </c>
      <c r="G11" s="244">
        <f>[17]pop!H3</f>
        <v>3439400.0000000005</v>
      </c>
    </row>
    <row r="12" spans="1:7">
      <c r="A12" s="242">
        <v>1988</v>
      </c>
      <c r="B12" s="242">
        <v>5627.6</v>
      </c>
      <c r="C12" s="248"/>
      <c r="D12" s="244">
        <f>[17]pop!I25</f>
        <v>3948700.0000000005</v>
      </c>
      <c r="E12" s="249">
        <f>E15/D15*D12</f>
        <v>3707636.147206035</v>
      </c>
      <c r="F12" s="251">
        <f t="shared" si="1"/>
        <v>0.70166678513042857</v>
      </c>
      <c r="G12" s="244">
        <f>[17]pop!H25</f>
        <v>3492900</v>
      </c>
    </row>
    <row r="13" spans="1:7">
      <c r="A13" s="242">
        <v>1989</v>
      </c>
      <c r="B13" s="242">
        <v>5686.2</v>
      </c>
      <c r="C13" s="248"/>
      <c r="D13" s="244">
        <f>[17]pop!I47</f>
        <v>4009899.9999999995</v>
      </c>
      <c r="E13" s="244"/>
      <c r="F13" s="251">
        <f t="shared" si="1"/>
        <v>0.70519855087756322</v>
      </c>
      <c r="G13" s="244">
        <f>[17]pop!H47</f>
        <v>3539899.9999999995</v>
      </c>
    </row>
    <row r="14" spans="1:7">
      <c r="A14" s="242">
        <v>1990</v>
      </c>
      <c r="B14" s="242">
        <v>5704.5</v>
      </c>
      <c r="C14" s="248"/>
      <c r="D14" s="244">
        <f>[17]pop!I69</f>
        <v>4044000</v>
      </c>
      <c r="E14" s="244"/>
      <c r="F14" s="251">
        <f t="shared" si="1"/>
        <v>0.70891401525111752</v>
      </c>
      <c r="G14" s="244">
        <f>[17]pop!H69</f>
        <v>3561200</v>
      </c>
    </row>
    <row r="15" spans="1:7">
      <c r="A15" s="242">
        <v>1991</v>
      </c>
      <c r="B15" s="242">
        <v>5752</v>
      </c>
      <c r="C15" s="248">
        <v>5452.08</v>
      </c>
      <c r="D15" s="244">
        <f>[17]pop!I91</f>
        <v>4135700.0000000009</v>
      </c>
      <c r="E15" s="244">
        <v>3883220</v>
      </c>
      <c r="F15" s="251">
        <f t="shared" si="1"/>
        <v>0.71900208623087636</v>
      </c>
      <c r="G15" s="244">
        <f>[17]pop!H91</f>
        <v>3633300.0000000005</v>
      </c>
    </row>
    <row r="16" spans="1:7">
      <c r="A16" s="242">
        <v>1992</v>
      </c>
      <c r="B16" s="242">
        <v>5800.5</v>
      </c>
      <c r="C16" s="248"/>
      <c r="D16" s="244">
        <f>[17]pop!I113</f>
        <v>4200300</v>
      </c>
      <c r="E16" s="244"/>
      <c r="F16" s="251">
        <f t="shared" si="1"/>
        <v>0.72412723041117144</v>
      </c>
      <c r="G16" s="244">
        <f>[17]pop!H113</f>
        <v>3678000</v>
      </c>
    </row>
    <row r="17" spans="1:7">
      <c r="A17" s="242">
        <v>1993</v>
      </c>
      <c r="B17" s="242">
        <v>5901</v>
      </c>
      <c r="C17" s="248"/>
      <c r="D17" s="244">
        <f>[17]pop!I135</f>
        <v>4306400</v>
      </c>
      <c r="E17" s="244"/>
      <c r="F17" s="251">
        <f t="shared" si="1"/>
        <v>0.72977461447212344</v>
      </c>
      <c r="G17" s="244">
        <f>[17]pop!H135</f>
        <v>3760399.9999999995</v>
      </c>
    </row>
    <row r="18" spans="1:7">
      <c r="A18" s="242">
        <v>1994</v>
      </c>
      <c r="B18" s="242">
        <v>6035.4</v>
      </c>
      <c r="C18" s="248"/>
      <c r="D18" s="244">
        <f>[17]pop!I157</f>
        <v>4430700</v>
      </c>
      <c r="E18" s="244"/>
      <c r="F18" s="251">
        <f t="shared" si="1"/>
        <v>0.73411869967193555</v>
      </c>
      <c r="G18" s="244">
        <f>[17]pop!H157</f>
        <v>3856700</v>
      </c>
    </row>
    <row r="19" spans="1:7">
      <c r="A19" s="242">
        <v>1995</v>
      </c>
      <c r="B19" s="242">
        <v>6156.1</v>
      </c>
      <c r="C19" s="248"/>
      <c r="D19" s="244">
        <f>[17]pop!I179</f>
        <v>4539800</v>
      </c>
      <c r="E19" s="244"/>
      <c r="F19" s="251">
        <f t="shared" si="1"/>
        <v>0.73744740988612922</v>
      </c>
      <c r="G19" s="244">
        <f>[17]pop!H179</f>
        <v>3938000</v>
      </c>
    </row>
    <row r="20" spans="1:7">
      <c r="A20" s="242">
        <v>1996</v>
      </c>
      <c r="B20" s="242">
        <v>6435.5</v>
      </c>
      <c r="C20" s="248">
        <v>6197.58</v>
      </c>
      <c r="D20" s="244">
        <f>[17]pop!N201</f>
        <v>4785700</v>
      </c>
      <c r="E20" s="244">
        <v>4637020</v>
      </c>
      <c r="F20" s="251">
        <f t="shared" si="1"/>
        <v>0.74364074275503067</v>
      </c>
      <c r="G20" s="244">
        <f>[17]pop!M201</f>
        <v>4132000</v>
      </c>
    </row>
    <row r="21" spans="1:7">
      <c r="A21" s="242">
        <v>1997</v>
      </c>
      <c r="B21" s="242">
        <v>6489.3</v>
      </c>
      <c r="C21" s="248"/>
      <c r="D21" s="246">
        <f>[17]pop!N223</f>
        <v>4853700.0000000009</v>
      </c>
      <c r="F21" s="251">
        <f t="shared" si="1"/>
        <v>0.74795432481161306</v>
      </c>
      <c r="G21" s="246">
        <f>[17]pop!M223</f>
        <v>4182100.0000000005</v>
      </c>
    </row>
    <row r="22" spans="1:7">
      <c r="A22" s="242">
        <v>1998</v>
      </c>
      <c r="B22" s="242">
        <v>6543.7</v>
      </c>
      <c r="C22" s="248"/>
      <c r="D22" s="246">
        <f>[17]pop!N245</f>
        <v>4919099.9999999991</v>
      </c>
      <c r="F22" s="251">
        <f t="shared" si="1"/>
        <v>0.75173067224964463</v>
      </c>
      <c r="G22" s="246">
        <f>[17]pop!M245</f>
        <v>4228499.9999999991</v>
      </c>
    </row>
    <row r="23" spans="1:7">
      <c r="A23" s="242">
        <v>1999</v>
      </c>
      <c r="B23" s="242">
        <v>6606.5</v>
      </c>
      <c r="C23" s="248"/>
      <c r="D23" s="246">
        <f>[17]pop!N267</f>
        <v>4989400</v>
      </c>
      <c r="F23" s="251">
        <f t="shared" si="1"/>
        <v>0.7552259138727011</v>
      </c>
      <c r="G23" s="246">
        <f>[17]pop!M267</f>
        <v>4279400</v>
      </c>
    </row>
    <row r="24" spans="1:7">
      <c r="A24" s="242">
        <v>2000</v>
      </c>
      <c r="B24" s="242">
        <v>6665</v>
      </c>
      <c r="C24" s="248"/>
      <c r="D24" s="246">
        <f>[17]pop!N289</f>
        <v>5077900</v>
      </c>
      <c r="F24" s="251">
        <f t="shared" si="1"/>
        <v>0.7618754688672168</v>
      </c>
      <c r="G24" s="246">
        <f>[17]pop!M289</f>
        <v>4348700</v>
      </c>
    </row>
    <row r="25" spans="1:7">
      <c r="A25" s="242">
        <v>2001</v>
      </c>
      <c r="B25" s="242">
        <v>6714.3</v>
      </c>
      <c r="C25" s="248">
        <v>6652.64</v>
      </c>
      <c r="D25" s="246">
        <f>[17]pop!N311</f>
        <v>5169800</v>
      </c>
      <c r="E25" s="246">
        <v>5110000</v>
      </c>
      <c r="F25" s="251">
        <f t="shared" si="1"/>
        <v>0.76996857453494782</v>
      </c>
      <c r="G25" s="246">
        <f>[17]pop!M311</f>
        <v>4416500</v>
      </c>
    </row>
    <row r="26" spans="1:7">
      <c r="A26" s="242">
        <v>2002</v>
      </c>
      <c r="B26" s="242">
        <v>6744.1</v>
      </c>
      <c r="C26" s="248"/>
      <c r="D26" s="246">
        <f>[17]pop!N333</f>
        <v>5232000</v>
      </c>
      <c r="F26" s="251">
        <f t="shared" si="1"/>
        <v>0.77578920834507203</v>
      </c>
      <c r="G26" s="246">
        <f>[17]pop!M333</f>
        <v>4454900</v>
      </c>
    </row>
    <row r="27" spans="1:7">
      <c r="A27" s="242">
        <v>2003</v>
      </c>
      <c r="B27" s="242">
        <v>6730.8</v>
      </c>
      <c r="C27" s="248"/>
      <c r="D27" s="246">
        <f>[17]pop!N355</f>
        <v>5261000</v>
      </c>
      <c r="F27" s="251">
        <f t="shared" si="1"/>
        <v>0.78163071254531402</v>
      </c>
      <c r="G27" s="246">
        <f>[17]pop!M355</f>
        <v>4465600</v>
      </c>
    </row>
    <row r="28" spans="1:7">
      <c r="A28" s="242">
        <v>2004</v>
      </c>
      <c r="B28" s="242">
        <v>6783.5</v>
      </c>
      <c r="C28" s="248"/>
      <c r="D28" s="246">
        <f>[17]pop!N377</f>
        <v>5342500</v>
      </c>
      <c r="F28" s="251">
        <f t="shared" si="1"/>
        <v>0.78757278690941257</v>
      </c>
      <c r="G28" s="246">
        <f>[17]pop!M377</f>
        <v>4523500</v>
      </c>
    </row>
    <row r="29" spans="1:7">
      <c r="A29" s="242">
        <v>2005</v>
      </c>
      <c r="B29" s="242">
        <v>6813.2</v>
      </c>
      <c r="C29" s="248"/>
      <c r="D29" s="246">
        <f>[17]pop!N399</f>
        <v>5410100</v>
      </c>
      <c r="F29" s="251">
        <f t="shared" si="1"/>
        <v>0.79406152762284976</v>
      </c>
      <c r="G29" s="246">
        <f>[17]pop!M399</f>
        <v>4575400.0000000009</v>
      </c>
    </row>
    <row r="30" spans="1:7">
      <c r="A30" s="242">
        <v>2006</v>
      </c>
      <c r="B30" s="242">
        <v>6857.1</v>
      </c>
      <c r="C30" s="248">
        <v>6850.54</v>
      </c>
      <c r="D30" s="246">
        <f>[17]pop!N421</f>
        <v>5481700.0000000009</v>
      </c>
      <c r="E30" s="244">
        <v>5461440</v>
      </c>
      <c r="F30" s="251">
        <f t="shared" si="1"/>
        <v>0.79941957970570665</v>
      </c>
      <c r="G30" s="246">
        <f>[17]pop!M421</f>
        <v>4629600</v>
      </c>
    </row>
    <row r="31" spans="1:7">
      <c r="A31" s="242">
        <v>2007</v>
      </c>
      <c r="B31" s="242">
        <v>6916.3</v>
      </c>
      <c r="C31" s="248"/>
      <c r="D31" s="246">
        <f>[17]pop!N443</f>
        <v>5556900</v>
      </c>
      <c r="F31" s="251">
        <f t="shared" si="1"/>
        <v>0.80344982143631705</v>
      </c>
      <c r="G31" s="246">
        <f>[17]pop!M443</f>
        <v>4684700</v>
      </c>
    </row>
    <row r="32" spans="1:7">
      <c r="A32" s="242">
        <v>2008</v>
      </c>
      <c r="B32" s="242">
        <v>6957.8</v>
      </c>
      <c r="C32" s="248"/>
      <c r="D32" s="246">
        <f>[17]pop!N465</f>
        <v>5620500</v>
      </c>
      <c r="F32" s="251">
        <f t="shared" si="1"/>
        <v>0.80779844203627582</v>
      </c>
      <c r="G32" s="246">
        <f>[17]pop!M465</f>
        <v>4737800</v>
      </c>
    </row>
    <row r="33" spans="1:9">
      <c r="A33" s="242">
        <v>2009</v>
      </c>
      <c r="B33" s="242">
        <v>6972.8</v>
      </c>
      <c r="C33" s="248"/>
      <c r="D33" s="246">
        <f>[17]pop!N487</f>
        <v>5677900</v>
      </c>
      <c r="F33" s="251">
        <f t="shared" si="1"/>
        <v>0.81429268012849931</v>
      </c>
      <c r="G33" s="246">
        <f>[17]pop!M487</f>
        <v>4779299.9999999991</v>
      </c>
    </row>
    <row r="34" spans="1:9">
      <c r="A34" s="242">
        <v>2010</v>
      </c>
      <c r="B34" s="242">
        <v>7024.2</v>
      </c>
      <c r="C34" s="248"/>
      <c r="D34" s="246">
        <f>[17]pop!N509</f>
        <v>5752000</v>
      </c>
      <c r="F34" s="251">
        <f t="shared" si="1"/>
        <v>0.8188832892001936</v>
      </c>
      <c r="G34" s="246">
        <f>[17]pop!M509</f>
        <v>4833500</v>
      </c>
    </row>
    <row r="35" spans="1:9">
      <c r="A35" s="242">
        <v>2011</v>
      </c>
      <c r="B35" s="242">
        <v>7071.6</v>
      </c>
      <c r="C35" s="248">
        <v>7282.54</v>
      </c>
      <c r="D35" s="246">
        <f>[17]pop!N531</f>
        <v>5824400.0000000009</v>
      </c>
      <c r="E35" s="246">
        <v>5997380</v>
      </c>
      <c r="F35" s="251">
        <f t="shared" si="1"/>
        <v>0.82363255840262473</v>
      </c>
      <c r="G35" s="246">
        <f>[17]pop!M531</f>
        <v>4883000</v>
      </c>
    </row>
    <row r="36" spans="1:9">
      <c r="A36" s="242">
        <v>2012</v>
      </c>
      <c r="B36" s="242">
        <v>7150.1</v>
      </c>
      <c r="C36" s="248"/>
      <c r="D36" s="246">
        <f>[17]pop!N553</f>
        <v>5917500</v>
      </c>
      <c r="F36" s="251">
        <f t="shared" si="1"/>
        <v>0.82761080264611675</v>
      </c>
      <c r="G36" s="246">
        <f>[17]pop!M553</f>
        <v>4937600</v>
      </c>
    </row>
    <row r="37" spans="1:9">
      <c r="A37" s="242">
        <v>2013</v>
      </c>
      <c r="B37" s="242">
        <v>7178.9</v>
      </c>
      <c r="C37" s="248"/>
      <c r="D37" s="246">
        <f>[17]pop!N575</f>
        <v>5976700</v>
      </c>
      <c r="F37" s="251">
        <f t="shared" si="1"/>
        <v>0.8325370182061318</v>
      </c>
      <c r="G37" s="246">
        <f>[17]pop!M575</f>
        <v>4956799.9999999991</v>
      </c>
    </row>
    <row r="38" spans="1:9">
      <c r="A38" s="242">
        <v>2014</v>
      </c>
      <c r="B38" s="242">
        <v>7229.5</v>
      </c>
      <c r="C38" s="248"/>
      <c r="D38" s="246">
        <f>[17]pop!N597</f>
        <v>6039500</v>
      </c>
      <c r="F38" s="251">
        <f t="shared" si="1"/>
        <v>0.83539663877169923</v>
      </c>
      <c r="G38" s="246">
        <f>[17]pop!M597</f>
        <v>4975700</v>
      </c>
    </row>
    <row r="39" spans="1:9">
      <c r="A39" s="242">
        <v>2015</v>
      </c>
      <c r="B39" s="242">
        <v>7291.3</v>
      </c>
      <c r="C39" s="248"/>
      <c r="D39" s="246">
        <f>[17]pop!N619</f>
        <v>6102500</v>
      </c>
      <c r="F39" s="251">
        <f t="shared" si="1"/>
        <v>0.83695637266331102</v>
      </c>
      <c r="G39" s="246">
        <f>[17]pop!M619</f>
        <v>4987900</v>
      </c>
    </row>
    <row r="40" spans="1:9">
      <c r="A40" s="242">
        <v>2016</v>
      </c>
      <c r="B40" s="242">
        <v>7336.6</v>
      </c>
      <c r="C40" s="248">
        <v>7332.38</v>
      </c>
      <c r="D40" s="246">
        <f>[17]pop!N641</f>
        <v>6165200.0000000009</v>
      </c>
      <c r="E40" s="246">
        <v>6159720</v>
      </c>
      <c r="F40" s="251">
        <f t="shared" si="1"/>
        <v>0.84033475997055873</v>
      </c>
      <c r="G40" s="246">
        <f>[17]pop!M641</f>
        <v>5002000.0000000009</v>
      </c>
      <c r="H40" s="828">
        <f>5084/E40</f>
        <v>8.2536219178793845E-4</v>
      </c>
    </row>
    <row r="41" spans="1:9">
      <c r="A41" s="242">
        <v>2017</v>
      </c>
      <c r="B41" s="242">
        <v>7391.7</v>
      </c>
      <c r="C41" s="248"/>
      <c r="D41" s="246">
        <v>6231100</v>
      </c>
      <c r="E41" s="658">
        <f>D41</f>
        <v>6231100</v>
      </c>
      <c r="F41" s="251">
        <f t="shared" si="1"/>
        <v>0.84298605192310294</v>
      </c>
    </row>
    <row r="42" spans="1:9">
      <c r="A42" s="242">
        <v>2018</v>
      </c>
      <c r="B42" s="242">
        <v>7451</v>
      </c>
      <c r="D42" s="246">
        <v>6290000</v>
      </c>
      <c r="E42" s="658">
        <f>D42</f>
        <v>6290000</v>
      </c>
      <c r="F42" s="251">
        <f t="shared" si="1"/>
        <v>0.84418198899476582</v>
      </c>
    </row>
    <row r="43" spans="1:9">
      <c r="A43" s="242">
        <v>2019</v>
      </c>
      <c r="B43" s="242">
        <v>7507.4</v>
      </c>
      <c r="D43" s="246">
        <v>6346900</v>
      </c>
      <c r="E43" s="658">
        <f>D43</f>
        <v>6346900</v>
      </c>
      <c r="F43" s="251">
        <f t="shared" si="1"/>
        <v>0.84541918640274938</v>
      </c>
    </row>
    <row r="44" spans="1:9">
      <c r="A44" s="242">
        <v>2020</v>
      </c>
      <c r="B44" s="242">
        <v>7509.2</v>
      </c>
      <c r="D44" s="246">
        <v>6360100</v>
      </c>
      <c r="E44" s="658">
        <f>D44</f>
        <v>6360100</v>
      </c>
      <c r="F44" s="245">
        <f t="shared" si="1"/>
        <v>0.84697437809620202</v>
      </c>
      <c r="H44" s="882">
        <v>504000</v>
      </c>
      <c r="I44" s="883">
        <f>H44/E44</f>
        <v>7.9244037043442711E-2</v>
      </c>
    </row>
  </sheetData>
  <phoneticPr fontId="1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50B2-7399-436F-A351-B4028BB78709}">
  <sheetPr>
    <tabColor theme="1"/>
  </sheetPr>
  <dimension ref="A1:N3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5"/>
  <cols>
    <col min="1" max="1" width="5.5" style="1" bestFit="1" customWidth="1"/>
    <col min="2" max="2" width="10.25" style="1" bestFit="1" customWidth="1"/>
    <col min="3" max="3" width="10.375" style="1" bestFit="1" customWidth="1"/>
    <col min="4" max="4" width="14.375" style="1" bestFit="1" customWidth="1"/>
    <col min="5" max="5" width="1.625" style="227" customWidth="1"/>
    <col min="6" max="6" width="10.25" style="228" bestFit="1" customWidth="1"/>
    <col min="7" max="7" width="10.375" style="228" bestFit="1" customWidth="1"/>
    <col min="8" max="8" width="14.375" style="228" bestFit="1" customWidth="1"/>
    <col min="9" max="9" width="1.625" style="569" customWidth="1"/>
    <col min="10" max="13" width="10.625" style="228" customWidth="1"/>
    <col min="14" max="16384" width="9" style="228"/>
  </cols>
  <sheetData>
    <row r="1" spans="1:13" ht="23.25">
      <c r="A1" s="240" t="s">
        <v>1248</v>
      </c>
    </row>
    <row r="2" spans="1:13">
      <c r="B2" s="1185" t="s">
        <v>1231</v>
      </c>
      <c r="C2" s="1185"/>
      <c r="D2" s="1186"/>
      <c r="F2" s="1185" t="s">
        <v>1232</v>
      </c>
      <c r="G2" s="1185"/>
      <c r="H2" s="1185"/>
      <c r="J2" s="1187" t="s">
        <v>1420</v>
      </c>
      <c r="K2" s="1187"/>
      <c r="L2" s="1187"/>
      <c r="M2" s="1187"/>
    </row>
    <row r="3" spans="1:13">
      <c r="A3" s="1" t="s">
        <v>1191</v>
      </c>
      <c r="B3" s="1" t="s">
        <v>1233</v>
      </c>
      <c r="C3" s="1" t="s">
        <v>1234</v>
      </c>
      <c r="D3" s="55" t="s">
        <v>1235</v>
      </c>
      <c r="F3" s="1" t="s">
        <v>1233</v>
      </c>
      <c r="G3" s="1" t="s">
        <v>1234</v>
      </c>
      <c r="H3" s="1" t="s">
        <v>1235</v>
      </c>
      <c r="J3" s="485" t="s">
        <v>1233</v>
      </c>
      <c r="K3" s="485" t="s">
        <v>1234</v>
      </c>
      <c r="L3" s="485" t="s">
        <v>1255</v>
      </c>
      <c r="M3" s="485" t="s">
        <v>1255</v>
      </c>
    </row>
    <row r="4" spans="1:13">
      <c r="A4" s="1" t="s">
        <v>1224</v>
      </c>
      <c r="B4" s="1" t="s">
        <v>1236</v>
      </c>
      <c r="C4" s="1" t="s">
        <v>1237</v>
      </c>
      <c r="D4" s="55" t="s">
        <v>1236</v>
      </c>
      <c r="F4" s="1" t="s">
        <v>1236</v>
      </c>
      <c r="G4" s="1" t="s">
        <v>1237</v>
      </c>
      <c r="H4" s="1" t="s">
        <v>1236</v>
      </c>
      <c r="J4" s="485" t="s">
        <v>1419</v>
      </c>
      <c r="K4" s="485" t="s">
        <v>1237</v>
      </c>
      <c r="L4" s="485" t="s">
        <v>1236</v>
      </c>
      <c r="M4" s="485" t="s">
        <v>1421</v>
      </c>
    </row>
    <row r="5" spans="1:13" ht="15" customHeight="1">
      <c r="A5" s="485" t="s">
        <v>1417</v>
      </c>
      <c r="B5" s="485"/>
      <c r="C5" s="485"/>
      <c r="D5" s="486"/>
      <c r="F5" s="485"/>
      <c r="G5" s="485"/>
      <c r="H5" s="485"/>
      <c r="J5" s="485"/>
      <c r="K5" s="570" t="s">
        <v>1418</v>
      </c>
      <c r="L5" s="571" t="s">
        <v>1418</v>
      </c>
    </row>
    <row r="6" spans="1:13">
      <c r="A6" s="1">
        <v>1996</v>
      </c>
      <c r="B6" s="226">
        <v>1</v>
      </c>
      <c r="C6" s="226">
        <f>'[16]1996_world'!E425</f>
        <v>18</v>
      </c>
      <c r="D6" s="230">
        <f>'[16]1996_world'!C425/'[16]1996_world'!E425</f>
        <v>4.1055555555555543</v>
      </c>
      <c r="E6" s="231"/>
      <c r="F6" s="226">
        <f>B6</f>
        <v>1</v>
      </c>
      <c r="G6" s="226">
        <f t="shared" ref="G6:H17" si="0">C6</f>
        <v>18</v>
      </c>
      <c r="H6" s="232">
        <f t="shared" si="0"/>
        <v>4.1055555555555543</v>
      </c>
    </row>
    <row r="7" spans="1:13">
      <c r="A7" s="1">
        <v>1997</v>
      </c>
      <c r="B7" s="226">
        <v>1</v>
      </c>
      <c r="C7" s="226">
        <f>'[16]1997_world'!E226</f>
        <v>8</v>
      </c>
      <c r="D7" s="230">
        <f>'[16]1997_world'!C226/'[16]1997_world'!E226</f>
        <v>7.2749999999999995</v>
      </c>
      <c r="E7" s="231"/>
      <c r="F7" s="226">
        <f t="shared" ref="F7:F17" si="1">B7</f>
        <v>1</v>
      </c>
      <c r="G7" s="226">
        <f t="shared" si="0"/>
        <v>8</v>
      </c>
      <c r="H7" s="232">
        <f t="shared" si="0"/>
        <v>7.2749999999999995</v>
      </c>
    </row>
    <row r="8" spans="1:13">
      <c r="A8" s="1">
        <v>1998</v>
      </c>
      <c r="B8" s="226">
        <v>1</v>
      </c>
      <c r="C8" s="226">
        <f>'[16]1998_world'!E211</f>
        <v>8</v>
      </c>
      <c r="D8" s="230">
        <f>'[16]1998_world'!C211/'[16]1998_world'!E211</f>
        <v>6.1499999999999995</v>
      </c>
      <c r="E8" s="231"/>
      <c r="F8" s="226">
        <f t="shared" si="1"/>
        <v>1</v>
      </c>
      <c r="G8" s="226">
        <f t="shared" si="0"/>
        <v>8</v>
      </c>
      <c r="H8" s="232">
        <f t="shared" si="0"/>
        <v>6.1499999999999995</v>
      </c>
    </row>
    <row r="9" spans="1:13">
      <c r="A9" s="1">
        <v>1999</v>
      </c>
      <c r="B9" s="226">
        <v>1</v>
      </c>
      <c r="C9" s="226">
        <f>'[16]1999_world'!E302</f>
        <v>13</v>
      </c>
      <c r="D9" s="230">
        <f>'[16]1999_world'!C302/'[16]1999_world'!E302</f>
        <v>4.3076923076923075</v>
      </c>
      <c r="E9" s="231"/>
      <c r="F9" s="226">
        <f t="shared" si="1"/>
        <v>1</v>
      </c>
      <c r="G9" s="226">
        <f t="shared" si="0"/>
        <v>13</v>
      </c>
      <c r="H9" s="232">
        <f t="shared" si="0"/>
        <v>4.3076923076923075</v>
      </c>
      <c r="J9" s="226"/>
      <c r="K9" s="226"/>
      <c r="L9" s="226"/>
      <c r="M9" s="226"/>
    </row>
    <row r="10" spans="1:13">
      <c r="A10" s="1">
        <v>2000</v>
      </c>
      <c r="B10" s="226">
        <v>1</v>
      </c>
      <c r="C10" s="226">
        <f>'[16]2000_world'!E326</f>
        <v>13</v>
      </c>
      <c r="D10" s="230">
        <f>'[16]2000_world'!C326/'[16]2000_world'!E326</f>
        <v>4.2615384615384606</v>
      </c>
      <c r="E10" s="231"/>
      <c r="F10" s="226">
        <f t="shared" si="1"/>
        <v>1</v>
      </c>
      <c r="G10" s="226">
        <f t="shared" si="0"/>
        <v>13</v>
      </c>
      <c r="H10" s="232">
        <f t="shared" si="0"/>
        <v>4.2615384615384606</v>
      </c>
      <c r="J10" s="226"/>
      <c r="K10" s="226"/>
      <c r="L10" s="226"/>
      <c r="M10" s="226"/>
    </row>
    <row r="11" spans="1:13">
      <c r="A11" s="1">
        <v>2001</v>
      </c>
      <c r="B11" s="226">
        <v>1</v>
      </c>
      <c r="C11" s="226">
        <f>'[16]2001_world'!E540</f>
        <v>14</v>
      </c>
      <c r="D11" s="230">
        <f>'[16]2001_world'!C540/'[16]2001_world'!E540</f>
        <v>3.3071428571428578</v>
      </c>
      <c r="E11" s="231"/>
      <c r="F11" s="226">
        <f t="shared" si="1"/>
        <v>1</v>
      </c>
      <c r="G11" s="226">
        <f t="shared" si="0"/>
        <v>14</v>
      </c>
      <c r="H11" s="232">
        <f t="shared" si="0"/>
        <v>3.3071428571428578</v>
      </c>
      <c r="J11" s="226"/>
      <c r="K11" s="226"/>
      <c r="L11" s="226"/>
      <c r="M11" s="226"/>
    </row>
    <row r="12" spans="1:13">
      <c r="A12" s="1">
        <v>2002</v>
      </c>
      <c r="B12" s="226">
        <v>1</v>
      </c>
      <c r="C12" s="226">
        <f>'[16]2002_world'!E476</f>
        <v>11</v>
      </c>
      <c r="D12" s="230">
        <f>'[16]2002_world'!F476/'[16]2002_world'!E476</f>
        <v>3.5818181818181816</v>
      </c>
      <c r="E12" s="231"/>
      <c r="F12" s="226">
        <f t="shared" si="1"/>
        <v>1</v>
      </c>
      <c r="G12" s="226">
        <f t="shared" si="0"/>
        <v>11</v>
      </c>
      <c r="H12" s="232">
        <f t="shared" si="0"/>
        <v>3.5818181818181816</v>
      </c>
      <c r="J12" s="226"/>
      <c r="K12" s="226"/>
      <c r="L12" s="226"/>
      <c r="M12" s="226"/>
    </row>
    <row r="13" spans="1:13">
      <c r="A13" s="1">
        <v>2003</v>
      </c>
      <c r="B13" s="226">
        <v>1</v>
      </c>
      <c r="C13" s="226">
        <f>'[16]2003_world'!F478</f>
        <v>11</v>
      </c>
      <c r="D13" s="230">
        <f>'[16]2003_world'!G478/'[16]2003_world'!F478</f>
        <v>3.0181818181818185</v>
      </c>
      <c r="E13" s="231"/>
      <c r="F13" s="226">
        <f t="shared" si="1"/>
        <v>1</v>
      </c>
      <c r="G13" s="226">
        <f t="shared" si="0"/>
        <v>11</v>
      </c>
      <c r="H13" s="232">
        <f t="shared" si="0"/>
        <v>3.0181818181818185</v>
      </c>
      <c r="J13" s="226"/>
      <c r="K13" s="226"/>
      <c r="L13" s="226"/>
      <c r="M13" s="226"/>
    </row>
    <row r="14" spans="1:13">
      <c r="A14" s="1">
        <v>2004</v>
      </c>
      <c r="B14" s="226">
        <v>1</v>
      </c>
      <c r="C14" s="226">
        <f>'[16]2004_world'!G595</f>
        <v>14</v>
      </c>
      <c r="D14" s="230">
        <f>'[16]2004_world'!H595/'[16]2004_world'!G595</f>
        <v>3.6714285714285704</v>
      </c>
      <c r="E14" s="231"/>
      <c r="F14" s="226">
        <f t="shared" si="1"/>
        <v>1</v>
      </c>
      <c r="G14" s="226">
        <f t="shared" si="0"/>
        <v>14</v>
      </c>
      <c r="H14" s="232">
        <f t="shared" si="0"/>
        <v>3.6714285714285704</v>
      </c>
      <c r="J14" s="226"/>
      <c r="K14" s="226"/>
      <c r="L14" s="226"/>
      <c r="M14" s="226"/>
    </row>
    <row r="15" spans="1:13">
      <c r="A15" s="1">
        <v>2005</v>
      </c>
      <c r="B15" s="226">
        <v>1</v>
      </c>
      <c r="C15" s="226">
        <f>'[16]2005_world'!G693</f>
        <v>15</v>
      </c>
      <c r="D15" s="230">
        <f>'[16]2005_world'!H693/'[16]2005_world'!G693</f>
        <v>4.2666666666666675</v>
      </c>
      <c r="E15" s="231"/>
      <c r="F15" s="226">
        <f t="shared" si="1"/>
        <v>1</v>
      </c>
      <c r="G15" s="226">
        <f t="shared" si="0"/>
        <v>15</v>
      </c>
      <c r="H15" s="232">
        <f t="shared" si="0"/>
        <v>4.2666666666666675</v>
      </c>
      <c r="J15" s="226"/>
      <c r="K15" s="226"/>
      <c r="L15" s="226"/>
      <c r="M15" s="226"/>
    </row>
    <row r="16" spans="1:13">
      <c r="A16" s="1">
        <v>2006</v>
      </c>
      <c r="B16" s="226">
        <v>1</v>
      </c>
      <c r="C16" s="226">
        <f>'[16]2006_world'!G795</f>
        <v>17</v>
      </c>
      <c r="D16" s="230">
        <f>'[16]2006_world'!H795/'[16]2006_world'!G795</f>
        <v>4.8</v>
      </c>
      <c r="E16" s="231"/>
      <c r="F16" s="226">
        <f t="shared" si="1"/>
        <v>1</v>
      </c>
      <c r="G16" s="226">
        <f t="shared" si="0"/>
        <v>17</v>
      </c>
      <c r="H16" s="232">
        <f t="shared" si="0"/>
        <v>4.8</v>
      </c>
      <c r="J16" s="226"/>
      <c r="K16" s="226"/>
      <c r="L16" s="226"/>
      <c r="M16" s="226"/>
    </row>
    <row r="17" spans="1:14">
      <c r="A17" s="233">
        <v>2007</v>
      </c>
      <c r="B17" s="234">
        <v>1</v>
      </c>
      <c r="C17" s="234">
        <f>'[16]2007_World'!G950</f>
        <v>21</v>
      </c>
      <c r="D17" s="235">
        <f>'[16]2007_World'!H950/'[16]2007_World'!G950</f>
        <v>5.2761904761904752</v>
      </c>
      <c r="E17" s="236"/>
      <c r="F17" s="234">
        <f t="shared" si="1"/>
        <v>1</v>
      </c>
      <c r="G17" s="234">
        <f t="shared" si="0"/>
        <v>21</v>
      </c>
      <c r="H17" s="237">
        <f t="shared" si="0"/>
        <v>5.2761904761904752</v>
      </c>
      <c r="J17" s="226"/>
      <c r="K17" s="226"/>
      <c r="L17" s="226"/>
      <c r="M17" s="226"/>
    </row>
    <row r="18" spans="1:14">
      <c r="A18" s="1">
        <v>2008</v>
      </c>
      <c r="B18" s="226">
        <v>1</v>
      </c>
      <c r="C18" s="226">
        <v>40</v>
      </c>
      <c r="D18" s="230">
        <f>'[16]2008'!C42/40</f>
        <v>3.8800000000000003</v>
      </c>
      <c r="E18" s="231"/>
      <c r="F18" s="226">
        <f>'[16]2008'!C41</f>
        <v>1</v>
      </c>
      <c r="G18" s="226">
        <v>40</v>
      </c>
      <c r="H18" s="232">
        <f>'[16]2008'!C42/[16]summary!G18</f>
        <v>3.8800000000000003</v>
      </c>
      <c r="J18" s="226">
        <v>1</v>
      </c>
      <c r="K18" s="226">
        <v>37200</v>
      </c>
      <c r="L18" s="226">
        <v>181.2</v>
      </c>
      <c r="M18" s="226">
        <f>L18*'AX1'!FR57</f>
        <v>1404.3905999999999</v>
      </c>
      <c r="N18" s="572">
        <f>M18/'AX1'!N57</f>
        <v>0.96369038789650019</v>
      </c>
    </row>
    <row r="19" spans="1:14">
      <c r="A19" s="1">
        <v>2009</v>
      </c>
      <c r="B19" s="226">
        <v>1</v>
      </c>
      <c r="C19" s="226">
        <f>'[16]2009'!A20</f>
        <v>19</v>
      </c>
      <c r="D19" s="230">
        <f>SUM('[16]2009'!C2:C20)/C19</f>
        <v>3.5489473684210529</v>
      </c>
      <c r="E19" s="231"/>
      <c r="F19" s="226">
        <f>'[16]2009'!C41</f>
        <v>0.49</v>
      </c>
      <c r="G19" s="226">
        <v>40</v>
      </c>
      <c r="H19" s="232">
        <f>SUM('[16]2009'!C2:C41)/G19</f>
        <v>2.0502500000000001</v>
      </c>
      <c r="J19" s="226">
        <v>1</v>
      </c>
      <c r="K19" s="226">
        <v>76000</v>
      </c>
      <c r="L19" s="226">
        <v>378.5</v>
      </c>
      <c r="M19" s="226">
        <f>L19*'AX1'!FR58</f>
        <v>2935.4567499999998</v>
      </c>
      <c r="N19" s="572">
        <f>M19/'AX1'!N58</f>
        <v>2.1573845655358435</v>
      </c>
    </row>
    <row r="20" spans="1:14">
      <c r="A20" s="1">
        <v>2010</v>
      </c>
      <c r="B20" s="226">
        <v>1</v>
      </c>
      <c r="C20" s="226">
        <f>'[16]2010'!A35</f>
        <v>34</v>
      </c>
      <c r="D20" s="230">
        <f>SUM('[16]2010'!C2:C35)/C20</f>
        <v>3.803823529411765</v>
      </c>
      <c r="E20" s="231"/>
      <c r="F20" s="226">
        <f>'[16]2010'!C41</f>
        <v>0.85</v>
      </c>
      <c r="G20" s="226">
        <v>40</v>
      </c>
      <c r="H20" s="232">
        <f>SUM('[16]2010'!C2:C41)/[16]summary!G20</f>
        <v>3.3672499999999999</v>
      </c>
      <c r="J20" s="226">
        <v>1</v>
      </c>
      <c r="K20" s="226">
        <v>101300</v>
      </c>
      <c r="L20" s="226">
        <v>510.8</v>
      </c>
      <c r="M20" s="226">
        <f>L20*'AX1'!FR59</f>
        <v>3971.2145999999998</v>
      </c>
      <c r="N20" s="572">
        <f>M20/'AX1'!N59</f>
        <v>2.6564550884653833</v>
      </c>
    </row>
    <row r="21" spans="1:14">
      <c r="A21" s="1">
        <v>2011</v>
      </c>
      <c r="B21" s="226">
        <v>1</v>
      </c>
      <c r="C21" s="226">
        <f>'[16]2011'!A41</f>
        <v>40</v>
      </c>
      <c r="D21" s="230">
        <f>SUM('[16]2011'!C2:C41)/C21</f>
        <v>4.0804999999999989</v>
      </c>
      <c r="E21" s="231"/>
      <c r="F21" s="226">
        <f>B21</f>
        <v>1</v>
      </c>
      <c r="G21" s="226">
        <v>40</v>
      </c>
      <c r="H21" s="232">
        <f>SUM('[16]2011'!C2:C41)/G21</f>
        <v>4.0804999999999989</v>
      </c>
      <c r="J21" s="226">
        <v>1</v>
      </c>
      <c r="K21" s="226">
        <v>83600</v>
      </c>
      <c r="L21" s="226">
        <v>408.2</v>
      </c>
      <c r="M21" s="226">
        <f>L21*'AX1'!FR60</f>
        <v>3169.8771000000002</v>
      </c>
      <c r="N21" s="572">
        <f>M21/'AX1'!N60</f>
        <v>1.9159942595436494</v>
      </c>
    </row>
    <row r="22" spans="1:14">
      <c r="A22" s="1">
        <v>2012</v>
      </c>
      <c r="B22" s="226">
        <v>1</v>
      </c>
      <c r="C22" s="226">
        <f>'[16]2012'!A38</f>
        <v>37</v>
      </c>
      <c r="D22" s="230">
        <f>SUM('[16]2012'!C2:C38)/C22</f>
        <v>4.0059459459459461</v>
      </c>
      <c r="E22" s="231"/>
      <c r="F22" s="226">
        <f>'[16]2012'!C41</f>
        <v>0.95</v>
      </c>
      <c r="G22" s="226">
        <v>40</v>
      </c>
      <c r="H22" s="232">
        <f>SUM('[16]2012'!C2:C41)/[16]summary!G22</f>
        <v>3.778</v>
      </c>
      <c r="J22" s="226">
        <v>1</v>
      </c>
      <c r="K22" s="226">
        <v>113500</v>
      </c>
      <c r="L22" s="226">
        <v>560.29999999999995</v>
      </c>
      <c r="M22" s="226">
        <f>L22*'AX1'!FR61</f>
        <v>4342.6051499999994</v>
      </c>
      <c r="N22" s="572">
        <f>M22/'AX1'!N61</f>
        <v>2.5190526166121301</v>
      </c>
    </row>
    <row r="23" spans="1:14">
      <c r="A23" s="1">
        <v>2013</v>
      </c>
      <c r="B23" s="226">
        <v>1</v>
      </c>
      <c r="C23" s="226">
        <f>'[16]2013'!A51</f>
        <v>50</v>
      </c>
      <c r="D23" s="230">
        <f>SUM('[16]2013'!C2:C51)/C23</f>
        <v>4.0906000000000002</v>
      </c>
      <c r="E23" s="231"/>
      <c r="F23" s="226">
        <f>'[16]2013'!C51</f>
        <v>1</v>
      </c>
      <c r="G23" s="226">
        <v>50</v>
      </c>
      <c r="H23" s="232">
        <f>SUM('[16]2013'!C2:C51)/G23</f>
        <v>4.0906000000000002</v>
      </c>
      <c r="J23" s="226">
        <v>1</v>
      </c>
      <c r="K23" s="226">
        <v>124200</v>
      </c>
      <c r="L23" s="226">
        <v>627</v>
      </c>
      <c r="M23" s="226">
        <f>L23*'AX1'!FR62</f>
        <v>4861.4444999999996</v>
      </c>
      <c r="N23" s="572">
        <f>M23/'AX1'!N62</f>
        <v>2.6925625167929628</v>
      </c>
    </row>
    <row r="24" spans="1:14">
      <c r="A24" s="1">
        <v>2014</v>
      </c>
      <c r="B24" s="226">
        <v>1</v>
      </c>
      <c r="C24" s="226">
        <f>'[16]2014'!A51</f>
        <v>50</v>
      </c>
      <c r="D24" s="230">
        <f>SUM('[16]2014'!C2:C51)/[16]summary!C24</f>
        <v>4.5132000000000003</v>
      </c>
      <c r="E24" s="231"/>
      <c r="F24" s="226">
        <f>'[16]2014'!C51</f>
        <v>1</v>
      </c>
      <c r="G24" s="226">
        <v>50</v>
      </c>
      <c r="H24" s="232">
        <f>SUM('[16]2014'!C2:C51)/G24</f>
        <v>4.5132000000000003</v>
      </c>
      <c r="J24" s="226">
        <v>1</v>
      </c>
      <c r="K24" s="226">
        <v>138200</v>
      </c>
      <c r="L24" s="226">
        <v>709.3</v>
      </c>
      <c r="M24" s="226">
        <f>L24*'AX1'!FR63</f>
        <v>5500.9761499999995</v>
      </c>
      <c r="N24" s="572">
        <f>M24/'AX1'!N63</f>
        <v>2.8936967069109896</v>
      </c>
    </row>
    <row r="25" spans="1:14">
      <c r="A25" s="1">
        <v>2015</v>
      </c>
      <c r="B25" s="226"/>
      <c r="C25" s="226"/>
      <c r="D25" s="230"/>
      <c r="E25" s="231"/>
      <c r="F25" s="226">
        <f>'[16]2015'!C51</f>
        <v>1.28</v>
      </c>
      <c r="G25" s="226">
        <v>50</v>
      </c>
      <c r="H25" s="232">
        <f>SUM('[16]2015'!C2:C51)/G25</f>
        <v>4.7293999999999992</v>
      </c>
      <c r="J25" s="226">
        <v>1</v>
      </c>
      <c r="K25" s="226">
        <v>142300</v>
      </c>
      <c r="L25" s="226">
        <v>734.8</v>
      </c>
      <c r="M25" s="226">
        <f>L25*'AX1'!FR64</f>
        <v>5695.067399999999</v>
      </c>
      <c r="N25" s="572">
        <f>M25/'AX1'!N64</f>
        <v>2.852640260676103</v>
      </c>
    </row>
    <row r="26" spans="1:14">
      <c r="A26" s="1">
        <v>2016</v>
      </c>
      <c r="B26" s="226"/>
      <c r="C26" s="226"/>
      <c r="D26" s="230"/>
      <c r="E26" s="231"/>
      <c r="F26" s="226">
        <f>'[16]2016'!C51</f>
        <v>1.05</v>
      </c>
      <c r="G26" s="226">
        <v>50</v>
      </c>
      <c r="H26" s="232">
        <f>SUM('[16]2016'!C2:C51)/G26</f>
        <v>4.8449999999999989</v>
      </c>
      <c r="J26" s="226">
        <v>1</v>
      </c>
      <c r="K26" s="226">
        <v>148200</v>
      </c>
      <c r="L26" s="226">
        <v>769.4</v>
      </c>
      <c r="M26" s="226">
        <f>L26*'AX1'!FR65</f>
        <v>5965.9275999999991</v>
      </c>
      <c r="N26" s="572">
        <f>M26/'AX1'!N65</f>
        <v>2.8530382884016969</v>
      </c>
    </row>
    <row r="27" spans="1:14">
      <c r="A27" s="1">
        <v>2017</v>
      </c>
      <c r="B27" s="226"/>
      <c r="C27" s="226"/>
      <c r="D27" s="230"/>
      <c r="E27" s="231"/>
      <c r="F27" s="226"/>
      <c r="G27" s="226"/>
      <c r="H27" s="232"/>
      <c r="J27" s="226">
        <v>1</v>
      </c>
      <c r="K27" s="226">
        <v>170400</v>
      </c>
      <c r="L27" s="226">
        <v>895</v>
      </c>
      <c r="M27" s="226">
        <f>L27*'AX1'!FR66</f>
        <v>6993.53</v>
      </c>
      <c r="N27" s="572">
        <f>M27/'AX1'!N66</f>
        <v>2.9300823458765892</v>
      </c>
    </row>
    <row r="28" spans="1:14">
      <c r="A28" s="1">
        <v>2018</v>
      </c>
      <c r="B28" s="226"/>
      <c r="C28" s="226"/>
      <c r="D28" s="230"/>
      <c r="E28" s="231"/>
      <c r="F28" s="226">
        <f>'[16]2018'!C51</f>
        <v>1.25</v>
      </c>
      <c r="G28" s="226">
        <v>50</v>
      </c>
      <c r="H28" s="232">
        <f>SUM('[16]2018'!C2:C51)/G28</f>
        <v>6.1375999999999999</v>
      </c>
      <c r="J28" s="226"/>
      <c r="K28" s="226"/>
      <c r="L28" s="226"/>
      <c r="M28" s="226"/>
    </row>
    <row r="29" spans="1:14">
      <c r="A29" s="1">
        <v>2019</v>
      </c>
      <c r="B29" s="226"/>
      <c r="C29" s="226"/>
      <c r="D29" s="238"/>
      <c r="E29" s="239"/>
      <c r="F29" s="226">
        <f>'[16]2019'!C51</f>
        <v>1.27</v>
      </c>
      <c r="G29" s="226">
        <v>50</v>
      </c>
      <c r="H29" s="232">
        <f>SUM('[16]2019'!C2:C51)/G29</f>
        <v>5.7350000000000003</v>
      </c>
      <c r="J29" s="226"/>
      <c r="K29" s="226"/>
      <c r="L29" s="226"/>
      <c r="M29" s="226"/>
    </row>
    <row r="30" spans="1:14">
      <c r="J30" s="226"/>
      <c r="K30" s="226"/>
      <c r="L30" s="226"/>
      <c r="M30" s="226"/>
    </row>
    <row r="31" spans="1:14">
      <c r="J31" s="226"/>
      <c r="K31" s="226"/>
      <c r="L31" s="226"/>
      <c r="M31" s="226"/>
    </row>
    <row r="32" spans="1:14">
      <c r="J32" s="226"/>
      <c r="K32" s="226"/>
      <c r="L32" s="226"/>
      <c r="M32" s="226"/>
    </row>
    <row r="33" spans="10:13">
      <c r="J33" s="226"/>
      <c r="K33" s="226"/>
      <c r="L33" s="226"/>
      <c r="M33" s="226"/>
    </row>
  </sheetData>
  <mergeCells count="3">
    <mergeCell ref="B2:D2"/>
    <mergeCell ref="F2:H2"/>
    <mergeCell ref="J2:M2"/>
  </mergeCells>
  <phoneticPr fontId="11" type="noConversion"/>
  <hyperlinks>
    <hyperlink ref="K5" r:id="rId1" xr:uid="{3035B605-AE7A-4582-B65E-E75CE73D47F8}"/>
    <hyperlink ref="L5" r:id="rId2" xr:uid="{78A5D6C2-7AFF-4819-A99C-AB94696111CF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AC4E-12B6-4E39-A159-4FAE63E48478}">
  <sheetPr>
    <tabColor theme="1"/>
  </sheetPr>
  <dimension ref="A1:O24"/>
  <sheetViews>
    <sheetView workbookViewId="0">
      <pane xSplit="1" topLeftCell="B1" activePane="topRight" state="frozen"/>
      <selection pane="topRight" sqref="A1:J1"/>
    </sheetView>
  </sheetViews>
  <sheetFormatPr defaultColWidth="9" defaultRowHeight="15"/>
  <cols>
    <col min="1" max="1" width="11.375" style="192" bestFit="1" customWidth="1"/>
    <col min="2" max="2" width="9.625" style="330" customWidth="1"/>
    <col min="3" max="4" width="9.375" style="186" customWidth="1"/>
    <col min="5" max="6" width="9" style="186"/>
    <col min="7" max="8" width="9" style="164"/>
    <col min="9" max="11" width="9.5" style="164" customWidth="1"/>
    <col min="12" max="12" width="9" style="164"/>
    <col min="13" max="15" width="8.875" style="164" customWidth="1"/>
    <col min="16" max="16384" width="9" style="164"/>
  </cols>
  <sheetData>
    <row r="1" spans="1:15" ht="34.5" customHeight="1" thickTop="1" thickBot="1">
      <c r="A1" s="942" t="s">
        <v>1286</v>
      </c>
      <c r="B1" s="943"/>
      <c r="C1" s="943"/>
      <c r="D1" s="943"/>
      <c r="E1" s="943"/>
      <c r="F1" s="943"/>
      <c r="G1" s="943"/>
      <c r="H1" s="943"/>
      <c r="I1" s="943"/>
      <c r="J1" s="944"/>
      <c r="K1" s="401"/>
    </row>
    <row r="2" spans="1:15">
      <c r="A2" s="187"/>
      <c r="B2" s="167" t="s">
        <v>1287</v>
      </c>
      <c r="C2" s="167" t="s">
        <v>1201</v>
      </c>
      <c r="D2" s="167" t="s">
        <v>1159</v>
      </c>
      <c r="E2" s="167" t="s">
        <v>1160</v>
      </c>
      <c r="F2" s="167"/>
      <c r="G2" s="167" t="s">
        <v>1161</v>
      </c>
      <c r="H2" s="167"/>
      <c r="I2" s="167" t="s">
        <v>1162</v>
      </c>
      <c r="J2" s="170" t="s">
        <v>1162</v>
      </c>
      <c r="K2" s="366"/>
    </row>
    <row r="3" spans="1:15">
      <c r="A3" s="187"/>
      <c r="B3" s="331"/>
      <c r="C3" s="1196"/>
      <c r="D3" s="1196"/>
      <c r="E3" s="1196"/>
      <c r="F3" s="1196"/>
      <c r="G3" s="1196"/>
      <c r="H3" s="1196"/>
      <c r="I3" s="1196"/>
      <c r="J3" s="1197"/>
      <c r="K3" s="360"/>
    </row>
    <row r="4" spans="1:15" s="329" customFormat="1" ht="15.75" customHeight="1">
      <c r="A4" s="328"/>
      <c r="B4" s="1196" t="s">
        <v>1277</v>
      </c>
      <c r="C4" s="1196"/>
      <c r="D4" s="1196"/>
      <c r="E4" s="1196"/>
      <c r="F4" s="1196"/>
      <c r="G4" s="1196"/>
      <c r="H4" s="1196"/>
      <c r="I4" s="1196"/>
      <c r="J4" s="1197"/>
      <c r="K4" s="360"/>
    </row>
    <row r="5" spans="1:15" s="329" customFormat="1" ht="15.75" customHeight="1">
      <c r="A5" s="328"/>
      <c r="B5" s="1105" t="s">
        <v>1291</v>
      </c>
      <c r="C5" s="1198" t="s">
        <v>1276</v>
      </c>
      <c r="D5" s="1198" t="s">
        <v>1276</v>
      </c>
      <c r="E5" s="1196" t="s">
        <v>1288</v>
      </c>
      <c r="F5" s="1196"/>
      <c r="G5" s="1196" t="s">
        <v>1289</v>
      </c>
      <c r="H5" s="1196"/>
      <c r="I5" s="1196" t="s">
        <v>1290</v>
      </c>
      <c r="J5" s="1197"/>
      <c r="K5" s="360"/>
    </row>
    <row r="6" spans="1:15" s="335" customFormat="1" ht="30">
      <c r="A6" s="188" t="s">
        <v>1191</v>
      </c>
      <c r="B6" s="1105"/>
      <c r="C6" s="1198"/>
      <c r="D6" s="1198"/>
      <c r="E6" s="342" t="s">
        <v>1292</v>
      </c>
      <c r="F6" s="342" t="s">
        <v>1293</v>
      </c>
      <c r="G6" s="342" t="s">
        <v>1292</v>
      </c>
      <c r="H6" s="342" t="s">
        <v>1293</v>
      </c>
      <c r="I6" s="342" t="s">
        <v>1292</v>
      </c>
      <c r="J6" s="405" t="s">
        <v>1293</v>
      </c>
      <c r="K6" s="402"/>
      <c r="M6" s="338"/>
      <c r="N6" s="338"/>
    </row>
    <row r="7" spans="1:15">
      <c r="A7" s="189"/>
      <c r="B7" s="353" t="s">
        <v>1237</v>
      </c>
      <c r="C7" s="185" t="s">
        <v>1274</v>
      </c>
      <c r="D7" s="185" t="s">
        <v>1275</v>
      </c>
      <c r="E7" s="341" t="s">
        <v>1199</v>
      </c>
      <c r="F7" s="341"/>
      <c r="G7" s="341" t="s">
        <v>1199</v>
      </c>
      <c r="H7" s="341"/>
      <c r="I7" s="341" t="s">
        <v>1199</v>
      </c>
      <c r="J7" s="343" t="s">
        <v>1199</v>
      </c>
      <c r="K7" s="403"/>
    </row>
    <row r="8" spans="1:15">
      <c r="A8" s="190" t="s">
        <v>1200</v>
      </c>
      <c r="B8" s="225"/>
      <c r="C8" s="225"/>
      <c r="D8" s="225"/>
      <c r="E8" s="225"/>
      <c r="F8" s="225"/>
      <c r="G8" s="225"/>
      <c r="H8" s="225"/>
      <c r="I8" s="225"/>
      <c r="J8" s="298"/>
      <c r="K8" s="225"/>
    </row>
    <row r="9" spans="1:15">
      <c r="A9" s="191">
        <v>1981</v>
      </c>
      <c r="B9" s="337">
        <v>30546</v>
      </c>
      <c r="C9" s="344">
        <v>99998</v>
      </c>
      <c r="D9" s="344">
        <f>C9/'AX1'!FR30</f>
        <v>17620.792951541851</v>
      </c>
      <c r="E9" s="345">
        <f>1/B9</f>
        <v>3.2737510639690961E-5</v>
      </c>
      <c r="F9" s="404">
        <f>E9*$B9</f>
        <v>1</v>
      </c>
      <c r="G9" s="345">
        <f>3/B9</f>
        <v>9.8212531919072876E-5</v>
      </c>
      <c r="H9" s="404">
        <f>G9*$B9</f>
        <v>3</v>
      </c>
      <c r="I9" s="345">
        <f>2/A9</f>
        <v>1.0095911155981827E-3</v>
      </c>
      <c r="J9" s="406">
        <f t="shared" ref="J9:J16" si="0">I9*$B9</f>
        <v>30.838970217062091</v>
      </c>
      <c r="K9" s="345"/>
      <c r="L9" s="339"/>
    </row>
    <row r="10" spans="1:15">
      <c r="A10" s="191">
        <v>1986</v>
      </c>
      <c r="B10" s="337">
        <v>42954</v>
      </c>
      <c r="C10" s="344">
        <v>99998</v>
      </c>
      <c r="D10" s="344">
        <f>C10/'AX1'!FR35</f>
        <v>12828.479794740218</v>
      </c>
      <c r="E10" s="345">
        <f>1/B10</f>
        <v>2.3280718908599898E-5</v>
      </c>
      <c r="F10" s="404">
        <f t="shared" ref="F10:H16" si="1">E10*$B10</f>
        <v>1</v>
      </c>
      <c r="G10" s="345">
        <f>7/B10</f>
        <v>1.6296503236019929E-4</v>
      </c>
      <c r="H10" s="404">
        <f t="shared" si="1"/>
        <v>7</v>
      </c>
      <c r="I10" s="345">
        <f>6/A10</f>
        <v>3.0211480362537764E-3</v>
      </c>
      <c r="J10" s="406">
        <f t="shared" si="0"/>
        <v>129.77039274924471</v>
      </c>
      <c r="K10" s="345"/>
      <c r="L10" s="339"/>
    </row>
    <row r="11" spans="1:15">
      <c r="A11" s="191">
        <v>1991</v>
      </c>
      <c r="B11" s="337">
        <v>194161</v>
      </c>
      <c r="C11" s="344">
        <v>99998</v>
      </c>
      <c r="D11" s="344">
        <f>C11/'AX1'!FR40</f>
        <v>12851.561495951677</v>
      </c>
      <c r="E11" s="345">
        <f>128/B11</f>
        <v>6.5924670762923553E-4</v>
      </c>
      <c r="F11" s="404">
        <f t="shared" si="1"/>
        <v>128</v>
      </c>
      <c r="G11" s="345">
        <f>172/B11</f>
        <v>8.8586276337678524E-4</v>
      </c>
      <c r="H11" s="404">
        <f t="shared" si="1"/>
        <v>172</v>
      </c>
      <c r="I11" s="345">
        <f>122/A11</f>
        <v>6.1275740833751882E-2</v>
      </c>
      <c r="J11" s="406">
        <f t="shared" si="0"/>
        <v>11897.359116022099</v>
      </c>
      <c r="K11" s="345"/>
      <c r="L11" s="339"/>
    </row>
    <row r="12" spans="1:15">
      <c r="A12" s="191">
        <v>1996</v>
      </c>
      <c r="B12" s="337">
        <v>231851</v>
      </c>
      <c r="C12" s="344">
        <v>150000</v>
      </c>
      <c r="D12" s="344">
        <f>C12/'AX1'!FR45</f>
        <v>19389.86556359876</v>
      </c>
      <c r="E12" s="345">
        <f>442/B12</f>
        <v>1.9063967806910473E-3</v>
      </c>
      <c r="F12" s="404">
        <f t="shared" si="1"/>
        <v>442</v>
      </c>
      <c r="G12" s="345">
        <f>238/B12</f>
        <v>1.0265213434490254E-3</v>
      </c>
      <c r="H12" s="404">
        <f t="shared" si="1"/>
        <v>237.99999999999997</v>
      </c>
      <c r="I12" s="345">
        <f>99/A12</f>
        <v>4.9599198396793588E-2</v>
      </c>
      <c r="J12" s="406">
        <f t="shared" si="0"/>
        <v>11499.62374749499</v>
      </c>
      <c r="K12" s="345"/>
      <c r="L12" s="339"/>
    </row>
    <row r="13" spans="1:15">
      <c r="A13" s="191">
        <v>2001</v>
      </c>
      <c r="B13" s="337">
        <v>255500</v>
      </c>
      <c r="C13" s="344">
        <v>150000</v>
      </c>
      <c r="D13" s="344">
        <f>C13/'AX1'!FR50</f>
        <v>19238.16852635629</v>
      </c>
      <c r="E13" s="345">
        <f>482/B13</f>
        <v>1.8864970645792564E-3</v>
      </c>
      <c r="F13" s="404">
        <f t="shared" si="1"/>
        <v>482</v>
      </c>
      <c r="G13" s="345">
        <f>254/B13</f>
        <v>9.9412915851272016E-4</v>
      </c>
      <c r="H13" s="404">
        <f t="shared" si="1"/>
        <v>254</v>
      </c>
      <c r="I13" s="345">
        <f>104/A13</f>
        <v>5.1974012993503245E-2</v>
      </c>
      <c r="J13" s="406">
        <f t="shared" si="0"/>
        <v>13279.36031984008</v>
      </c>
      <c r="K13" s="345"/>
      <c r="L13" s="339"/>
    </row>
    <row r="14" spans="1:15">
      <c r="A14" s="191">
        <v>2006</v>
      </c>
      <c r="B14" s="337">
        <v>273072</v>
      </c>
      <c r="C14" s="344">
        <v>150000</v>
      </c>
      <c r="D14" s="344">
        <f>C14/'AX1'!FR55</f>
        <v>19293.845263360989</v>
      </c>
      <c r="E14" s="345">
        <f>409/B14</f>
        <v>1.4977734809866995E-3</v>
      </c>
      <c r="F14" s="404">
        <f t="shared" si="1"/>
        <v>409</v>
      </c>
      <c r="G14" s="345">
        <f>280/B14</f>
        <v>1.0253705982305034E-3</v>
      </c>
      <c r="H14" s="404">
        <f t="shared" si="1"/>
        <v>280</v>
      </c>
      <c r="I14" s="345">
        <f>228/A14</f>
        <v>0.11365902293120637</v>
      </c>
      <c r="J14" s="406">
        <f t="shared" si="0"/>
        <v>31037.096709870388</v>
      </c>
      <c r="K14" s="345"/>
      <c r="L14" s="339"/>
    </row>
    <row r="15" spans="1:15">
      <c r="A15" s="191">
        <v>2011</v>
      </c>
      <c r="B15" s="337">
        <v>299868</v>
      </c>
      <c r="C15" s="344">
        <v>150000</v>
      </c>
      <c r="D15" s="344">
        <f>C15/'AX1'!FR60</f>
        <v>19316.206297083252</v>
      </c>
      <c r="E15" s="345">
        <f>873/B15</f>
        <v>2.9112809636239944E-3</v>
      </c>
      <c r="F15" s="404">
        <f t="shared" si="1"/>
        <v>873</v>
      </c>
      <c r="G15" s="345">
        <f>379/B15</f>
        <v>1.2638894446889966E-3</v>
      </c>
      <c r="H15" s="404">
        <f t="shared" si="1"/>
        <v>379.00000000000006</v>
      </c>
      <c r="I15" s="345">
        <f>327/A15</f>
        <v>0.16260566882148186</v>
      </c>
      <c r="J15" s="406">
        <f t="shared" si="0"/>
        <v>48760.236698160123</v>
      </c>
      <c r="K15" s="345"/>
      <c r="L15" s="339"/>
    </row>
    <row r="16" spans="1:15" s="186" customFormat="1" ht="15.75" thickBot="1">
      <c r="A16" s="346">
        <v>2016</v>
      </c>
      <c r="B16" s="347">
        <v>307986</v>
      </c>
      <c r="C16" s="348">
        <v>150000</v>
      </c>
      <c r="D16" s="348">
        <f>C16/'AX1'!FR65</f>
        <v>19344.854268764509</v>
      </c>
      <c r="E16" s="349">
        <f>1090/B16</f>
        <v>3.5391219081386815E-3</v>
      </c>
      <c r="F16" s="407">
        <f t="shared" si="1"/>
        <v>1090</v>
      </c>
      <c r="G16" s="349">
        <f>413/B16</f>
        <v>1.3409700440929133E-3</v>
      </c>
      <c r="H16" s="407">
        <f t="shared" si="1"/>
        <v>413</v>
      </c>
      <c r="I16" s="349">
        <f>467/A16</f>
        <v>0.23164682539682541</v>
      </c>
      <c r="J16" s="408">
        <f t="shared" si="0"/>
        <v>71343.979166666672</v>
      </c>
      <c r="K16" s="345"/>
      <c r="L16" s="339"/>
      <c r="M16" s="340"/>
      <c r="N16" s="350"/>
      <c r="O16" s="340"/>
    </row>
    <row r="17" spans="1:15" ht="16.5" thickTop="1" thickBot="1">
      <c r="B17" s="337"/>
      <c r="E17" s="336"/>
      <c r="F17" s="336"/>
      <c r="G17" s="336"/>
      <c r="H17" s="336"/>
      <c r="I17" s="336"/>
      <c r="J17" s="336"/>
      <c r="K17" s="336"/>
      <c r="L17" s="184"/>
      <c r="M17" s="351"/>
      <c r="N17" s="351"/>
      <c r="O17" s="351"/>
    </row>
    <row r="18" spans="1:15" s="184" customFormat="1" ht="15.75" customHeight="1" thickTop="1">
      <c r="A18" s="1116" t="s">
        <v>1284</v>
      </c>
      <c r="B18" s="1188"/>
      <c r="C18" s="1188"/>
      <c r="D18" s="1188"/>
      <c r="E18" s="1188"/>
      <c r="F18" s="1188"/>
      <c r="G18" s="1188"/>
      <c r="H18" s="1188"/>
      <c r="I18" s="1188"/>
      <c r="J18" s="1189"/>
    </row>
    <row r="19" spans="1:15" s="184" customFormat="1">
      <c r="A19" s="1190"/>
      <c r="B19" s="1191"/>
      <c r="C19" s="1191"/>
      <c r="D19" s="1191"/>
      <c r="E19" s="1191"/>
      <c r="F19" s="1191"/>
      <c r="G19" s="1191"/>
      <c r="H19" s="1191"/>
      <c r="I19" s="1191"/>
      <c r="J19" s="1192"/>
    </row>
    <row r="20" spans="1:15" s="184" customFormat="1" ht="15.75" thickBot="1">
      <c r="A20" s="1193"/>
      <c r="B20" s="1194"/>
      <c r="C20" s="1194"/>
      <c r="D20" s="1194"/>
      <c r="E20" s="1194"/>
      <c r="F20" s="1194"/>
      <c r="G20" s="1194"/>
      <c r="H20" s="1194"/>
      <c r="I20" s="1194"/>
      <c r="J20" s="1195"/>
    </row>
    <row r="21" spans="1:15" s="184" customFormat="1" ht="15.75" thickTop="1">
      <c r="A21" s="192"/>
      <c r="B21" s="330"/>
      <c r="C21" s="186"/>
      <c r="D21" s="186"/>
      <c r="E21" s="333"/>
      <c r="F21" s="333"/>
    </row>
    <row r="24" spans="1:15">
      <c r="M24" s="164">
        <f>220*0.8</f>
        <v>176</v>
      </c>
    </row>
  </sheetData>
  <mergeCells count="9">
    <mergeCell ref="A18:J20"/>
    <mergeCell ref="C3:J3"/>
    <mergeCell ref="B4:J4"/>
    <mergeCell ref="E5:F5"/>
    <mergeCell ref="G5:H5"/>
    <mergeCell ref="I5:J5"/>
    <mergeCell ref="D5:D6"/>
    <mergeCell ref="C5:C6"/>
    <mergeCell ref="B5:B6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7F04-E2D3-4D4F-920F-DA4BC049C4F7}">
  <sheetPr>
    <tabColor theme="9"/>
  </sheetPr>
  <dimension ref="A1:AK67"/>
  <sheetViews>
    <sheetView topLeftCell="B1" zoomScaleNormal="100" workbookViewId="0">
      <pane xSplit="1" ySplit="7" topLeftCell="C8" activePane="bottomRight" state="frozen"/>
      <selection activeCell="H34" sqref="H34"/>
      <selection pane="topRight" activeCell="H34" sqref="H34"/>
      <selection pane="bottomLeft" activeCell="H34" sqref="H34"/>
      <selection pane="bottomRight" activeCell="G67" sqref="G67"/>
    </sheetView>
  </sheetViews>
  <sheetFormatPr defaultColWidth="10.625" defaultRowHeight="15.75"/>
  <cols>
    <col min="1" max="2" width="10.625" style="4"/>
    <col min="3" max="7" width="10.625" style="5"/>
    <col min="8" max="17" width="9.125" style="5" customWidth="1"/>
    <col min="18" max="19" width="9.125" style="789" customWidth="1"/>
    <col min="20" max="26" width="9.125" style="5" customWidth="1"/>
    <col min="27" max="16384" width="10.625" style="4"/>
  </cols>
  <sheetData>
    <row r="1" spans="1:36" ht="16.5" thickBot="1"/>
    <row r="2" spans="1:36" s="78" customFormat="1" ht="33" customHeight="1" thickTop="1" thickBot="1">
      <c r="B2" s="1064" t="s">
        <v>1294</v>
      </c>
      <c r="C2" s="1065"/>
      <c r="D2" s="1065"/>
      <c r="E2" s="1065"/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5"/>
      <c r="S2" s="1065"/>
      <c r="T2" s="1065"/>
      <c r="U2" s="1065"/>
      <c r="V2" s="1065"/>
      <c r="W2" s="1065"/>
      <c r="X2" s="1065"/>
      <c r="Y2" s="1065"/>
      <c r="Z2" s="1065"/>
      <c r="AA2" s="1065"/>
      <c r="AB2" s="1065"/>
      <c r="AC2" s="1065"/>
      <c r="AD2" s="1065"/>
      <c r="AE2" s="1065"/>
      <c r="AF2" s="1065"/>
      <c r="AG2" s="1065"/>
      <c r="AH2" s="1065"/>
      <c r="AI2" s="1065"/>
      <c r="AJ2" s="1066"/>
    </row>
    <row r="3" spans="1:36">
      <c r="B3" s="454"/>
      <c r="C3" s="1067" t="s">
        <v>1062</v>
      </c>
      <c r="D3" s="1067"/>
      <c r="E3" s="1067"/>
      <c r="F3" s="1067"/>
      <c r="G3" s="1067"/>
      <c r="H3" s="1067"/>
      <c r="I3" s="1068" t="s">
        <v>1067</v>
      </c>
      <c r="J3" s="1067"/>
      <c r="K3" s="1067"/>
      <c r="L3" s="1069"/>
      <c r="M3" s="1068" t="s">
        <v>1072</v>
      </c>
      <c r="N3" s="1067"/>
      <c r="O3" s="1067"/>
      <c r="P3" s="1067"/>
      <c r="Q3" s="1067"/>
      <c r="R3" s="792"/>
      <c r="S3" s="793"/>
      <c r="T3" s="1067" t="s">
        <v>1074</v>
      </c>
      <c r="U3" s="1067"/>
      <c r="V3" s="1067"/>
      <c r="W3" s="1067"/>
      <c r="X3" s="1067"/>
      <c r="Y3" s="1067"/>
      <c r="Z3" s="1067"/>
      <c r="AA3" s="1068" t="s">
        <v>1129</v>
      </c>
      <c r="AB3" s="1067"/>
      <c r="AC3" s="1067"/>
      <c r="AD3" s="1067"/>
      <c r="AE3" s="1067"/>
      <c r="AF3" s="1067"/>
      <c r="AG3" s="1067"/>
      <c r="AH3" s="1067"/>
      <c r="AI3" s="1067"/>
      <c r="AJ3" s="1070"/>
    </row>
    <row r="4" spans="1:36" s="148" customFormat="1" ht="48.75" customHeight="1">
      <c r="A4" s="128"/>
      <c r="B4" s="455" t="s">
        <v>1016</v>
      </c>
      <c r="C4" s="429" t="s">
        <v>1055</v>
      </c>
      <c r="D4" s="429" t="s">
        <v>1056</v>
      </c>
      <c r="E4" s="429" t="s">
        <v>1416</v>
      </c>
      <c r="F4" s="429" t="s">
        <v>1053</v>
      </c>
      <c r="G4" s="429" t="s">
        <v>1054</v>
      </c>
      <c r="H4" s="429" t="s">
        <v>1057</v>
      </c>
      <c r="I4" s="430" t="s">
        <v>1063</v>
      </c>
      <c r="J4" s="431" t="s">
        <v>1063</v>
      </c>
      <c r="K4" s="432" t="s">
        <v>1064</v>
      </c>
      <c r="L4" s="433" t="s">
        <v>1065</v>
      </c>
      <c r="M4" s="430" t="s">
        <v>1068</v>
      </c>
      <c r="N4" s="431" t="s">
        <v>1015</v>
      </c>
      <c r="O4" s="431" t="s">
        <v>1069</v>
      </c>
      <c r="P4" s="432" t="s">
        <v>1070</v>
      </c>
      <c r="Q4" s="791" t="s">
        <v>1071</v>
      </c>
      <c r="R4" s="794" t="s">
        <v>1528</v>
      </c>
      <c r="S4" s="795" t="s">
        <v>1529</v>
      </c>
      <c r="T4" s="456" t="s">
        <v>1075</v>
      </c>
      <c r="U4" s="456" t="s">
        <v>1081</v>
      </c>
      <c r="V4" s="456" t="s">
        <v>1082</v>
      </c>
      <c r="W4" s="456" t="s">
        <v>1083</v>
      </c>
      <c r="X4" s="456" t="s">
        <v>1084</v>
      </c>
      <c r="Y4" s="456" t="s">
        <v>1085</v>
      </c>
      <c r="Z4" s="456" t="s">
        <v>1086</v>
      </c>
      <c r="AA4" s="434" t="s">
        <v>1130</v>
      </c>
      <c r="AB4" s="435" t="s">
        <v>1131</v>
      </c>
      <c r="AC4" s="436" t="s">
        <v>1132</v>
      </c>
      <c r="AD4" s="435" t="s">
        <v>1053</v>
      </c>
      <c r="AE4" s="435" t="s">
        <v>1053</v>
      </c>
      <c r="AF4" s="435" t="s">
        <v>1133</v>
      </c>
      <c r="AG4" s="435" t="s">
        <v>1133</v>
      </c>
      <c r="AH4" s="435" t="s">
        <v>1107</v>
      </c>
      <c r="AI4" s="435" t="s">
        <v>1107</v>
      </c>
      <c r="AJ4" s="457" t="s">
        <v>1142</v>
      </c>
    </row>
    <row r="5" spans="1:36" s="57" customFormat="1" ht="9.9499999999999993" customHeight="1">
      <c r="B5" s="458" t="s">
        <v>1013</v>
      </c>
      <c r="C5" s="437" t="s">
        <v>1406</v>
      </c>
      <c r="D5" s="437" t="s">
        <v>1406</v>
      </c>
      <c r="E5" s="437" t="s">
        <v>1406</v>
      </c>
      <c r="F5" s="437" t="s">
        <v>1406</v>
      </c>
      <c r="G5" s="437" t="s">
        <v>1406</v>
      </c>
      <c r="H5" s="437" t="s">
        <v>1406</v>
      </c>
      <c r="I5" s="440" t="s">
        <v>1406</v>
      </c>
      <c r="J5" s="437" t="s">
        <v>1406</v>
      </c>
      <c r="K5" s="437" t="s">
        <v>1406</v>
      </c>
      <c r="L5" s="437" t="s">
        <v>1406</v>
      </c>
      <c r="M5" s="438"/>
      <c r="N5" s="439"/>
      <c r="O5" s="439"/>
      <c r="P5" s="439"/>
      <c r="Q5" s="437"/>
      <c r="R5" s="796"/>
      <c r="S5" s="797"/>
      <c r="T5" s="437"/>
      <c r="U5" s="437"/>
      <c r="V5" s="437"/>
      <c r="W5" s="437"/>
      <c r="X5" s="437"/>
      <c r="Y5" s="437"/>
      <c r="Z5" s="437"/>
      <c r="AA5" s="440" t="s">
        <v>1152</v>
      </c>
      <c r="AB5" s="437" t="s">
        <v>1152</v>
      </c>
      <c r="AC5" s="437" t="s">
        <v>1152</v>
      </c>
      <c r="AD5" s="437" t="s">
        <v>1152</v>
      </c>
      <c r="AE5" s="437" t="s">
        <v>1152</v>
      </c>
      <c r="AF5" s="437" t="s">
        <v>1152</v>
      </c>
      <c r="AG5" s="437" t="s">
        <v>1152</v>
      </c>
      <c r="AH5" s="437" t="s">
        <v>1152</v>
      </c>
      <c r="AI5" s="437" t="s">
        <v>1152</v>
      </c>
      <c r="AJ5" s="459"/>
    </row>
    <row r="6" spans="1:36" s="16" customFormat="1" ht="9.9499999999999993" customHeight="1">
      <c r="B6" s="460" t="s">
        <v>1012</v>
      </c>
      <c r="C6" s="441"/>
      <c r="D6" s="441"/>
      <c r="E6" s="441"/>
      <c r="F6" s="441"/>
      <c r="G6" s="441"/>
      <c r="H6" s="441"/>
      <c r="I6" s="442"/>
      <c r="J6" s="443"/>
      <c r="K6" s="443"/>
      <c r="L6" s="444"/>
      <c r="M6" s="442"/>
      <c r="N6" s="443"/>
      <c r="O6" s="443"/>
      <c r="P6" s="443"/>
      <c r="Q6" s="441"/>
      <c r="R6" s="798"/>
      <c r="S6" s="799"/>
      <c r="T6" s="441"/>
      <c r="U6" s="441"/>
      <c r="V6" s="441"/>
      <c r="W6" s="441"/>
      <c r="X6" s="441"/>
      <c r="Y6" s="441"/>
      <c r="Z6" s="441"/>
      <c r="AA6" s="445"/>
      <c r="AB6" s="446"/>
      <c r="AC6" s="446"/>
      <c r="AD6" s="446"/>
      <c r="AE6" s="446"/>
      <c r="AF6" s="446"/>
      <c r="AG6" s="446"/>
      <c r="AH6" s="446"/>
      <c r="AI6" s="446"/>
      <c r="AJ6" s="461"/>
    </row>
    <row r="7" spans="1:36" s="16" customFormat="1" ht="9.9499999999999993" customHeight="1">
      <c r="B7" s="460" t="s">
        <v>1010</v>
      </c>
      <c r="C7" s="441" t="s">
        <v>1105</v>
      </c>
      <c r="D7" s="441" t="s">
        <v>1105</v>
      </c>
      <c r="E7" s="441"/>
      <c r="F7" s="441" t="s">
        <v>1105</v>
      </c>
      <c r="G7" s="441" t="s">
        <v>1105</v>
      </c>
      <c r="H7" s="441"/>
      <c r="I7" s="442" t="s">
        <v>1105</v>
      </c>
      <c r="J7" s="443" t="s">
        <v>1111</v>
      </c>
      <c r="K7" s="443"/>
      <c r="L7" s="444"/>
      <c r="M7" s="442" t="s">
        <v>1073</v>
      </c>
      <c r="N7" s="443"/>
      <c r="O7" s="443"/>
      <c r="P7" s="443" t="s">
        <v>1073</v>
      </c>
      <c r="Q7" s="441"/>
      <c r="R7" s="798"/>
      <c r="S7" s="799"/>
      <c r="T7" s="441"/>
      <c r="U7" s="441"/>
      <c r="V7" s="441"/>
      <c r="W7" s="441"/>
      <c r="X7" s="441"/>
      <c r="Y7" s="441"/>
      <c r="Z7" s="441"/>
      <c r="AA7" s="445" t="s">
        <v>1105</v>
      </c>
      <c r="AB7" s="446" t="s">
        <v>1111</v>
      </c>
      <c r="AC7" s="446"/>
      <c r="AD7" s="446" t="s">
        <v>1105</v>
      </c>
      <c r="AE7" s="446" t="s">
        <v>1111</v>
      </c>
      <c r="AF7" s="446" t="s">
        <v>1105</v>
      </c>
      <c r="AG7" s="446" t="s">
        <v>1111</v>
      </c>
      <c r="AH7" s="446" t="s">
        <v>1105</v>
      </c>
      <c r="AI7" s="446" t="s">
        <v>1111</v>
      </c>
      <c r="AJ7" s="461"/>
    </row>
    <row r="8" spans="1:36" s="9" customFormat="1" ht="12.75" hidden="1">
      <c r="B8" s="462">
        <v>1961</v>
      </c>
      <c r="C8" s="447"/>
      <c r="D8" s="447"/>
      <c r="E8" s="447"/>
      <c r="F8" s="447"/>
      <c r="G8" s="447"/>
      <c r="H8" s="447"/>
      <c r="I8" s="448"/>
      <c r="J8" s="447"/>
      <c r="K8" s="447"/>
      <c r="L8" s="449"/>
      <c r="M8" s="448">
        <f>'AX2'!VG7/1000/1000/1000</f>
        <v>6.2309999999999999</v>
      </c>
      <c r="N8" s="447" t="e">
        <f>#REF!</f>
        <v>#REF!</v>
      </c>
      <c r="O8" s="450" t="e">
        <f t="shared" ref="O8:O26" si="0">M8-N8</f>
        <v>#REF!</v>
      </c>
      <c r="P8" s="447"/>
      <c r="Q8" s="447"/>
      <c r="R8" s="800"/>
      <c r="S8" s="801"/>
      <c r="T8" s="447"/>
      <c r="U8" s="447"/>
      <c r="V8" s="447"/>
      <c r="W8" s="447"/>
      <c r="X8" s="447"/>
      <c r="Y8" s="447"/>
      <c r="Z8" s="447"/>
      <c r="AA8" s="448">
        <f>'AX2'!SF7/1000/1000/1000</f>
        <v>6.7569999999999997</v>
      </c>
      <c r="AB8" s="447">
        <f>'AX2'!SC7/1000/1000/1000</f>
        <v>6.1909999999999998</v>
      </c>
      <c r="AC8" s="447">
        <f t="shared" ref="AC8:AC26" si="1">AB8-AA8</f>
        <v>-0.56599999999999984</v>
      </c>
      <c r="AD8" s="447"/>
      <c r="AE8" s="447"/>
      <c r="AF8" s="447"/>
      <c r="AG8" s="447"/>
      <c r="AH8" s="447"/>
      <c r="AI8" s="447"/>
      <c r="AJ8" s="463"/>
    </row>
    <row r="9" spans="1:36" s="9" customFormat="1" ht="12.75" hidden="1">
      <c r="B9" s="462">
        <v>1962</v>
      </c>
      <c r="C9" s="447"/>
      <c r="D9" s="447"/>
      <c r="E9" s="447"/>
      <c r="F9" s="447"/>
      <c r="G9" s="447"/>
      <c r="H9" s="447"/>
      <c r="I9" s="448"/>
      <c r="J9" s="447"/>
      <c r="K9" s="447"/>
      <c r="L9" s="449"/>
      <c r="M9" s="448">
        <f>'AX2'!VG8/1000/1000/1000</f>
        <v>6.9290000000000003</v>
      </c>
      <c r="N9" s="447" t="e">
        <f>#REF!</f>
        <v>#REF!</v>
      </c>
      <c r="O9" s="450" t="e">
        <f t="shared" si="0"/>
        <v>#REF!</v>
      </c>
      <c r="P9" s="447"/>
      <c r="Q9" s="447"/>
      <c r="R9" s="800"/>
      <c r="S9" s="801"/>
      <c r="T9" s="447"/>
      <c r="U9" s="447"/>
      <c r="V9" s="447"/>
      <c r="W9" s="447"/>
      <c r="X9" s="447"/>
      <c r="Y9" s="447"/>
      <c r="Z9" s="447"/>
      <c r="AA9" s="448">
        <f>'AX2'!SF8/1000/1000/1000</f>
        <v>7.5279999999999996</v>
      </c>
      <c r="AB9" s="447">
        <f>'AX2'!SC8/1000/1000/1000</f>
        <v>6.806</v>
      </c>
      <c r="AC9" s="447">
        <f t="shared" si="1"/>
        <v>-0.72199999999999953</v>
      </c>
      <c r="AD9" s="447"/>
      <c r="AE9" s="447"/>
      <c r="AF9" s="447"/>
      <c r="AG9" s="447"/>
      <c r="AH9" s="447"/>
      <c r="AI9" s="447"/>
      <c r="AJ9" s="463"/>
    </row>
    <row r="10" spans="1:36" s="9" customFormat="1" ht="12.75" hidden="1">
      <c r="B10" s="462">
        <v>1963</v>
      </c>
      <c r="C10" s="447"/>
      <c r="D10" s="447"/>
      <c r="E10" s="447"/>
      <c r="F10" s="447"/>
      <c r="G10" s="447"/>
      <c r="H10" s="447"/>
      <c r="I10" s="448"/>
      <c r="J10" s="447"/>
      <c r="K10" s="447"/>
      <c r="L10" s="449"/>
      <c r="M10" s="448">
        <f>'AX2'!VG9/1000/1000/1000</f>
        <v>7.67</v>
      </c>
      <c r="N10" s="447" t="e">
        <f>#REF!</f>
        <v>#REF!</v>
      </c>
      <c r="O10" s="450" t="e">
        <f t="shared" si="0"/>
        <v>#REF!</v>
      </c>
      <c r="P10" s="447"/>
      <c r="Q10" s="447"/>
      <c r="R10" s="800"/>
      <c r="S10" s="801"/>
      <c r="T10" s="447"/>
      <c r="U10" s="447"/>
      <c r="V10" s="447"/>
      <c r="W10" s="447"/>
      <c r="X10" s="447"/>
      <c r="Y10" s="447"/>
      <c r="Z10" s="447"/>
      <c r="AA10" s="448">
        <f>'AX2'!SF9/1000/1000/1000</f>
        <v>8.3620000000000001</v>
      </c>
      <c r="AB10" s="447">
        <f>'AX2'!SC9/1000/1000/1000</f>
        <v>7.62</v>
      </c>
      <c r="AC10" s="447">
        <f t="shared" si="1"/>
        <v>-0.74199999999999999</v>
      </c>
      <c r="AD10" s="447"/>
      <c r="AE10" s="447"/>
      <c r="AF10" s="447"/>
      <c r="AG10" s="447"/>
      <c r="AH10" s="447"/>
      <c r="AI10" s="447"/>
      <c r="AJ10" s="463"/>
    </row>
    <row r="11" spans="1:36" s="9" customFormat="1" ht="12.75" hidden="1">
      <c r="B11" s="462">
        <v>1964</v>
      </c>
      <c r="C11" s="447"/>
      <c r="D11" s="447"/>
      <c r="E11" s="447"/>
      <c r="F11" s="447"/>
      <c r="G11" s="447"/>
      <c r="H11" s="447"/>
      <c r="I11" s="448"/>
      <c r="J11" s="447"/>
      <c r="K11" s="447"/>
      <c r="L11" s="449"/>
      <c r="M11" s="448">
        <f>'AX2'!VG10/1000/1000/1000</f>
        <v>8.4860000000000007</v>
      </c>
      <c r="N11" s="447" t="e">
        <f>#REF!</f>
        <v>#REF!</v>
      </c>
      <c r="O11" s="450" t="e">
        <f t="shared" si="0"/>
        <v>#REF!</v>
      </c>
      <c r="P11" s="447"/>
      <c r="Q11" s="447"/>
      <c r="R11" s="800"/>
      <c r="S11" s="801"/>
      <c r="T11" s="447"/>
      <c r="U11" s="447"/>
      <c r="V11" s="447"/>
      <c r="W11" s="447"/>
      <c r="X11" s="447"/>
      <c r="Y11" s="447"/>
      <c r="Z11" s="447"/>
      <c r="AA11" s="448">
        <f>'AX2'!SF10/1000/1000/1000</f>
        <v>9.58</v>
      </c>
      <c r="AB11" s="447">
        <f>'AX2'!SC10/1000/1000/1000</f>
        <v>8.6690000000000005</v>
      </c>
      <c r="AC11" s="447">
        <f t="shared" si="1"/>
        <v>-0.91099999999999959</v>
      </c>
      <c r="AD11" s="447"/>
      <c r="AE11" s="447"/>
      <c r="AF11" s="447"/>
      <c r="AG11" s="447"/>
      <c r="AH11" s="447"/>
      <c r="AI11" s="447"/>
      <c r="AJ11" s="463"/>
    </row>
    <row r="12" spans="1:36" s="9" customFormat="1" ht="12.75" hidden="1">
      <c r="B12" s="462">
        <v>1965</v>
      </c>
      <c r="C12" s="447"/>
      <c r="D12" s="447"/>
      <c r="E12" s="447"/>
      <c r="F12" s="447"/>
      <c r="G12" s="447"/>
      <c r="H12" s="447"/>
      <c r="I12" s="448"/>
      <c r="J12" s="447"/>
      <c r="K12" s="447"/>
      <c r="L12" s="449"/>
      <c r="M12" s="448">
        <f>'AX2'!VG11/1000/1000/1000</f>
        <v>9.5589999999999993</v>
      </c>
      <c r="N12" s="447" t="e">
        <f>#REF!</f>
        <v>#REF!</v>
      </c>
      <c r="O12" s="450" t="e">
        <f t="shared" si="0"/>
        <v>#REF!</v>
      </c>
      <c r="P12" s="447"/>
      <c r="Q12" s="447"/>
      <c r="R12" s="800"/>
      <c r="S12" s="801"/>
      <c r="T12" s="447"/>
      <c r="U12" s="447"/>
      <c r="V12" s="447"/>
      <c r="W12" s="447"/>
      <c r="X12" s="447"/>
      <c r="Y12" s="447"/>
      <c r="Z12" s="447"/>
      <c r="AA12" s="448">
        <f>'AX2'!SF11/1000/1000/1000</f>
        <v>10.083</v>
      </c>
      <c r="AB12" s="447">
        <f>'AX2'!SC11/1000/1000/1000</f>
        <v>9.6029999999999998</v>
      </c>
      <c r="AC12" s="447">
        <f t="shared" si="1"/>
        <v>-0.48000000000000043</v>
      </c>
      <c r="AD12" s="447"/>
      <c r="AE12" s="447"/>
      <c r="AF12" s="447"/>
      <c r="AG12" s="447"/>
      <c r="AH12" s="447"/>
      <c r="AI12" s="447"/>
      <c r="AJ12" s="463"/>
    </row>
    <row r="13" spans="1:36" s="9" customFormat="1" ht="12.75" hidden="1">
      <c r="B13" s="462">
        <v>1966</v>
      </c>
      <c r="C13" s="447"/>
      <c r="D13" s="447"/>
      <c r="E13" s="447"/>
      <c r="F13" s="447"/>
      <c r="G13" s="447"/>
      <c r="H13" s="447"/>
      <c r="I13" s="448"/>
      <c r="J13" s="447"/>
      <c r="K13" s="447"/>
      <c r="L13" s="449"/>
      <c r="M13" s="448">
        <f>'AX2'!VG12/1000/1000/1000</f>
        <v>10.833</v>
      </c>
      <c r="N13" s="447" t="e">
        <f>#REF!</f>
        <v>#REF!</v>
      </c>
      <c r="O13" s="450" t="e">
        <f t="shared" si="0"/>
        <v>#REF!</v>
      </c>
      <c r="P13" s="447"/>
      <c r="Q13" s="447"/>
      <c r="R13" s="800"/>
      <c r="S13" s="801"/>
      <c r="T13" s="447"/>
      <c r="U13" s="447"/>
      <c r="V13" s="447"/>
      <c r="W13" s="447"/>
      <c r="X13" s="447"/>
      <c r="Y13" s="447"/>
      <c r="Z13" s="447"/>
      <c r="AA13" s="448">
        <f>'AX2'!SF12/1000/1000/1000</f>
        <v>11.346</v>
      </c>
      <c r="AB13" s="447">
        <f>'AX2'!SC12/1000/1000/1000</f>
        <v>10.840999999999999</v>
      </c>
      <c r="AC13" s="447">
        <f t="shared" si="1"/>
        <v>-0.50500000000000078</v>
      </c>
      <c r="AD13" s="447"/>
      <c r="AE13" s="447"/>
      <c r="AF13" s="447"/>
      <c r="AG13" s="447"/>
      <c r="AH13" s="447"/>
      <c r="AI13" s="447"/>
      <c r="AJ13" s="463"/>
    </row>
    <row r="14" spans="1:36" s="9" customFormat="1" ht="12.75" hidden="1">
      <c r="B14" s="462">
        <v>1967</v>
      </c>
      <c r="C14" s="447"/>
      <c r="D14" s="447"/>
      <c r="E14" s="447"/>
      <c r="F14" s="447"/>
      <c r="G14" s="447"/>
      <c r="H14" s="447"/>
      <c r="I14" s="448"/>
      <c r="J14" s="447"/>
      <c r="K14" s="447"/>
      <c r="L14" s="449"/>
      <c r="M14" s="448">
        <f>'AX2'!VG13/1000/1000/1000</f>
        <v>11.638</v>
      </c>
      <c r="N14" s="447" t="e">
        <f>#REF!</f>
        <v>#REF!</v>
      </c>
      <c r="O14" s="450" t="e">
        <f t="shared" si="0"/>
        <v>#REF!</v>
      </c>
      <c r="P14" s="447"/>
      <c r="Q14" s="447"/>
      <c r="R14" s="800"/>
      <c r="S14" s="801"/>
      <c r="T14" s="447"/>
      <c r="U14" s="447"/>
      <c r="V14" s="447"/>
      <c r="W14" s="447"/>
      <c r="X14" s="447"/>
      <c r="Y14" s="447"/>
      <c r="Z14" s="447"/>
      <c r="AA14" s="448">
        <f>'AX2'!SF13/1000/1000/1000</f>
        <v>11.757</v>
      </c>
      <c r="AB14" s="447">
        <f>'AX2'!SC13/1000/1000/1000</f>
        <v>12.477</v>
      </c>
      <c r="AC14" s="447">
        <f t="shared" si="1"/>
        <v>0.72000000000000064</v>
      </c>
      <c r="AD14" s="447"/>
      <c r="AE14" s="447"/>
      <c r="AF14" s="447"/>
      <c r="AG14" s="447"/>
      <c r="AH14" s="447"/>
      <c r="AI14" s="447"/>
      <c r="AJ14" s="463"/>
    </row>
    <row r="15" spans="1:36" s="9" customFormat="1" ht="12.75" hidden="1">
      <c r="B15" s="462">
        <v>1968</v>
      </c>
      <c r="C15" s="447"/>
      <c r="D15" s="447"/>
      <c r="E15" s="447"/>
      <c r="F15" s="447"/>
      <c r="G15" s="447"/>
      <c r="H15" s="447"/>
      <c r="I15" s="448"/>
      <c r="J15" s="447"/>
      <c r="K15" s="447"/>
      <c r="L15" s="449"/>
      <c r="M15" s="448">
        <f>'AX2'!VG14/1000/1000/1000</f>
        <v>12.891999999999999</v>
      </c>
      <c r="N15" s="447" t="e">
        <f>#REF!</f>
        <v>#REF!</v>
      </c>
      <c r="O15" s="450" t="e">
        <f t="shared" si="0"/>
        <v>#REF!</v>
      </c>
      <c r="P15" s="447"/>
      <c r="Q15" s="447"/>
      <c r="R15" s="800"/>
      <c r="S15" s="801"/>
      <c r="T15" s="447"/>
      <c r="U15" s="447"/>
      <c r="V15" s="447"/>
      <c r="W15" s="447"/>
      <c r="X15" s="447"/>
      <c r="Y15" s="447"/>
      <c r="Z15" s="447"/>
      <c r="AA15" s="448">
        <f>'AX2'!SF14/1000/1000/1000</f>
        <v>14.025</v>
      </c>
      <c r="AB15" s="447">
        <f>'AX2'!SC14/1000/1000/1000</f>
        <v>14.914999999999999</v>
      </c>
      <c r="AC15" s="447">
        <f t="shared" si="1"/>
        <v>0.88999999999999879</v>
      </c>
      <c r="AD15" s="447"/>
      <c r="AE15" s="447"/>
      <c r="AF15" s="447"/>
      <c r="AG15" s="447"/>
      <c r="AH15" s="447"/>
      <c r="AI15" s="447"/>
      <c r="AJ15" s="463"/>
    </row>
    <row r="16" spans="1:36" s="9" customFormat="1" ht="12.75" hidden="1">
      <c r="B16" s="462">
        <v>1969</v>
      </c>
      <c r="C16" s="447"/>
      <c r="D16" s="447"/>
      <c r="E16" s="447"/>
      <c r="F16" s="447"/>
      <c r="G16" s="447"/>
      <c r="H16" s="447"/>
      <c r="I16" s="448"/>
      <c r="J16" s="447"/>
      <c r="K16" s="447"/>
      <c r="L16" s="449"/>
      <c r="M16" s="448">
        <f>'AX2'!VG15/1000/1000/1000</f>
        <v>14.529</v>
      </c>
      <c r="N16" s="447" t="e">
        <f>#REF!</f>
        <v>#REF!</v>
      </c>
      <c r="O16" s="450" t="e">
        <f t="shared" si="0"/>
        <v>#REF!</v>
      </c>
      <c r="P16" s="447"/>
      <c r="Q16" s="447"/>
      <c r="R16" s="800"/>
      <c r="S16" s="801"/>
      <c r="T16" s="447"/>
      <c r="U16" s="447"/>
      <c r="V16" s="447"/>
      <c r="W16" s="447"/>
      <c r="X16" s="447"/>
      <c r="Y16" s="447"/>
      <c r="Z16" s="447"/>
      <c r="AA16" s="448">
        <f>'AX2'!SF15/1000/1000/1000</f>
        <v>16.744</v>
      </c>
      <c r="AB16" s="447">
        <f>'AX2'!SC15/1000/1000/1000</f>
        <v>18.459</v>
      </c>
      <c r="AC16" s="447">
        <f t="shared" si="1"/>
        <v>1.7149999999999999</v>
      </c>
      <c r="AD16" s="447"/>
      <c r="AE16" s="447"/>
      <c r="AF16" s="447"/>
      <c r="AG16" s="447"/>
      <c r="AH16" s="447"/>
      <c r="AI16" s="447"/>
      <c r="AJ16" s="463"/>
    </row>
    <row r="17" spans="2:36" s="9" customFormat="1" ht="12.75" hidden="1">
      <c r="B17" s="462">
        <v>1970</v>
      </c>
      <c r="C17" s="447"/>
      <c r="D17" s="447"/>
      <c r="E17" s="447"/>
      <c r="F17" s="447"/>
      <c r="G17" s="447"/>
      <c r="H17" s="447"/>
      <c r="I17" s="448"/>
      <c r="J17" s="447"/>
      <c r="K17" s="447"/>
      <c r="L17" s="449"/>
      <c r="M17" s="448">
        <f>'AX2'!VG16/1000/1000/1000</f>
        <v>16.605</v>
      </c>
      <c r="N17" s="447" t="e">
        <f>#REF!</f>
        <v>#REF!</v>
      </c>
      <c r="O17" s="450" t="e">
        <f t="shared" si="0"/>
        <v>#REF!</v>
      </c>
      <c r="P17" s="447"/>
      <c r="Q17" s="447"/>
      <c r="R17" s="800"/>
      <c r="S17" s="801"/>
      <c r="T17" s="447"/>
      <c r="U17" s="447"/>
      <c r="V17" s="447"/>
      <c r="W17" s="447"/>
      <c r="X17" s="447"/>
      <c r="Y17" s="447"/>
      <c r="Z17" s="447"/>
      <c r="AA17" s="448">
        <f>'AX2'!SF16/1000/1000/1000</f>
        <v>19.751999999999999</v>
      </c>
      <c r="AB17" s="447">
        <f>'AX2'!SC16/1000/1000/1000</f>
        <v>21.532</v>
      </c>
      <c r="AC17" s="447">
        <f t="shared" si="1"/>
        <v>1.7800000000000011</v>
      </c>
      <c r="AD17" s="447"/>
      <c r="AE17" s="447"/>
      <c r="AF17" s="447"/>
      <c r="AG17" s="447"/>
      <c r="AH17" s="447"/>
      <c r="AI17" s="447"/>
      <c r="AJ17" s="463"/>
    </row>
    <row r="18" spans="2:36" s="9" customFormat="1" ht="12.75" hidden="1">
      <c r="B18" s="462">
        <v>1971</v>
      </c>
      <c r="C18" s="447"/>
      <c r="D18" s="447"/>
      <c r="E18" s="447"/>
      <c r="F18" s="447"/>
      <c r="G18" s="447"/>
      <c r="H18" s="447"/>
      <c r="I18" s="448"/>
      <c r="J18" s="447"/>
      <c r="K18" s="447"/>
      <c r="L18" s="449"/>
      <c r="M18" s="448">
        <f>'AX2'!VG17/1000/1000/1000</f>
        <v>19.030999999999999</v>
      </c>
      <c r="N18" s="447" t="e">
        <f>#REF!</f>
        <v>#REF!</v>
      </c>
      <c r="O18" s="450" t="e">
        <f t="shared" si="0"/>
        <v>#REF!</v>
      </c>
      <c r="P18" s="447"/>
      <c r="Q18" s="447"/>
      <c r="R18" s="800"/>
      <c r="S18" s="801"/>
      <c r="T18" s="447"/>
      <c r="U18" s="447"/>
      <c r="V18" s="447"/>
      <c r="W18" s="447"/>
      <c r="X18" s="447"/>
      <c r="Y18" s="447"/>
      <c r="Z18" s="447"/>
      <c r="AA18" s="448">
        <f>'AX2'!SF17/1000/1000/1000</f>
        <v>22.72</v>
      </c>
      <c r="AB18" s="447">
        <f>'AX2'!SC17/1000/1000/1000</f>
        <v>23.841000000000001</v>
      </c>
      <c r="AC18" s="447">
        <f t="shared" si="1"/>
        <v>1.1210000000000022</v>
      </c>
      <c r="AD18" s="447"/>
      <c r="AE18" s="447"/>
      <c r="AF18" s="447"/>
      <c r="AG18" s="447"/>
      <c r="AH18" s="447"/>
      <c r="AI18" s="447"/>
      <c r="AJ18" s="463"/>
    </row>
    <row r="19" spans="2:36" s="9" customFormat="1" ht="12.75" hidden="1">
      <c r="B19" s="462">
        <v>1972</v>
      </c>
      <c r="C19" s="447"/>
      <c r="D19" s="447"/>
      <c r="E19" s="447"/>
      <c r="F19" s="447"/>
      <c r="G19" s="447"/>
      <c r="H19" s="447"/>
      <c r="I19" s="448"/>
      <c r="J19" s="447"/>
      <c r="K19" s="447"/>
      <c r="L19" s="449"/>
      <c r="M19" s="448">
        <f>'AX2'!VG18/1000/1000/1000</f>
        <v>22.065000000000001</v>
      </c>
      <c r="N19" s="447" t="e">
        <f>#REF!</f>
        <v>#REF!</v>
      </c>
      <c r="O19" s="450" t="e">
        <f t="shared" si="0"/>
        <v>#REF!</v>
      </c>
      <c r="P19" s="447"/>
      <c r="Q19" s="447"/>
      <c r="R19" s="800"/>
      <c r="S19" s="801"/>
      <c r="T19" s="447"/>
      <c r="U19" s="447"/>
      <c r="V19" s="447"/>
      <c r="W19" s="447"/>
      <c r="X19" s="447"/>
      <c r="Y19" s="447"/>
      <c r="Z19" s="447"/>
      <c r="AA19" s="448">
        <f>'AX2'!SF18/1000/1000/1000</f>
        <v>24.625</v>
      </c>
      <c r="AB19" s="447">
        <f>'AX2'!SC18/1000/1000/1000</f>
        <v>27.184000000000001</v>
      </c>
      <c r="AC19" s="447">
        <f t="shared" si="1"/>
        <v>2.5590000000000011</v>
      </c>
      <c r="AD19" s="447"/>
      <c r="AE19" s="447"/>
      <c r="AF19" s="447"/>
      <c r="AG19" s="447"/>
      <c r="AH19" s="447"/>
      <c r="AI19" s="447"/>
      <c r="AJ19" s="463"/>
    </row>
    <row r="20" spans="2:36" s="9" customFormat="1" ht="12.75" hidden="1">
      <c r="B20" s="462">
        <v>1973</v>
      </c>
      <c r="C20" s="447"/>
      <c r="D20" s="447"/>
      <c r="E20" s="447"/>
      <c r="F20" s="447"/>
      <c r="G20" s="447"/>
      <c r="H20" s="447"/>
      <c r="I20" s="448"/>
      <c r="J20" s="447"/>
      <c r="K20" s="447"/>
      <c r="L20" s="449"/>
      <c r="M20" s="448">
        <f>'AX2'!VG19/1000/1000/1000</f>
        <v>29.218</v>
      </c>
      <c r="N20" s="447" t="e">
        <f>#REF!</f>
        <v>#REF!</v>
      </c>
      <c r="O20" s="450" t="e">
        <f t="shared" si="0"/>
        <v>#REF!</v>
      </c>
      <c r="P20" s="447"/>
      <c r="Q20" s="447"/>
      <c r="R20" s="800"/>
      <c r="S20" s="801"/>
      <c r="T20" s="447"/>
      <c r="U20" s="447"/>
      <c r="V20" s="447"/>
      <c r="W20" s="447"/>
      <c r="X20" s="447"/>
      <c r="Y20" s="447"/>
      <c r="Z20" s="447"/>
      <c r="AA20" s="448">
        <f>'AX2'!SF19/1000/1000/1000</f>
        <v>32.692999999999998</v>
      </c>
      <c r="AB20" s="447">
        <f>'AX2'!SC19/1000/1000/1000</f>
        <v>35.302</v>
      </c>
      <c r="AC20" s="447">
        <f t="shared" si="1"/>
        <v>2.6090000000000018</v>
      </c>
      <c r="AD20" s="447"/>
      <c r="AE20" s="447"/>
      <c r="AF20" s="447"/>
      <c r="AG20" s="447"/>
      <c r="AH20" s="447"/>
      <c r="AI20" s="447"/>
      <c r="AJ20" s="463"/>
    </row>
    <row r="21" spans="2:36" s="9" customFormat="1" ht="12.75" hidden="1">
      <c r="B21" s="462">
        <v>1974</v>
      </c>
      <c r="C21" s="447"/>
      <c r="D21" s="447"/>
      <c r="E21" s="447"/>
      <c r="F21" s="447"/>
      <c r="G21" s="447"/>
      <c r="H21" s="447"/>
      <c r="I21" s="448"/>
      <c r="J21" s="447"/>
      <c r="K21" s="447"/>
      <c r="L21" s="449"/>
      <c r="M21" s="448">
        <f>'AX2'!VG20/1000/1000/1000</f>
        <v>33.476999999999997</v>
      </c>
      <c r="N21" s="447" t="e">
        <f>#REF!</f>
        <v>#REF!</v>
      </c>
      <c r="O21" s="450" t="e">
        <f t="shared" si="0"/>
        <v>#REF!</v>
      </c>
      <c r="P21" s="447"/>
      <c r="Q21" s="447"/>
      <c r="R21" s="800"/>
      <c r="S21" s="801"/>
      <c r="T21" s="447"/>
      <c r="U21" s="447"/>
      <c r="V21" s="447"/>
      <c r="W21" s="447"/>
      <c r="X21" s="447"/>
      <c r="Y21" s="447"/>
      <c r="Z21" s="447"/>
      <c r="AA21" s="448">
        <f>'AX2'!SF20/1000/1000/1000</f>
        <v>38.661999999999999</v>
      </c>
      <c r="AB21" s="447">
        <f>'AX2'!SC20/1000/1000/1000</f>
        <v>40.926000000000002</v>
      </c>
      <c r="AC21" s="447">
        <f t="shared" si="1"/>
        <v>2.2640000000000029</v>
      </c>
      <c r="AD21" s="447"/>
      <c r="AE21" s="447"/>
      <c r="AF21" s="447"/>
      <c r="AG21" s="447"/>
      <c r="AH21" s="447"/>
      <c r="AI21" s="447"/>
      <c r="AJ21" s="463"/>
    </row>
    <row r="22" spans="2:36" s="9" customFormat="1" ht="12.75" hidden="1">
      <c r="B22" s="462">
        <v>1975</v>
      </c>
      <c r="C22" s="447"/>
      <c r="D22" s="447"/>
      <c r="E22" s="447"/>
      <c r="F22" s="447"/>
      <c r="G22" s="447"/>
      <c r="H22" s="447"/>
      <c r="I22" s="448"/>
      <c r="J22" s="447"/>
      <c r="K22" s="447"/>
      <c r="L22" s="449"/>
      <c r="M22" s="448">
        <f>'AX2'!VG21/1000/1000/1000</f>
        <v>35.414999999999999</v>
      </c>
      <c r="N22" s="447" t="e">
        <f>#REF!</f>
        <v>#REF!</v>
      </c>
      <c r="O22" s="450" t="e">
        <f t="shared" si="0"/>
        <v>#REF!</v>
      </c>
      <c r="P22" s="447"/>
      <c r="Q22" s="447"/>
      <c r="R22" s="800"/>
      <c r="S22" s="801"/>
      <c r="T22" s="447"/>
      <c r="U22" s="447"/>
      <c r="V22" s="447"/>
      <c r="W22" s="447"/>
      <c r="X22" s="447"/>
      <c r="Y22" s="447"/>
      <c r="Z22" s="447"/>
      <c r="AA22" s="448">
        <f>'AX2'!SF21/1000/1000/1000</f>
        <v>38.584000000000003</v>
      </c>
      <c r="AB22" s="447">
        <f>'AX2'!SC21/1000/1000/1000</f>
        <v>41.356999999999999</v>
      </c>
      <c r="AC22" s="447">
        <f t="shared" si="1"/>
        <v>2.7729999999999961</v>
      </c>
      <c r="AD22" s="447"/>
      <c r="AE22" s="447"/>
      <c r="AF22" s="447"/>
      <c r="AG22" s="447"/>
      <c r="AH22" s="447"/>
      <c r="AI22" s="447"/>
      <c r="AJ22" s="463"/>
    </row>
    <row r="23" spans="2:36" s="9" customFormat="1" ht="12.75" hidden="1">
      <c r="B23" s="462">
        <v>1976</v>
      </c>
      <c r="C23" s="447"/>
      <c r="D23" s="447"/>
      <c r="E23" s="447"/>
      <c r="F23" s="447"/>
      <c r="G23" s="447"/>
      <c r="H23" s="447"/>
      <c r="I23" s="448"/>
      <c r="J23" s="447"/>
      <c r="K23" s="447"/>
      <c r="L23" s="449"/>
      <c r="M23" s="448">
        <f>'AX2'!VG22/1000/1000/1000</f>
        <v>40.366</v>
      </c>
      <c r="N23" s="447" t="e">
        <f>#REF!</f>
        <v>#REF!</v>
      </c>
      <c r="O23" s="450" t="e">
        <f t="shared" si="0"/>
        <v>#REF!</v>
      </c>
      <c r="P23" s="447"/>
      <c r="Q23" s="447"/>
      <c r="R23" s="800"/>
      <c r="S23" s="801"/>
      <c r="T23" s="447"/>
      <c r="U23" s="447"/>
      <c r="V23" s="447"/>
      <c r="W23" s="447"/>
      <c r="X23" s="447"/>
      <c r="Y23" s="447"/>
      <c r="Z23" s="447"/>
      <c r="AA23" s="448">
        <f>'AX2'!SF22/1000/1000/1000</f>
        <v>49.743000000000002</v>
      </c>
      <c r="AB23" s="447">
        <f>'AX2'!SC22/1000/1000/1000</f>
        <v>56.488</v>
      </c>
      <c r="AC23" s="447">
        <f t="shared" si="1"/>
        <v>6.7449999999999974</v>
      </c>
      <c r="AD23" s="447"/>
      <c r="AE23" s="447"/>
      <c r="AF23" s="447"/>
      <c r="AG23" s="447"/>
      <c r="AH23" s="447"/>
      <c r="AI23" s="447"/>
      <c r="AJ23" s="463"/>
    </row>
    <row r="24" spans="2:36" s="9" customFormat="1" ht="12.75" hidden="1">
      <c r="B24" s="462">
        <v>1977</v>
      </c>
      <c r="C24" s="447"/>
      <c r="D24" s="447"/>
      <c r="E24" s="447"/>
      <c r="F24" s="447"/>
      <c r="G24" s="447"/>
      <c r="H24" s="447"/>
      <c r="I24" s="448"/>
      <c r="J24" s="447"/>
      <c r="K24" s="447"/>
      <c r="L24" s="449"/>
      <c r="M24" s="448">
        <f>'AX2'!VG23/1000/1000/1000</f>
        <v>48.997999999999998</v>
      </c>
      <c r="N24" s="447" t="e">
        <f>#REF!</f>
        <v>#REF!</v>
      </c>
      <c r="O24" s="450" t="e">
        <f t="shared" si="0"/>
        <v>#REF!</v>
      </c>
      <c r="P24" s="447"/>
      <c r="Q24" s="447"/>
      <c r="R24" s="800"/>
      <c r="S24" s="801"/>
      <c r="T24" s="447"/>
      <c r="U24" s="447"/>
      <c r="V24" s="447"/>
      <c r="W24" s="447"/>
      <c r="X24" s="447"/>
      <c r="Y24" s="447"/>
      <c r="Z24" s="447"/>
      <c r="AA24" s="448">
        <f>'AX2'!SF23/1000/1000/1000</f>
        <v>56.302999999999997</v>
      </c>
      <c r="AB24" s="447">
        <f>'AX2'!SC23/1000/1000/1000</f>
        <v>61.091000000000001</v>
      </c>
      <c r="AC24" s="447">
        <f t="shared" si="1"/>
        <v>4.7880000000000038</v>
      </c>
      <c r="AD24" s="447"/>
      <c r="AE24" s="447"/>
      <c r="AF24" s="447"/>
      <c r="AG24" s="447"/>
      <c r="AH24" s="447"/>
      <c r="AI24" s="447"/>
      <c r="AJ24" s="463"/>
    </row>
    <row r="25" spans="2:36" s="9" customFormat="1" ht="12.75" hidden="1">
      <c r="B25" s="462">
        <v>1978</v>
      </c>
      <c r="C25" s="447"/>
      <c r="D25" s="447"/>
      <c r="E25" s="447"/>
      <c r="F25" s="447"/>
      <c r="G25" s="447"/>
      <c r="H25" s="447"/>
      <c r="I25" s="448"/>
      <c r="J25" s="447"/>
      <c r="K25" s="447"/>
      <c r="L25" s="449"/>
      <c r="M25" s="448">
        <f>'AX2'!VG24/1000/1000/1000</f>
        <v>60.183</v>
      </c>
      <c r="N25" s="447" t="e">
        <f>#REF!</f>
        <v>#REF!</v>
      </c>
      <c r="O25" s="450" t="e">
        <f t="shared" si="0"/>
        <v>#REF!</v>
      </c>
      <c r="P25" s="447"/>
      <c r="Q25" s="447"/>
      <c r="R25" s="800"/>
      <c r="S25" s="801"/>
      <c r="T25" s="447"/>
      <c r="U25" s="447"/>
      <c r="V25" s="447"/>
      <c r="W25" s="447"/>
      <c r="X25" s="447"/>
      <c r="Y25" s="447"/>
      <c r="Z25" s="447"/>
      <c r="AA25" s="448">
        <f>'AX2'!SF24/1000/1000/1000</f>
        <v>72.546000000000006</v>
      </c>
      <c r="AB25" s="447">
        <f>'AX2'!SC24/1000/1000/1000</f>
        <v>73.415999999999997</v>
      </c>
      <c r="AC25" s="447">
        <f t="shared" si="1"/>
        <v>0.86999999999999034</v>
      </c>
      <c r="AD25" s="447"/>
      <c r="AE25" s="447"/>
      <c r="AF25" s="447"/>
      <c r="AG25" s="447"/>
      <c r="AH25" s="447"/>
      <c r="AI25" s="447"/>
      <c r="AJ25" s="463"/>
    </row>
    <row r="26" spans="2:36" s="9" customFormat="1" ht="12.75" hidden="1">
      <c r="B26" s="462">
        <v>1979</v>
      </c>
      <c r="C26" s="447"/>
      <c r="D26" s="447"/>
      <c r="E26" s="447"/>
      <c r="F26" s="447"/>
      <c r="G26" s="447"/>
      <c r="H26" s="447"/>
      <c r="I26" s="448"/>
      <c r="J26" s="447"/>
      <c r="K26" s="447"/>
      <c r="L26" s="449"/>
      <c r="M26" s="448">
        <f>'AX2'!VG25/1000/1000/1000</f>
        <v>74.299000000000007</v>
      </c>
      <c r="N26" s="447" t="e">
        <f>#REF!</f>
        <v>#REF!</v>
      </c>
      <c r="O26" s="450" t="e">
        <f t="shared" si="0"/>
        <v>#REF!</v>
      </c>
      <c r="P26" s="447"/>
      <c r="Q26" s="447"/>
      <c r="R26" s="800"/>
      <c r="S26" s="801"/>
      <c r="T26" s="447"/>
      <c r="U26" s="447"/>
      <c r="V26" s="447"/>
      <c r="W26" s="447"/>
      <c r="X26" s="447"/>
      <c r="Y26" s="447"/>
      <c r="Z26" s="447"/>
      <c r="AA26" s="448">
        <f>'AX2'!SF25/1000/1000/1000</f>
        <v>99.55</v>
      </c>
      <c r="AB26" s="447">
        <f>'AX2'!SC25/1000/1000/1000</f>
        <v>101.00700000000001</v>
      </c>
      <c r="AC26" s="447">
        <f t="shared" si="1"/>
        <v>1.4570000000000078</v>
      </c>
      <c r="AD26" s="447"/>
      <c r="AE26" s="447"/>
      <c r="AF26" s="447"/>
      <c r="AG26" s="447"/>
      <c r="AH26" s="447"/>
      <c r="AI26" s="447"/>
      <c r="AJ26" s="463"/>
    </row>
    <row r="27" spans="2:36" s="9" customFormat="1" ht="12.75">
      <c r="B27" s="462">
        <v>1980</v>
      </c>
      <c r="C27" s="451">
        <f>'AX1'!O29/'AX1'!$N29</f>
        <v>0.5775523646368661</v>
      </c>
      <c r="D27" s="451">
        <f>'AX1'!P29/'AX1'!$N29</f>
        <v>0.42256252648879455</v>
      </c>
      <c r="E27" s="451"/>
      <c r="F27" s="451">
        <f>'AX1'!Q29/'AX1'!$N29</f>
        <v>0.55559252657526115</v>
      </c>
      <c r="G27" s="451">
        <f>'AX1'!R29/'AX1'!$N29</f>
        <v>2.1844946935944354E-2</v>
      </c>
      <c r="H27" s="451">
        <f>'AX1'!S29/'AX1'!$N29</f>
        <v>0</v>
      </c>
      <c r="I27" s="452">
        <f>'AX1'!T29/'AX1'!$N29</f>
        <v>0</v>
      </c>
      <c r="J27" s="451">
        <f>'AX1'!U29/'AX1'!$N29</f>
        <v>0</v>
      </c>
      <c r="K27" s="451">
        <f>'AX1'!V29/'AX1'!$N29</f>
        <v>1.1549898381480717</v>
      </c>
      <c r="L27" s="453">
        <f>'AX1'!W29/'AX1'!$N29</f>
        <v>1</v>
      </c>
      <c r="M27" s="452">
        <f>'AX1'!X29/'AX1'!$N29</f>
        <v>0.79790496412121548</v>
      </c>
      <c r="N27" s="451">
        <f>'AX1'!Y29/'AX1'!$N29</f>
        <v>7.380771399045126E-2</v>
      </c>
      <c r="O27" s="451">
        <f>'AX1'!Z29/'AX1'!$N29</f>
        <v>0.7240972501307642</v>
      </c>
      <c r="P27" s="451">
        <f>'AX1'!AA29/'AX1'!$N29</f>
        <v>0.35708487402685607</v>
      </c>
      <c r="Q27" s="451">
        <f>'AX1'!AB29/'AX1'!$N29</f>
        <v>0.2020950358787845</v>
      </c>
      <c r="R27" s="802">
        <f>Q27*(O27/(N27+O27))</f>
        <v>0.18340086391876986</v>
      </c>
      <c r="S27" s="803">
        <f>Q27-R27</f>
        <v>1.8694171960014633E-2</v>
      </c>
      <c r="T27" s="451">
        <f>'AX1'!AF29/'AX1'!$N29</f>
        <v>0</v>
      </c>
      <c r="U27" s="451">
        <f>'AX1'!AG29/'AX1'!$N29</f>
        <v>0.4243646831502445</v>
      </c>
      <c r="V27" s="451">
        <f>'AX1'!AH29/'AX1'!$N29</f>
        <v>0.39261532766043977</v>
      </c>
      <c r="W27" s="451">
        <f>'AX1'!AK29/'AX1'!$N29</f>
        <v>3.1749355489804731E-2</v>
      </c>
      <c r="X27" s="451">
        <f>'AX1'!AL29/'AX1'!$N29</f>
        <v>0</v>
      </c>
      <c r="Y27" s="451">
        <f>'AX1'!AM29/'AX1'!$N29</f>
        <v>0</v>
      </c>
      <c r="Z27" s="451">
        <f>'AX1'!AN29/'AX1'!$N29</f>
        <v>-6.7279809123388434E-2</v>
      </c>
      <c r="AA27" s="452">
        <f>'AX1'!EV29/'AX1'!$N29</f>
        <v>1.0865740040218432</v>
      </c>
      <c r="AB27" s="451">
        <f>'AX1'!EW29/'AX1'!$N29</f>
        <v>1.0807582342311874</v>
      </c>
      <c r="AC27" s="451">
        <f>'AX1'!EX29/'AX1'!$N29</f>
        <v>-5.8157697906558795E-3</v>
      </c>
      <c r="AD27" s="451"/>
      <c r="AE27" s="451"/>
      <c r="AF27" s="451"/>
      <c r="AG27" s="451"/>
      <c r="AH27" s="451"/>
      <c r="AI27" s="451"/>
      <c r="AJ27" s="468">
        <f>'AX1'!FR29</f>
        <v>5.13</v>
      </c>
    </row>
    <row r="28" spans="2:36" s="9" customFormat="1" ht="12.75">
      <c r="B28" s="462">
        <v>1981</v>
      </c>
      <c r="C28" s="451">
        <f>'AX1'!O30/'AX1'!$N30</f>
        <v>0.57638515394174628</v>
      </c>
      <c r="D28" s="451">
        <f>'AX1'!P30/'AX1'!$N30</f>
        <v>0.42492584648495713</v>
      </c>
      <c r="E28" s="451"/>
      <c r="F28" s="451">
        <f>'AX1'!Q30/'AX1'!$N30</f>
        <v>0.55295282410702629</v>
      </c>
      <c r="G28" s="451">
        <f>'AX1'!R30/'AX1'!$N30</f>
        <v>2.2121329408016515E-2</v>
      </c>
      <c r="H28" s="451">
        <f>'AX1'!S30/'AX1'!$N30</f>
        <v>0</v>
      </c>
      <c r="I28" s="452">
        <f>'AX1'!T30/'AX1'!$N30</f>
        <v>0</v>
      </c>
      <c r="J28" s="451">
        <f>'AX1'!U30/'AX1'!$N30</f>
        <v>0</v>
      </c>
      <c r="K28" s="451">
        <f>'AX1'!V30/'AX1'!$N30</f>
        <v>1.1514593074567889</v>
      </c>
      <c r="L28" s="453">
        <f>'AX1'!W30/'AX1'!$N30</f>
        <v>1</v>
      </c>
      <c r="M28" s="452">
        <f>'AX1'!X30/'AX1'!$N30</f>
        <v>0.79205099172293236</v>
      </c>
      <c r="N28" s="451">
        <f>'AX1'!Y30/'AX1'!$N30</f>
        <v>8.410277184957024E-2</v>
      </c>
      <c r="O28" s="451">
        <f>'AX1'!Z30/'AX1'!$N30</f>
        <v>0.70794821987336221</v>
      </c>
      <c r="P28" s="451">
        <f>'AX1'!AA30/'AX1'!$N30</f>
        <v>0.35940831573385662</v>
      </c>
      <c r="Q28" s="451">
        <f>'AX1'!AB30/'AX1'!$N30</f>
        <v>0.20794900827706761</v>
      </c>
      <c r="R28" s="802">
        <f t="shared" ref="R28:R63" si="2">Q28*(O28/(N28+O28))</f>
        <v>0.18586824809592453</v>
      </c>
      <c r="S28" s="803">
        <f t="shared" ref="S28:S63" si="3">Q28-R28</f>
        <v>2.2080760181143078E-2</v>
      </c>
      <c r="T28" s="451">
        <f>'AX1'!AF30/'AX1'!$N30</f>
        <v>0</v>
      </c>
      <c r="U28" s="451">
        <f>'AX1'!AG30/'AX1'!$N30</f>
        <v>0.41770377564170719</v>
      </c>
      <c r="V28" s="451">
        <f>'AX1'!AH30/'AX1'!$N30</f>
        <v>0.39047764697727749</v>
      </c>
      <c r="W28" s="451">
        <f>'AX1'!AK30/'AX1'!$N30</f>
        <v>2.7226128664429704E-2</v>
      </c>
      <c r="X28" s="451">
        <f>'AX1'!AL30/'AX1'!$N30</f>
        <v>0</v>
      </c>
      <c r="Y28" s="451">
        <f>'AX1'!AM30/'AX1'!$N30</f>
        <v>0</v>
      </c>
      <c r="Z28" s="451">
        <f>'AX1'!AN30/'AX1'!$N30</f>
        <v>-5.8295459907850594E-2</v>
      </c>
      <c r="AA28" s="452">
        <f>'AX1'!EV30/'AX1'!$N30</f>
        <v>1.104659017986817</v>
      </c>
      <c r="AB28" s="451">
        <f>'AX1'!EW30/'AX1'!$N30</f>
        <v>1.0869651337118562</v>
      </c>
      <c r="AC28" s="451">
        <f>'AX1'!EX30/'AX1'!$N30</f>
        <v>-1.769388427496069E-2</v>
      </c>
      <c r="AD28" s="451"/>
      <c r="AE28" s="451"/>
      <c r="AF28" s="451"/>
      <c r="AG28" s="451"/>
      <c r="AH28" s="451"/>
      <c r="AI28" s="451"/>
      <c r="AJ28" s="468">
        <f>'AX1'!FR30</f>
        <v>5.6749999999999998</v>
      </c>
    </row>
    <row r="29" spans="2:36" s="9" customFormat="1" ht="12.75">
      <c r="B29" s="462">
        <v>1982</v>
      </c>
      <c r="C29" s="451">
        <f>'AX1'!O31/'AX1'!$N31</f>
        <v>0.55821318679040888</v>
      </c>
      <c r="D29" s="451">
        <f>'AX1'!P31/'AX1'!$N31</f>
        <v>0.39627511348015826</v>
      </c>
      <c r="E29" s="451"/>
      <c r="F29" s="451">
        <f>'AX1'!Q31/'AX1'!$N31</f>
        <v>0.58267348919686845</v>
      </c>
      <c r="G29" s="451">
        <f>'AX1'!R31/'AX1'!$N31</f>
        <v>2.1051397322973474E-2</v>
      </c>
      <c r="H29" s="451">
        <f>'AX1'!S31/'AX1'!$N31</f>
        <v>0</v>
      </c>
      <c r="I29" s="452">
        <f>'AX1'!T31/'AX1'!$N31</f>
        <v>0</v>
      </c>
      <c r="J29" s="451">
        <f>'AX1'!U31/'AX1'!$N31</f>
        <v>0</v>
      </c>
      <c r="K29" s="451">
        <f>'AX1'!V31/'AX1'!$N31</f>
        <v>1.1619380733102507</v>
      </c>
      <c r="L29" s="453">
        <f>'AX1'!W31/'AX1'!$N31</f>
        <v>1</v>
      </c>
      <c r="M29" s="452">
        <f>'AX1'!X31/'AX1'!$N31</f>
        <v>0.83283228070730719</v>
      </c>
      <c r="N29" s="451">
        <f>'AX1'!Y31/'AX1'!$N31</f>
        <v>9.0656932814388108E-2</v>
      </c>
      <c r="O29" s="451">
        <f>'AX1'!Z31/'AX1'!$N31</f>
        <v>0.74217534789291917</v>
      </c>
      <c r="P29" s="451">
        <f>'AX1'!AA31/'AX1'!$N31</f>
        <v>0.32910579260294348</v>
      </c>
      <c r="Q29" s="451">
        <f>'AX1'!AB31/'AX1'!$N31</f>
        <v>0.16716771929269278</v>
      </c>
      <c r="R29" s="802">
        <f t="shared" si="2"/>
        <v>0.14897088296956013</v>
      </c>
      <c r="S29" s="803">
        <f t="shared" si="3"/>
        <v>1.8196836323132654E-2</v>
      </c>
      <c r="T29" s="451">
        <f>'AX1'!AF31/'AX1'!$N31</f>
        <v>0</v>
      </c>
      <c r="U29" s="451">
        <f>'AX1'!AG31/'AX1'!$N31</f>
        <v>0.37846324829071115</v>
      </c>
      <c r="V29" s="451">
        <f>'AX1'!AH31/'AX1'!$N31</f>
        <v>0.36971974951167863</v>
      </c>
      <c r="W29" s="451">
        <f>'AX1'!AK31/'AX1'!$N31</f>
        <v>8.7434987790325509E-3</v>
      </c>
      <c r="X29" s="451">
        <f>'AX1'!AL31/'AX1'!$N31</f>
        <v>0</v>
      </c>
      <c r="Y29" s="451">
        <f>'AX1'!AM31/'AX1'!$N31</f>
        <v>0</v>
      </c>
      <c r="Z29" s="451">
        <f>'AX1'!AN31/'AX1'!$N31</f>
        <v>-4.9357455687767685E-2</v>
      </c>
      <c r="AA29" s="452">
        <f>'AX1'!EV31/'AX1'!$N31</f>
        <v>1.0403454826632772</v>
      </c>
      <c r="AB29" s="451">
        <f>'AX1'!EW31/'AX1'!$N31</f>
        <v>1.0477304050105001</v>
      </c>
      <c r="AC29" s="451">
        <f>'AX1'!EX31/'AX1'!$N31</f>
        <v>7.384922347222803E-3</v>
      </c>
      <c r="AD29" s="451"/>
      <c r="AE29" s="451"/>
      <c r="AF29" s="451"/>
      <c r="AG29" s="451"/>
      <c r="AH29" s="451"/>
      <c r="AI29" s="451"/>
      <c r="AJ29" s="468">
        <f>'AX1'!FR31</f>
        <v>6.4950000000000001</v>
      </c>
    </row>
    <row r="30" spans="2:36" s="9" customFormat="1" ht="12.75">
      <c r="B30" s="462">
        <v>1983</v>
      </c>
      <c r="C30" s="451">
        <f>'AX1'!O32/'AX1'!$N32</f>
        <v>0.54420687572183712</v>
      </c>
      <c r="D30" s="451">
        <f>'AX1'!P32/'AX1'!$N32</f>
        <v>0.37865811302049218</v>
      </c>
      <c r="E30" s="451"/>
      <c r="F30" s="451">
        <f>'AX1'!Q32/'AX1'!$N32</f>
        <v>0.5982694017800827</v>
      </c>
      <c r="G30" s="451">
        <f>'AX1'!R32/'AX1'!$N32</f>
        <v>2.3072485199424994E-2</v>
      </c>
      <c r="H30" s="451">
        <f>'AX1'!S32/'AX1'!$N32</f>
        <v>0</v>
      </c>
      <c r="I30" s="452">
        <f>'AX1'!T32/'AX1'!$N32</f>
        <v>0</v>
      </c>
      <c r="J30" s="451">
        <f>'AX1'!U32/'AX1'!$N32</f>
        <v>0</v>
      </c>
      <c r="K30" s="451">
        <f>'AX1'!V32/'AX1'!$N32</f>
        <v>1.1655487627013448</v>
      </c>
      <c r="L30" s="453">
        <f>'AX1'!W32/'AX1'!$N32</f>
        <v>1</v>
      </c>
      <c r="M30" s="452">
        <f>'AX1'!X32/'AX1'!$N32</f>
        <v>0.87670343585308397</v>
      </c>
      <c r="N30" s="451">
        <f>'AX1'!Y32/'AX1'!$N32</f>
        <v>9.2635554889239455E-2</v>
      </c>
      <c r="O30" s="451">
        <f>'AX1'!Z32/'AX1'!$N32</f>
        <v>0.78406788096384461</v>
      </c>
      <c r="P30" s="451">
        <f>'AX1'!AA32/'AX1'!$N32</f>
        <v>0.28884532684826086</v>
      </c>
      <c r="Q30" s="451">
        <f>'AX1'!AB32/'AX1'!$N32</f>
        <v>0.12329656414691602</v>
      </c>
      <c r="R30" s="802">
        <f t="shared" si="2"/>
        <v>0.11026861744499357</v>
      </c>
      <c r="S30" s="803">
        <f t="shared" si="3"/>
        <v>1.3027946701922449E-2</v>
      </c>
      <c r="T30" s="451">
        <f>'AX1'!AF32/'AX1'!$N32</f>
        <v>0</v>
      </c>
      <c r="U30" s="451">
        <f>'AX1'!AG32/'AX1'!$N32</f>
        <v>0.32860217524006174</v>
      </c>
      <c r="V30" s="451">
        <f>'AX1'!AH32/'AX1'!$N32</f>
        <v>0.30405398001996392</v>
      </c>
      <c r="W30" s="451">
        <f>'AX1'!AK32/'AX1'!$N32</f>
        <v>2.4548195220097799E-2</v>
      </c>
      <c r="X30" s="451">
        <f>'AX1'!AL32/'AX1'!$N32</f>
        <v>0</v>
      </c>
      <c r="Y30" s="451">
        <f>'AX1'!AM32/'AX1'!$N32</f>
        <v>0</v>
      </c>
      <c r="Z30" s="451">
        <f>'AX1'!AN32/'AX1'!$N32</f>
        <v>-3.9756848391800902E-2</v>
      </c>
      <c r="AA30" s="452">
        <f>'AX1'!EV32/'AX1'!$N32</f>
        <v>1.1568896973049279</v>
      </c>
      <c r="AB30" s="451">
        <f>'AX1'!EW32/'AX1'!$N32</f>
        <v>1.1796403000360511</v>
      </c>
      <c r="AC30" s="451">
        <f>'AX1'!EX32/'AX1'!$N32</f>
        <v>2.2750602731123212E-2</v>
      </c>
      <c r="AD30" s="451"/>
      <c r="AE30" s="451"/>
      <c r="AF30" s="451"/>
      <c r="AG30" s="451"/>
      <c r="AH30" s="451"/>
      <c r="AI30" s="451"/>
      <c r="AJ30" s="468">
        <f>'AX1'!FR32</f>
        <v>7.78</v>
      </c>
    </row>
    <row r="31" spans="2:36" s="9" customFormat="1" ht="12.75">
      <c r="B31" s="462">
        <v>1984</v>
      </c>
      <c r="C31" s="451">
        <f>'AX1'!O33/'AX1'!$N33</f>
        <v>0.54923650226520981</v>
      </c>
      <c r="D31" s="451">
        <f>'AX1'!P33/'AX1'!$N33</f>
        <v>0.38522887265820877</v>
      </c>
      <c r="E31" s="451"/>
      <c r="F31" s="451">
        <f>'AX1'!Q33/'AX1'!$N33</f>
        <v>0.59166378727492897</v>
      </c>
      <c r="G31" s="451">
        <f>'AX1'!R33/'AX1'!$N33</f>
        <v>2.3107340066862197E-2</v>
      </c>
      <c r="H31" s="451">
        <f>'AX1'!S33/'AX1'!$N33</f>
        <v>0</v>
      </c>
      <c r="I31" s="452">
        <f>'AX1'!T33/'AX1'!$N33</f>
        <v>0</v>
      </c>
      <c r="J31" s="451">
        <f>'AX1'!U33/'AX1'!$N33</f>
        <v>0</v>
      </c>
      <c r="K31" s="451">
        <f>'AX1'!V33/'AX1'!$N33</f>
        <v>1.164007629607001</v>
      </c>
      <c r="L31" s="453">
        <f>'AX1'!W33/'AX1'!$N33</f>
        <v>1</v>
      </c>
      <c r="M31" s="452">
        <f>'AX1'!X33/'AX1'!$N33</f>
        <v>0.83772157719434981</v>
      </c>
      <c r="N31" s="451">
        <f>'AX1'!Y33/'AX1'!$N33</f>
        <v>8.5868009734932305E-2</v>
      </c>
      <c r="O31" s="451">
        <f>'AX1'!Z33/'AX1'!$N33</f>
        <v>0.75185356745941756</v>
      </c>
      <c r="P31" s="451">
        <f>'AX1'!AA33/'AX1'!$N33</f>
        <v>0.3262860524126513</v>
      </c>
      <c r="Q31" s="451">
        <f>'AX1'!AB33/'AX1'!$N33</f>
        <v>0.16227842280565022</v>
      </c>
      <c r="R31" s="802">
        <f t="shared" si="2"/>
        <v>0.14564458458470603</v>
      </c>
      <c r="S31" s="803">
        <f t="shared" si="3"/>
        <v>1.6633838220944192E-2</v>
      </c>
      <c r="T31" s="451">
        <f>'AX1'!AF33/'AX1'!$N33</f>
        <v>0</v>
      </c>
      <c r="U31" s="451">
        <f>'AX1'!AG33/'AX1'!$N33</f>
        <v>0.30472259315320482</v>
      </c>
      <c r="V31" s="451">
        <f>'AX1'!AH33/'AX1'!$N33</f>
        <v>0.2770811630488163</v>
      </c>
      <c r="W31" s="451">
        <f>'AX1'!AK33/'AX1'!$N33</f>
        <v>2.7641430104388534E-2</v>
      </c>
      <c r="X31" s="451">
        <f>'AX1'!AL33/'AX1'!$N33</f>
        <v>0</v>
      </c>
      <c r="Y31" s="451">
        <f>'AX1'!AM33/'AX1'!$N33</f>
        <v>0</v>
      </c>
      <c r="Z31" s="451">
        <f>'AX1'!AN33/'AX1'!$N33</f>
        <v>2.1563459259446444E-2</v>
      </c>
      <c r="AA31" s="452">
        <f>'AX1'!EV33/'AX1'!$N33</f>
        <v>1.2274690759762528</v>
      </c>
      <c r="AB31" s="451">
        <f>'AX1'!EW33/'AX1'!$N33</f>
        <v>1.3281842919209694</v>
      </c>
      <c r="AC31" s="451">
        <f>'AX1'!EX33/'AX1'!$N33</f>
        <v>0.10071521594471676</v>
      </c>
      <c r="AD31" s="451"/>
      <c r="AE31" s="451"/>
      <c r="AF31" s="451"/>
      <c r="AG31" s="451"/>
      <c r="AH31" s="451"/>
      <c r="AI31" s="451"/>
      <c r="AJ31" s="468">
        <f>'AX1'!FR33</f>
        <v>7.8230000000000004</v>
      </c>
    </row>
    <row r="32" spans="2:36" s="9" customFormat="1" ht="12.75">
      <c r="B32" s="462">
        <v>1985</v>
      </c>
      <c r="C32" s="451">
        <f>'AX1'!O34/'AX1'!$N34</f>
        <v>0.53050898861897977</v>
      </c>
      <c r="D32" s="451">
        <f>'AX1'!P34/'AX1'!$N34</f>
        <v>0.35279906331797933</v>
      </c>
      <c r="E32" s="451"/>
      <c r="F32" s="451">
        <f>'AX1'!Q34/'AX1'!$N34</f>
        <v>0.62495994509175123</v>
      </c>
      <c r="G32" s="451">
        <f>'AX1'!R34/'AX1'!$N34</f>
        <v>2.2240991590269439E-2</v>
      </c>
      <c r="H32" s="451">
        <f>'AX1'!S34/'AX1'!$N34</f>
        <v>0</v>
      </c>
      <c r="I32" s="452">
        <f>'AX1'!T34/'AX1'!$N34</f>
        <v>0</v>
      </c>
      <c r="J32" s="451">
        <f>'AX1'!U34/'AX1'!$N34</f>
        <v>0</v>
      </c>
      <c r="K32" s="451">
        <f>'AX1'!V34/'AX1'!$N34</f>
        <v>1.1777099253010006</v>
      </c>
      <c r="L32" s="453">
        <f>'AX1'!W34/'AX1'!$N34</f>
        <v>1</v>
      </c>
      <c r="M32" s="452">
        <f>'AX1'!X34/'AX1'!$N34</f>
        <v>0.85886356042929979</v>
      </c>
      <c r="N32" s="451">
        <f>'AX1'!Y34/'AX1'!$N34</f>
        <v>8.968802769427138E-2</v>
      </c>
      <c r="O32" s="451">
        <f>'AX1'!Z34/'AX1'!$N34</f>
        <v>0.76917553273502837</v>
      </c>
      <c r="P32" s="451">
        <f>'AX1'!AA34/'AX1'!$N34</f>
        <v>0.31884636487170076</v>
      </c>
      <c r="Q32" s="451">
        <f>'AX1'!AB34/'AX1'!$N34</f>
        <v>0.14113643957070027</v>
      </c>
      <c r="R32" s="802">
        <f t="shared" si="2"/>
        <v>0.12639806960823421</v>
      </c>
      <c r="S32" s="803">
        <f t="shared" si="3"/>
        <v>1.4738369962466052E-2</v>
      </c>
      <c r="T32" s="451">
        <f>'AX1'!AF34/'AX1'!$N34</f>
        <v>0</v>
      </c>
      <c r="U32" s="451">
        <f>'AX1'!AG34/'AX1'!$N34</f>
        <v>0.27153889322373753</v>
      </c>
      <c r="V32" s="451">
        <f>'AX1'!AH34/'AX1'!$N34</f>
        <v>0.26486825818334031</v>
      </c>
      <c r="W32" s="451">
        <f>'AX1'!AK34/'AX1'!$N34</f>
        <v>6.6706350403971772E-3</v>
      </c>
      <c r="X32" s="451">
        <f>'AX1'!AL34/'AX1'!$N34</f>
        <v>0</v>
      </c>
      <c r="Y32" s="451">
        <f>'AX1'!AM34/'AX1'!$N34</f>
        <v>0</v>
      </c>
      <c r="Z32" s="451">
        <f>'AX1'!AN34/'AX1'!$N34</f>
        <v>4.7307471647963256E-2</v>
      </c>
      <c r="AA32" s="452">
        <f>'AX1'!EV34/'AX1'!$N34</f>
        <v>1.2241137506773234</v>
      </c>
      <c r="AB32" s="451">
        <f>'AX1'!EW34/'AX1'!$N34</f>
        <v>1.3519093136057767</v>
      </c>
      <c r="AC32" s="451">
        <f>'AX1'!EX34/'AX1'!$N34</f>
        <v>0.12779556292845334</v>
      </c>
      <c r="AD32" s="451"/>
      <c r="AE32" s="451"/>
      <c r="AF32" s="451"/>
      <c r="AG32" s="451"/>
      <c r="AH32" s="451"/>
      <c r="AI32" s="451"/>
      <c r="AJ32" s="468">
        <f>'AX1'!FR34</f>
        <v>7.8109999999999999</v>
      </c>
    </row>
    <row r="33" spans="2:37" s="9" customFormat="1" ht="12.75">
      <c r="B33" s="462">
        <v>1986</v>
      </c>
      <c r="C33" s="451">
        <f>'AX1'!O35/'AX1'!$N35</f>
        <v>0.54552704068716151</v>
      </c>
      <c r="D33" s="451">
        <f>'AX1'!P35/'AX1'!$N35</f>
        <v>0.37513710049477161</v>
      </c>
      <c r="E33" s="451"/>
      <c r="F33" s="451">
        <f>'AX1'!Q35/'AX1'!$N35</f>
        <v>0.6024748738546879</v>
      </c>
      <c r="G33" s="451">
        <f>'AX1'!R35/'AX1'!$N35</f>
        <v>2.2388025650540298E-2</v>
      </c>
      <c r="H33" s="451">
        <f>'AX1'!S35/'AX1'!$N35</f>
        <v>0</v>
      </c>
      <c r="I33" s="452">
        <f>'AX1'!T35/'AX1'!$N35</f>
        <v>0</v>
      </c>
      <c r="J33" s="451">
        <f>'AX1'!U35/'AX1'!$N35</f>
        <v>0</v>
      </c>
      <c r="K33" s="451">
        <f>'AX1'!V35/'AX1'!$N35</f>
        <v>1.1703899401923898</v>
      </c>
      <c r="L33" s="453">
        <f>'AX1'!W35/'AX1'!$N35</f>
        <v>1</v>
      </c>
      <c r="M33" s="452">
        <f>'AX1'!X35/'AX1'!$N35</f>
        <v>0.83052479083911868</v>
      </c>
      <c r="N33" s="451">
        <f>'AX1'!Y35/'AX1'!$N35</f>
        <v>8.8246108105355645E-2</v>
      </c>
      <c r="O33" s="451">
        <f>'AX1'!Z35/'AX1'!$N35</f>
        <v>0.74227868273376307</v>
      </c>
      <c r="P33" s="451">
        <f>'AX1'!AA35/'AX1'!$N35</f>
        <v>0.33986514935327117</v>
      </c>
      <c r="Q33" s="451">
        <f>'AX1'!AB35/'AX1'!$N35</f>
        <v>0.16947520916088132</v>
      </c>
      <c r="R33" s="802">
        <f t="shared" si="2"/>
        <v>0.15146788681030032</v>
      </c>
      <c r="S33" s="803">
        <f t="shared" si="3"/>
        <v>1.8007322350581001E-2</v>
      </c>
      <c r="T33" s="451">
        <f>'AX1'!AF35/'AX1'!$N35</f>
        <v>0</v>
      </c>
      <c r="U33" s="451">
        <f>'AX1'!AG35/'AX1'!$N35</f>
        <v>0.29015017473488364</v>
      </c>
      <c r="V33" s="451">
        <f>'AX1'!AH35/'AX1'!$N35</f>
        <v>0.26626427155161464</v>
      </c>
      <c r="W33" s="451">
        <f>'AX1'!AK35/'AX1'!$N35</f>
        <v>2.3885903183269008E-2</v>
      </c>
      <c r="X33" s="451">
        <f>'AX1'!AL35/'AX1'!$N35</f>
        <v>0</v>
      </c>
      <c r="Y33" s="451">
        <f>'AX1'!AM35/'AX1'!$N35</f>
        <v>0</v>
      </c>
      <c r="Z33" s="451">
        <f>'AX1'!AN35/'AX1'!$N35</f>
        <v>4.9714974618387552E-2</v>
      </c>
      <c r="AA33" s="452">
        <f>'AX1'!EV35/'AX1'!$N35</f>
        <v>1.238315839540832</v>
      </c>
      <c r="AB33" s="451">
        <f>'AX1'!EW35/'AX1'!$N35</f>
        <v>1.3521515033126883</v>
      </c>
      <c r="AC33" s="451">
        <f>'AX1'!EX35/'AX1'!$N35</f>
        <v>0.1138356637718563</v>
      </c>
      <c r="AD33" s="451"/>
      <c r="AE33" s="451"/>
      <c r="AF33" s="451"/>
      <c r="AG33" s="451"/>
      <c r="AH33" s="451"/>
      <c r="AI33" s="451"/>
      <c r="AJ33" s="468">
        <f>'AX1'!FR35</f>
        <v>7.7949999999999999</v>
      </c>
    </row>
    <row r="34" spans="2:37" s="9" customFormat="1" ht="12.75">
      <c r="B34" s="462">
        <v>1987</v>
      </c>
      <c r="C34" s="451">
        <f>'AX1'!O36/'AX1'!$N36</f>
        <v>0.56910104820278851</v>
      </c>
      <c r="D34" s="451">
        <f>'AX1'!P36/'AX1'!$N36</f>
        <v>0.40821632750615228</v>
      </c>
      <c r="E34" s="451"/>
      <c r="F34" s="451">
        <f>'AX1'!Q36/'AX1'!$N36</f>
        <v>0.56975836838338956</v>
      </c>
      <c r="G34" s="451">
        <f>'AX1'!R36/'AX1'!$N36</f>
        <v>2.2025304110458267E-2</v>
      </c>
      <c r="H34" s="451">
        <f>'AX1'!S36/'AX1'!$N36</f>
        <v>0</v>
      </c>
      <c r="I34" s="452">
        <f>'AX1'!T36/'AX1'!$N36</f>
        <v>0</v>
      </c>
      <c r="J34" s="451">
        <f>'AX1'!U36/'AX1'!$N36</f>
        <v>0</v>
      </c>
      <c r="K34" s="451">
        <f>'AX1'!V36/'AX1'!$N36</f>
        <v>1.1608847206966364</v>
      </c>
      <c r="L34" s="453">
        <f>'AX1'!W36/'AX1'!$N36</f>
        <v>1</v>
      </c>
      <c r="M34" s="452">
        <f>'AX1'!X36/'AX1'!$N36</f>
        <v>0.77079090485609891</v>
      </c>
      <c r="N34" s="451">
        <f>'AX1'!Y36/'AX1'!$N36</f>
        <v>7.9248610726277868E-2</v>
      </c>
      <c r="O34" s="451">
        <f>'AX1'!Z36/'AX1'!$N36</f>
        <v>0.69154229412982104</v>
      </c>
      <c r="P34" s="451">
        <f>'AX1'!AA36/'AX1'!$N36</f>
        <v>0.39009381584053737</v>
      </c>
      <c r="Q34" s="451">
        <f>'AX1'!AB36/'AX1'!$N36</f>
        <v>0.22920909514390106</v>
      </c>
      <c r="R34" s="802">
        <f t="shared" si="2"/>
        <v>0.20564303819960877</v>
      </c>
      <c r="S34" s="803">
        <f t="shared" si="3"/>
        <v>2.3566056944292285E-2</v>
      </c>
      <c r="T34" s="451">
        <f>'AX1'!AF36/'AX1'!$N36</f>
        <v>0</v>
      </c>
      <c r="U34" s="451">
        <f>'AX1'!AG36/'AX1'!$N36</f>
        <v>0.31767357559285614</v>
      </c>
      <c r="V34" s="451">
        <f>'AX1'!AH36/'AX1'!$N36</f>
        <v>0.2875879975257673</v>
      </c>
      <c r="W34" s="451">
        <f>'AX1'!AK36/'AX1'!$N36</f>
        <v>3.0085578067088815E-2</v>
      </c>
      <c r="X34" s="451">
        <f>'AX1'!AL36/'AX1'!$N36</f>
        <v>0</v>
      </c>
      <c r="Y34" s="451">
        <f>'AX1'!AM36/'AX1'!$N36</f>
        <v>0</v>
      </c>
      <c r="Z34" s="451">
        <f>'AX1'!AN36/'AX1'!$N36</f>
        <v>7.2420240247681275E-2</v>
      </c>
      <c r="AA34" s="452">
        <f>'AX1'!EV36/'AX1'!$N36</f>
        <v>1.3304271092253306</v>
      </c>
      <c r="AB34" s="451">
        <f>'AX1'!EW36/'AX1'!$N36</f>
        <v>1.4581534459895278</v>
      </c>
      <c r="AC34" s="451">
        <f>'AX1'!EX36/'AX1'!$N36</f>
        <v>0.1277263367641972</v>
      </c>
      <c r="AD34" s="451"/>
      <c r="AE34" s="451"/>
      <c r="AF34" s="451"/>
      <c r="AG34" s="451"/>
      <c r="AH34" s="451"/>
      <c r="AI34" s="451"/>
      <c r="AJ34" s="468">
        <f>'AX1'!FR36</f>
        <v>7.76</v>
      </c>
    </row>
    <row r="35" spans="2:37" s="9" customFormat="1" ht="12.75">
      <c r="B35" s="462">
        <v>1988</v>
      </c>
      <c r="C35" s="451">
        <f>'AX1'!O37/'AX1'!$N37</f>
        <v>0.57679512602214356</v>
      </c>
      <c r="D35" s="451">
        <f>'AX1'!P37/'AX1'!$N37</f>
        <v>0.418703361715065</v>
      </c>
      <c r="E35" s="451"/>
      <c r="F35" s="451">
        <f>'AX1'!Q37/'AX1'!$N37</f>
        <v>0.55944836675119858</v>
      </c>
      <c r="G35" s="451">
        <f>'AX1'!R37/'AX1'!$N37</f>
        <v>2.1848271533736429E-2</v>
      </c>
      <c r="H35" s="451">
        <f>'AX1'!S37/'AX1'!$N37</f>
        <v>0</v>
      </c>
      <c r="I35" s="452">
        <f>'AX1'!T37/'AX1'!$N37</f>
        <v>0</v>
      </c>
      <c r="J35" s="451">
        <f>'AX1'!U37/'AX1'!$N37</f>
        <v>0</v>
      </c>
      <c r="K35" s="451">
        <f>'AX1'!V37/'AX1'!$N37</f>
        <v>1.1580917643070785</v>
      </c>
      <c r="L35" s="453">
        <f>'AX1'!W37/'AX1'!$N37</f>
        <v>1</v>
      </c>
      <c r="M35" s="452">
        <f>'AX1'!X37/'AX1'!$N37</f>
        <v>0.75262147986525896</v>
      </c>
      <c r="N35" s="451">
        <f>'AX1'!Y37/'AX1'!$N37</f>
        <v>7.7257376564056013E-2</v>
      </c>
      <c r="O35" s="451">
        <f>'AX1'!Z37/'AX1'!$N37</f>
        <v>0.67536410330120289</v>
      </c>
      <c r="P35" s="451">
        <f>'AX1'!AA37/'AX1'!$N37</f>
        <v>0.40547028444181965</v>
      </c>
      <c r="Q35" s="451">
        <f>'AX1'!AB37/'AX1'!$N37</f>
        <v>0.24737852013474107</v>
      </c>
      <c r="R35" s="802">
        <f t="shared" si="2"/>
        <v>0.22198485812109492</v>
      </c>
      <c r="S35" s="803">
        <f t="shared" si="3"/>
        <v>2.5393662013646151E-2</v>
      </c>
      <c r="T35" s="451">
        <f>'AX1'!AF37/'AX1'!$N37</f>
        <v>0</v>
      </c>
      <c r="U35" s="451">
        <f>'AX1'!AG37/'AX1'!$N37</f>
        <v>0.34094593908183846</v>
      </c>
      <c r="V35" s="451">
        <f>'AX1'!AH37/'AX1'!$N37</f>
        <v>0.3044832851859951</v>
      </c>
      <c r="W35" s="451">
        <f>'AX1'!AK37/'AX1'!$N37</f>
        <v>3.6462653895843425E-2</v>
      </c>
      <c r="X35" s="451">
        <f>'AX1'!AL37/'AX1'!$N37</f>
        <v>0</v>
      </c>
      <c r="Y35" s="451">
        <f>'AX1'!AM37/'AX1'!$N37</f>
        <v>0</v>
      </c>
      <c r="Z35" s="451">
        <f>'AX1'!AN37/'AX1'!$N37</f>
        <v>6.4524345359981153E-2</v>
      </c>
      <c r="AA35" s="452">
        <f>'AX1'!EV37/'AX1'!$N37</f>
        <v>1.4510650085201497</v>
      </c>
      <c r="AB35" s="451">
        <f>'AX1'!EW37/'AX1'!$N37</f>
        <v>1.5593744682738802</v>
      </c>
      <c r="AC35" s="451">
        <f>'AX1'!EX37/'AX1'!$N37</f>
        <v>0.10830945975373037</v>
      </c>
      <c r="AD35" s="451"/>
      <c r="AE35" s="451"/>
      <c r="AF35" s="451"/>
      <c r="AG35" s="451"/>
      <c r="AH35" s="451"/>
      <c r="AI35" s="451"/>
      <c r="AJ35" s="468">
        <f>'AX1'!FR37</f>
        <v>7.8079999999999998</v>
      </c>
    </row>
    <row r="36" spans="2:37" s="9" customFormat="1" ht="12.75">
      <c r="B36" s="462">
        <v>1989</v>
      </c>
      <c r="C36" s="451">
        <f>'AX1'!O38/'AX1'!$N38</f>
        <v>0.57024023282490399</v>
      </c>
      <c r="D36" s="451">
        <f>'AX1'!P38/'AX1'!$N38</f>
        <v>0.40163715115447307</v>
      </c>
      <c r="E36" s="567">
        <f>'A1.1'!E28/'AX6'!B14</f>
        <v>0.29402216520408669</v>
      </c>
      <c r="F36" s="451">
        <f>'AX1'!Q38/'AX1'!$N38</f>
        <v>0.57696770903399475</v>
      </c>
      <c r="G36" s="451">
        <f>'AX1'!R38/'AX1'!$N38</f>
        <v>2.1395139811532241E-2</v>
      </c>
      <c r="H36" s="451">
        <f>'AX1'!S38/'AX1'!$N38</f>
        <v>0</v>
      </c>
      <c r="I36" s="452">
        <f>'AX1'!T38/'AX1'!$N38</f>
        <v>0</v>
      </c>
      <c r="J36" s="451">
        <f>'AX1'!U38/'AX1'!$N38</f>
        <v>0</v>
      </c>
      <c r="K36" s="451">
        <f>'AX1'!V38/'AX1'!$N38</f>
        <v>1.1686030816704309</v>
      </c>
      <c r="L36" s="453">
        <f>'AX1'!W38/'AX1'!$N38</f>
        <v>1</v>
      </c>
      <c r="M36" s="452">
        <f>'AX1'!X38/'AX1'!$N38</f>
        <v>0.76039462293939553</v>
      </c>
      <c r="N36" s="451">
        <f>'AX1'!Y38/'AX1'!$N38</f>
        <v>8.2645280756051626E-2</v>
      </c>
      <c r="O36" s="451">
        <f>'AX1'!Z38/'AX1'!$N38</f>
        <v>0.67774934218334393</v>
      </c>
      <c r="P36" s="451">
        <f>'AX1'!AA38/'AX1'!$N38</f>
        <v>0.4082084587310354</v>
      </c>
      <c r="Q36" s="451">
        <f>'AX1'!AB38/'AX1'!$N38</f>
        <v>0.23960537706060445</v>
      </c>
      <c r="R36" s="802">
        <f t="shared" si="2"/>
        <v>0.21356330224781145</v>
      </c>
      <c r="S36" s="803">
        <f t="shared" si="3"/>
        <v>2.6042074812792998E-2</v>
      </c>
      <c r="T36" s="451">
        <f>'AX1'!AF38/'AX1'!$N38</f>
        <v>0</v>
      </c>
      <c r="U36" s="451">
        <f>'AX1'!AG38/'AX1'!$N38</f>
        <v>0.32519300170086074</v>
      </c>
      <c r="V36" s="451">
        <f>'AX1'!AH38/'AX1'!$N38</f>
        <v>0.31727991258179949</v>
      </c>
      <c r="W36" s="451">
        <f>'AX1'!AK38/'AX1'!$N38</f>
        <v>7.9130891190612365E-3</v>
      </c>
      <c r="X36" s="451">
        <f>'AX1'!AL38/'AX1'!$N38</f>
        <v>0</v>
      </c>
      <c r="Y36" s="451">
        <f>'AX1'!AM38/'AX1'!$N38</f>
        <v>0</v>
      </c>
      <c r="Z36" s="451">
        <f>'AX1'!AN38/'AX1'!$N38</f>
        <v>8.3015457030174655E-2</v>
      </c>
      <c r="AA36" s="452">
        <f>'AX1'!EV38/'AX1'!$N38</f>
        <v>1.4527956334540764</v>
      </c>
      <c r="AB36" s="451">
        <f>'AX1'!EW38/'AX1'!$N38</f>
        <v>1.5943126520280588</v>
      </c>
      <c r="AC36" s="451">
        <f>'AX1'!EX38/'AX1'!$N38</f>
        <v>0.14151701857398227</v>
      </c>
      <c r="AD36" s="451"/>
      <c r="AE36" s="451"/>
      <c r="AF36" s="451"/>
      <c r="AG36" s="451"/>
      <c r="AH36" s="451"/>
      <c r="AI36" s="451"/>
      <c r="AJ36" s="468">
        <f>'AX1'!FR38</f>
        <v>7.8070000000000004</v>
      </c>
    </row>
    <row r="37" spans="2:37" s="9" customFormat="1" ht="12.75">
      <c r="B37" s="462">
        <v>1990</v>
      </c>
      <c r="C37" s="451">
        <f>'AX1'!O39/'AX1'!$N39</f>
        <v>0.55801966088455279</v>
      </c>
      <c r="D37" s="451">
        <f>'AX1'!P39/'AX1'!$N39</f>
        <v>0.38577613069269162</v>
      </c>
      <c r="E37" s="567">
        <f>'A1.1'!E29/'AX6'!B15</f>
        <v>0.26251603401252543</v>
      </c>
      <c r="F37" s="451">
        <f>'AX1'!Q39/'AX1'!$N39</f>
        <v>0.59308367400415507</v>
      </c>
      <c r="G37" s="451">
        <f>'AX1'!R39/'AX1'!$N39</f>
        <v>2.1140195303153347E-2</v>
      </c>
      <c r="H37" s="451">
        <f>'AX1'!S39/'AX1'!$N39</f>
        <v>0</v>
      </c>
      <c r="I37" s="452">
        <f>'AX1'!T39/'AX1'!$N39</f>
        <v>0</v>
      </c>
      <c r="J37" s="451">
        <f>'AX1'!U39/'AX1'!$N39</f>
        <v>0</v>
      </c>
      <c r="K37" s="451">
        <f>'AX1'!V39/'AX1'!$N39</f>
        <v>1.1722435301918612</v>
      </c>
      <c r="L37" s="453">
        <f>'AX1'!W39/'AX1'!$N39</f>
        <v>1</v>
      </c>
      <c r="M37" s="452">
        <f>'AX1'!X39/'AX1'!$N39</f>
        <v>0.785731153930597</v>
      </c>
      <c r="N37" s="451">
        <f>'AX1'!Y39/'AX1'!$N39</f>
        <v>8.797413948732026E-2</v>
      </c>
      <c r="O37" s="451">
        <f>'AX1'!Z39/'AX1'!$N39</f>
        <v>0.69775701444327665</v>
      </c>
      <c r="P37" s="451">
        <f>'AX1'!AA39/'AX1'!$N39</f>
        <v>0.38651237626126422</v>
      </c>
      <c r="Q37" s="451">
        <f>'AX1'!AB39/'AX1'!$N39</f>
        <v>0.214268846069403</v>
      </c>
      <c r="R37" s="802">
        <f t="shared" si="2"/>
        <v>0.19027830266584866</v>
      </c>
      <c r="S37" s="803">
        <f t="shared" si="3"/>
        <v>2.3990543403554332E-2</v>
      </c>
      <c r="T37" s="451">
        <f>'AX1'!AF39/'AX1'!$N39</f>
        <v>0</v>
      </c>
      <c r="U37" s="451">
        <f>'AX1'!AG39/'AX1'!$N39</f>
        <v>0.33202840373345477</v>
      </c>
      <c r="V37" s="451">
        <f>'AX1'!AH39/'AX1'!$N39</f>
        <v>0.32034773172809161</v>
      </c>
      <c r="W37" s="451">
        <f>'AX1'!AK39/'AX1'!$N39</f>
        <v>1.1680672005363121E-2</v>
      </c>
      <c r="X37" s="451">
        <f>'AX1'!AL39/'AX1'!$N39</f>
        <v>0</v>
      </c>
      <c r="Y37" s="451">
        <f>'AX1'!AM39/'AX1'!$N39</f>
        <v>0</v>
      </c>
      <c r="Z37" s="451">
        <f>'AX1'!AN39/'AX1'!$N39</f>
        <v>5.4483972527809434E-2</v>
      </c>
      <c r="AA37" s="452">
        <f>'AX1'!EV39/'AX1'!$N39</f>
        <v>1.4899056046170436</v>
      </c>
      <c r="AB37" s="451">
        <f>'AX1'!EW39/'AX1'!$N39</f>
        <v>1.5954456150286302</v>
      </c>
      <c r="AC37" s="451">
        <f>'AX1'!EX39/'AX1'!$N39</f>
        <v>0.10554001041158666</v>
      </c>
      <c r="AD37" s="451"/>
      <c r="AE37" s="451"/>
      <c r="AF37" s="451"/>
      <c r="AG37" s="451"/>
      <c r="AH37" s="451"/>
      <c r="AI37" s="451"/>
      <c r="AJ37" s="468">
        <f>'AX1'!FR39</f>
        <v>7.8010000000000002</v>
      </c>
    </row>
    <row r="38" spans="2:37" s="9" customFormat="1" ht="12.75">
      <c r="B38" s="462">
        <v>1991</v>
      </c>
      <c r="C38" s="451">
        <f>'AX1'!O40/'AX1'!$N40</f>
        <v>0.56594119816678967</v>
      </c>
      <c r="D38" s="451">
        <f>'AX1'!P40/'AX1'!$N40</f>
        <v>0.38868043802710783</v>
      </c>
      <c r="E38" s="567">
        <f>'A1.1'!E30/'AX6'!B16</f>
        <v>0.27593401371537507</v>
      </c>
      <c r="F38" s="451">
        <f>'AX1'!Q40/'AX1'!$N40</f>
        <v>0.59102218043631571</v>
      </c>
      <c r="G38" s="451">
        <f>'AX1'!R40/'AX1'!$N40</f>
        <v>2.0297381536576422E-2</v>
      </c>
      <c r="H38" s="451">
        <f>'AX1'!S40/'AX1'!$N40</f>
        <v>0</v>
      </c>
      <c r="I38" s="452">
        <f>'AX1'!T40/'AX1'!$N40</f>
        <v>0</v>
      </c>
      <c r="J38" s="451">
        <f>'AX1'!U40/'AX1'!$N40</f>
        <v>0</v>
      </c>
      <c r="K38" s="451">
        <f>'AX1'!V40/'AX1'!$N40</f>
        <v>1.1772607601396818</v>
      </c>
      <c r="L38" s="453">
        <f>'AX1'!W40/'AX1'!$N40</f>
        <v>1</v>
      </c>
      <c r="M38" s="452">
        <f>'AX1'!X40/'AX1'!$N40</f>
        <v>0.82694149226392755</v>
      </c>
      <c r="N38" s="451">
        <f>'AX1'!Y40/'AX1'!$N40</f>
        <v>9.2662392747697261E-2</v>
      </c>
      <c r="O38" s="451">
        <f>'AX1'!Z40/'AX1'!$N40</f>
        <v>0.73427909951623027</v>
      </c>
      <c r="P38" s="451">
        <f>'AX1'!AA40/'AX1'!$N40</f>
        <v>0.35031926787575429</v>
      </c>
      <c r="Q38" s="451">
        <f>'AX1'!AB40/'AX1'!$N40</f>
        <v>0.17305850773607248</v>
      </c>
      <c r="R38" s="802">
        <f t="shared" si="2"/>
        <v>0.1536665488584639</v>
      </c>
      <c r="S38" s="803">
        <f t="shared" si="3"/>
        <v>1.9391958877608584E-2</v>
      </c>
      <c r="T38" s="451">
        <f>'AX1'!AF40/'AX1'!$N40</f>
        <v>0</v>
      </c>
      <c r="U38" s="451">
        <f>'AX1'!AG40/'AX1'!$N40</f>
        <v>0.33621414909823621</v>
      </c>
      <c r="V38" s="451">
        <f>'AX1'!AH40/'AX1'!$N40</f>
        <v>0.32881112953493319</v>
      </c>
      <c r="W38" s="451">
        <f>'AX1'!AK40/'AX1'!$N40</f>
        <v>7.4030195633029861E-3</v>
      </c>
      <c r="X38" s="451">
        <f>'AX1'!AL40/'AX1'!$N40</f>
        <v>0</v>
      </c>
      <c r="Y38" s="451">
        <f>'AX1'!AM40/'AX1'!$N40</f>
        <v>0</v>
      </c>
      <c r="Z38" s="451">
        <f>'AX1'!AN40/'AX1'!$N40</f>
        <v>1.4105118777518065E-2</v>
      </c>
      <c r="AA38" s="452">
        <f>'AX1'!EV40/'AX1'!$N40</f>
        <v>1.5885149359924431</v>
      </c>
      <c r="AB38" s="451">
        <f>'AX1'!EW40/'AX1'!$N40</f>
        <v>1.6746071037153152</v>
      </c>
      <c r="AC38" s="451">
        <f>'AX1'!EX40/'AX1'!$N40</f>
        <v>8.6092167722872107E-2</v>
      </c>
      <c r="AD38" s="451"/>
      <c r="AE38" s="451"/>
      <c r="AF38" s="451"/>
      <c r="AG38" s="451"/>
      <c r="AH38" s="451"/>
      <c r="AI38" s="451"/>
      <c r="AJ38" s="468">
        <f>'AX1'!FR40</f>
        <v>7.7809999999999997</v>
      </c>
    </row>
    <row r="39" spans="2:37" s="9" customFormat="1" ht="12.75">
      <c r="B39" s="462">
        <v>1992</v>
      </c>
      <c r="C39" s="451">
        <f>'AX1'!O41/'AX1'!$N41</f>
        <v>0.58177469028107476</v>
      </c>
      <c r="D39" s="451">
        <f>'AX1'!P41/'AX1'!$N41</f>
        <v>0.40246336689575857</v>
      </c>
      <c r="E39" s="567">
        <f>'A1.1'!E31/'AX6'!B17</f>
        <v>0.3046664269460953</v>
      </c>
      <c r="F39" s="451">
        <f>'AX1'!Q41/'AX1'!$N41</f>
        <v>0.57951375017373108</v>
      </c>
      <c r="G39" s="451">
        <f>'AX1'!R41/'AX1'!$N41</f>
        <v>1.8022882930510506E-2</v>
      </c>
      <c r="H39" s="451">
        <f>'AX1'!S41/'AX1'!$N41</f>
        <v>0</v>
      </c>
      <c r="I39" s="452">
        <f>'AX1'!T41/'AX1'!$N41</f>
        <v>0</v>
      </c>
      <c r="J39" s="451">
        <f>'AX1'!U41/'AX1'!$N41</f>
        <v>0</v>
      </c>
      <c r="K39" s="451">
        <f>'AX1'!V41/'AX1'!$N41</f>
        <v>1.1793113233853163</v>
      </c>
      <c r="L39" s="453">
        <f>'AX1'!W41/'AX1'!$N41</f>
        <v>1</v>
      </c>
      <c r="M39" s="452">
        <f>'AX1'!X41/'AX1'!$N41</f>
        <v>0.8364707543307246</v>
      </c>
      <c r="N39" s="451">
        <f>'AX1'!Y41/'AX1'!$N41</f>
        <v>9.9447163441432493E-2</v>
      </c>
      <c r="O39" s="451">
        <f>'AX1'!Z41/'AX1'!$N41</f>
        <v>0.73702359088929215</v>
      </c>
      <c r="P39" s="451">
        <f>'AX1'!AA41/'AX1'!$N41</f>
        <v>0.34284056905459159</v>
      </c>
      <c r="Q39" s="451">
        <f>'AX1'!AB41/'AX1'!$N41</f>
        <v>0.16352924566927535</v>
      </c>
      <c r="R39" s="802">
        <f t="shared" si="2"/>
        <v>0.14408741875861603</v>
      </c>
      <c r="S39" s="803">
        <f t="shared" si="3"/>
        <v>1.9441826910659321E-2</v>
      </c>
      <c r="T39" s="451">
        <f>'AX1'!AF41/'AX1'!$N41</f>
        <v>0</v>
      </c>
      <c r="U39" s="451">
        <f>'AX1'!AG41/'AX1'!$N41</f>
        <v>0.35452107059337473</v>
      </c>
      <c r="V39" s="451">
        <f>'AX1'!AH41/'AX1'!$N41</f>
        <v>0.34175872358976933</v>
      </c>
      <c r="W39" s="451">
        <f>'AX1'!AK41/'AX1'!$N41</f>
        <v>1.2762347003605418E-2</v>
      </c>
      <c r="X39" s="451">
        <f>'AX1'!AL41/'AX1'!$N41</f>
        <v>0</v>
      </c>
      <c r="Y39" s="451">
        <f>'AX1'!AM41/'AX1'!$N41</f>
        <v>0</v>
      </c>
      <c r="Z39" s="451">
        <f>'AX1'!AN41/'AX1'!$N41</f>
        <v>-1.1680501538783179E-2</v>
      </c>
      <c r="AA39" s="452">
        <f>'AX1'!EV41/'AX1'!$N41</f>
        <v>1.6651612626745194</v>
      </c>
      <c r="AB39" s="451">
        <f>'AX1'!EW41/'AX1'!$N41</f>
        <v>1.7316698170789198</v>
      </c>
      <c r="AC39" s="451">
        <f>'AX1'!EX41/'AX1'!$N41</f>
        <v>6.6508554404400247E-2</v>
      </c>
      <c r="AD39" s="451"/>
      <c r="AE39" s="451"/>
      <c r="AF39" s="451"/>
      <c r="AG39" s="451"/>
      <c r="AH39" s="451"/>
      <c r="AI39" s="451"/>
      <c r="AJ39" s="468">
        <f>'AX1'!FR41</f>
        <v>7.7430000000000003</v>
      </c>
    </row>
    <row r="40" spans="2:37" s="9" customFormat="1" ht="12.75">
      <c r="B40" s="462">
        <v>1993</v>
      </c>
      <c r="C40" s="451">
        <f>'AX1'!O42/'AX1'!$N42</f>
        <v>0.58081956265247014</v>
      </c>
      <c r="D40" s="451">
        <f>'AX1'!P42/'AX1'!$N42</f>
        <v>0.39867156387798497</v>
      </c>
      <c r="E40" s="567">
        <f>'A1.1'!E32/'AX6'!B18</f>
        <v>0.31147845786779788</v>
      </c>
      <c r="F40" s="451">
        <f>'AX1'!Q42/'AX1'!$N42</f>
        <v>0.57706389637693944</v>
      </c>
      <c r="G40" s="451">
        <f>'AX1'!R42/'AX1'!$N42</f>
        <v>1.7665999355138205E-2</v>
      </c>
      <c r="H40" s="451">
        <f>'AX1'!S42/'AX1'!$N42</f>
        <v>6.5985403899373237E-3</v>
      </c>
      <c r="I40" s="452">
        <f>'AX1'!T42/'AX1'!$N42</f>
        <v>0</v>
      </c>
      <c r="J40" s="451">
        <f>'AX1'!U42/'AX1'!$N42</f>
        <v>0</v>
      </c>
      <c r="K40" s="451">
        <f>'AX1'!V42/'AX1'!$N42</f>
        <v>1.1821479987744852</v>
      </c>
      <c r="L40" s="453">
        <f>'AX1'!W42/'AX1'!$N42</f>
        <v>1</v>
      </c>
      <c r="M40" s="452">
        <f>'AX1'!X42/'AX1'!$N42</f>
        <v>0.83882149767334846</v>
      </c>
      <c r="N40" s="451">
        <f>'AX1'!Y42/'AX1'!$N42</f>
        <v>9.8852289120381256E-2</v>
      </c>
      <c r="O40" s="451">
        <f>'AX1'!Z42/'AX1'!$N42</f>
        <v>0.73996920855296722</v>
      </c>
      <c r="P40" s="451">
        <f>'AX1'!AA42/'AX1'!$N42</f>
        <v>0.34332650110113666</v>
      </c>
      <c r="Q40" s="451">
        <f>'AX1'!AB42/'AX1'!$N42</f>
        <v>0.16117850232665154</v>
      </c>
      <c r="R40" s="802">
        <f t="shared" si="2"/>
        <v>0.14218415852862368</v>
      </c>
      <c r="S40" s="803">
        <f t="shared" si="3"/>
        <v>1.8994343798027863E-2</v>
      </c>
      <c r="T40" s="451">
        <f>'AX1'!AF42/'AX1'!$N42</f>
        <v>0</v>
      </c>
      <c r="U40" s="451">
        <f>'AX1'!AG42/'AX1'!$N42</f>
        <v>0.34695193748947339</v>
      </c>
      <c r="V40" s="451">
        <f>'AX1'!AH42/'AX1'!$N42</f>
        <v>0.34380788684564623</v>
      </c>
      <c r="W40" s="451">
        <f>'AX1'!AK42/'AX1'!$N42</f>
        <v>3.1440506438271307E-3</v>
      </c>
      <c r="X40" s="451">
        <f>'AX1'!AL42/'AX1'!$N42</f>
        <v>0</v>
      </c>
      <c r="Y40" s="451">
        <f>'AX1'!AM42/'AX1'!$N42</f>
        <v>0</v>
      </c>
      <c r="Z40" s="451">
        <f>'AX1'!AN42/'AX1'!$N42</f>
        <v>-3.6254363883367175E-3</v>
      </c>
      <c r="AA40" s="452">
        <f>'AX1'!EV42/'AX1'!$N42</f>
        <v>1.631428596300655</v>
      </c>
      <c r="AB40" s="451">
        <f>'AX1'!EW42/'AX1'!$N42</f>
        <v>1.7174339033644412</v>
      </c>
      <c r="AC40" s="451">
        <f>'AX1'!EX42/'AX1'!$N42</f>
        <v>8.6005307063786354E-2</v>
      </c>
      <c r="AD40" s="218">
        <f>'AX1'!EY42/'AX1'!$N42</f>
        <v>2.7898492011341219E-4</v>
      </c>
      <c r="AE40" s="218">
        <f>'AX1'!EZ42/'AX1'!$N42</f>
        <v>3.8702319800046884E-4</v>
      </c>
      <c r="AF40" s="451">
        <f>'AX1'!FA42/'AX1'!$N42</f>
        <v>0.41882064102770883</v>
      </c>
      <c r="AG40" s="451">
        <f>'AX1'!FF42/'AX1'!$N42</f>
        <v>0.43296681756522426</v>
      </c>
      <c r="AH40" s="451">
        <f>'AX1'!FK42/'AX1'!$N42</f>
        <v>0</v>
      </c>
      <c r="AI40" s="451">
        <f>'AX1'!FL42/'AX1'!$N42</f>
        <v>0</v>
      </c>
      <c r="AJ40" s="468">
        <f>'AX1'!FR42</f>
        <v>7.726</v>
      </c>
      <c r="AK40" s="716"/>
    </row>
    <row r="41" spans="2:37" s="9" customFormat="1" ht="12.75">
      <c r="B41" s="462">
        <v>1994</v>
      </c>
      <c r="C41" s="451">
        <f>'AX1'!O43/'AX1'!$N43</f>
        <v>0.59977302597944893</v>
      </c>
      <c r="D41" s="451">
        <f>'AX1'!P43/'AX1'!$N43</f>
        <v>0.42113693293695664</v>
      </c>
      <c r="E41" s="567">
        <f>'A1.1'!E33/'AX6'!B19</f>
        <v>0.32314699798132746</v>
      </c>
      <c r="F41" s="451">
        <f>'AX1'!Q43/'AX1'!$N43</f>
        <v>0.55995709628325097</v>
      </c>
      <c r="G41" s="451">
        <f>'AX1'!R43/'AX1'!$N43</f>
        <v>1.6774140805759927E-2</v>
      </c>
      <c r="H41" s="451">
        <f>'AX1'!S43/'AX1'!$N43</f>
        <v>2.1318299740324133E-3</v>
      </c>
      <c r="I41" s="452">
        <f>'AX1'!T43/'AX1'!$N43</f>
        <v>0</v>
      </c>
      <c r="J41" s="451">
        <f>'AX1'!U43/'AX1'!$N43</f>
        <v>0</v>
      </c>
      <c r="K41" s="451">
        <f>'AX1'!V43/'AX1'!$N43</f>
        <v>1.1786360930424922</v>
      </c>
      <c r="L41" s="453">
        <f>'AX1'!W43/'AX1'!$N43</f>
        <v>1</v>
      </c>
      <c r="M41" s="452">
        <f>'AX1'!X43/'AX1'!$N43</f>
        <v>0.84361925108302693</v>
      </c>
      <c r="N41" s="451">
        <f>'AX1'!Y43/'AX1'!$N43</f>
        <v>9.9137247584366373E-2</v>
      </c>
      <c r="O41" s="451">
        <f>'AX1'!Z43/'AX1'!$N43</f>
        <v>0.74448200349866056</v>
      </c>
      <c r="P41" s="451">
        <f>'AX1'!AA43/'AX1'!$N43</f>
        <v>0.33501684195946529</v>
      </c>
      <c r="Q41" s="451">
        <f>'AX1'!AB43/'AX1'!$N43</f>
        <v>0.15638074891697304</v>
      </c>
      <c r="R41" s="802">
        <f t="shared" si="2"/>
        <v>0.13800378916539335</v>
      </c>
      <c r="S41" s="803">
        <f t="shared" si="3"/>
        <v>1.8376959751579686E-2</v>
      </c>
      <c r="T41" s="451">
        <f>'AX1'!AF43/'AX1'!$N43</f>
        <v>0</v>
      </c>
      <c r="U41" s="451">
        <f>'AX1'!AG43/'AX1'!$N43</f>
        <v>0.39269548112265967</v>
      </c>
      <c r="V41" s="451">
        <f>'AX1'!AH43/'AX1'!$N43</f>
        <v>0.36734363507240736</v>
      </c>
      <c r="W41" s="451">
        <f>'AX1'!AK43/'AX1'!$N43</f>
        <v>2.5351846050252352E-2</v>
      </c>
      <c r="X41" s="451">
        <f>'AX1'!AL43/'AX1'!$N43</f>
        <v>0</v>
      </c>
      <c r="Y41" s="451">
        <f>'AX1'!AM43/'AX1'!$N43</f>
        <v>0</v>
      </c>
      <c r="Z41" s="451">
        <f>'AX1'!AN43/'AX1'!$N43</f>
        <v>-5.7678639163194413E-2</v>
      </c>
      <c r="AA41" s="452">
        <f>'AX1'!EV43/'AX1'!$N43</f>
        <v>1.6589691013359038</v>
      </c>
      <c r="AB41" s="451">
        <f>'AX1'!EW43/'AX1'!$N43</f>
        <v>1.6743414077426151</v>
      </c>
      <c r="AC41" s="451">
        <f>'AX1'!EX43/'AX1'!$N43</f>
        <v>1.5372306406711391E-2</v>
      </c>
      <c r="AD41" s="218">
        <f>'AX1'!EY43/'AX1'!$N43</f>
        <v>3.004592580851052E-4</v>
      </c>
      <c r="AE41" s="218">
        <f>'AX1'!EZ43/'AX1'!$N43</f>
        <v>4.8645784642350364E-4</v>
      </c>
      <c r="AF41" s="451">
        <f>'AX1'!FA43/'AX1'!$N43</f>
        <v>0.43378805386037073</v>
      </c>
      <c r="AG41" s="451">
        <f>'AX1'!FF43/'AX1'!$N43</f>
        <v>0.44253833360277772</v>
      </c>
      <c r="AH41" s="451">
        <f>'AX1'!FK43/'AX1'!$N43</f>
        <v>0</v>
      </c>
      <c r="AI41" s="451">
        <f>'AX1'!FL43/'AX1'!$N43</f>
        <v>0</v>
      </c>
      <c r="AJ41" s="468">
        <f>'AX1'!FR43</f>
        <v>7.7380000000000004</v>
      </c>
      <c r="AK41" s="716"/>
    </row>
    <row r="42" spans="2:37" s="9" customFormat="1" ht="12.75">
      <c r="B42" s="462">
        <v>1995</v>
      </c>
      <c r="C42" s="451">
        <f>'AX1'!O44/'AX1'!$N44</f>
        <v>0.5686801423582809</v>
      </c>
      <c r="D42" s="451">
        <f>'AX1'!P44/'AX1'!$N44</f>
        <v>0.3886726366394142</v>
      </c>
      <c r="E42" s="567">
        <f>'A1.1'!E34/'AX6'!B20</f>
        <v>0.31215787783750398</v>
      </c>
      <c r="F42" s="451">
        <f>'AX1'!Q44/'AX1'!$N44</f>
        <v>0.58406973893817704</v>
      </c>
      <c r="G42" s="451">
        <f>'AX1'!R44/'AX1'!$N44</f>
        <v>1.6893777027506957E-2</v>
      </c>
      <c r="H42" s="451">
        <f>'AX1'!S44/'AX1'!$N44</f>
        <v>1.0363847394901775E-2</v>
      </c>
      <c r="I42" s="452">
        <f>'AX1'!T44/'AX1'!$N44</f>
        <v>0</v>
      </c>
      <c r="J42" s="451">
        <f>'AX1'!U44/'AX1'!$N44</f>
        <v>0</v>
      </c>
      <c r="K42" s="451">
        <f>'AX1'!V44/'AX1'!$N44</f>
        <v>1.1800075057188666</v>
      </c>
      <c r="L42" s="453">
        <f>'AX1'!W44/'AX1'!$N44</f>
        <v>1</v>
      </c>
      <c r="M42" s="452">
        <f>'AX1'!X44/'AX1'!$N44</f>
        <v>0.86604181765620358</v>
      </c>
      <c r="N42" s="451">
        <f>'AX1'!Y44/'AX1'!$N44</f>
        <v>0.1032458872632777</v>
      </c>
      <c r="O42" s="451">
        <f>'AX1'!Z44/'AX1'!$N44</f>
        <v>0.76279593039292581</v>
      </c>
      <c r="P42" s="451">
        <f>'AX1'!AA44/'AX1'!$N44</f>
        <v>0.31396568806266306</v>
      </c>
      <c r="Q42" s="451">
        <f>'AX1'!AB44/'AX1'!$N44</f>
        <v>0.13395818234379642</v>
      </c>
      <c r="R42" s="802">
        <f t="shared" si="2"/>
        <v>0.11798824750890417</v>
      </c>
      <c r="S42" s="803">
        <f t="shared" si="3"/>
        <v>1.5969934834892244E-2</v>
      </c>
      <c r="T42" s="451">
        <f>'AX1'!AF44/'AX1'!$N44</f>
        <v>0</v>
      </c>
      <c r="U42" s="451">
        <f>'AX1'!AG44/'AX1'!$N44</f>
        <v>0.42315000033355343</v>
      </c>
      <c r="V42" s="451">
        <f>'AX1'!AH44/'AX1'!$N44</f>
        <v>0.37280186065898058</v>
      </c>
      <c r="W42" s="451">
        <f>'AX1'!AK44/'AX1'!$N44</f>
        <v>5.0348139674572828E-2</v>
      </c>
      <c r="X42" s="451">
        <f>'AX1'!AL44/'AX1'!$N44</f>
        <v>0</v>
      </c>
      <c r="Y42" s="451">
        <f>'AX1'!AM44/'AX1'!$N44</f>
        <v>0</v>
      </c>
      <c r="Z42" s="451">
        <f>'AX1'!AN44/'AX1'!$N44</f>
        <v>-0.10918431227089037</v>
      </c>
      <c r="AA42" s="452">
        <f>'AX1'!EV44/'AX1'!$N44</f>
        <v>1.8166860660893889</v>
      </c>
      <c r="AB42" s="451">
        <f>'AX1'!EW44/'AX1'!$N44</f>
        <v>1.7619753620081091</v>
      </c>
      <c r="AC42" s="451">
        <f>'AX1'!EX44/'AX1'!$N44</f>
        <v>-5.4710704081279815E-2</v>
      </c>
      <c r="AD42" s="218">
        <f>'AX1'!EY44/'AX1'!$N44</f>
        <v>4.3669754930635279E-4</v>
      </c>
      <c r="AE42" s="218">
        <f>'AX1'!EZ44/'AX1'!$N44</f>
        <v>5.3815253550883874E-4</v>
      </c>
      <c r="AF42" s="451">
        <f>'AX1'!FA44/'AX1'!$N44</f>
        <v>0.41077910864638506</v>
      </c>
      <c r="AG42" s="451">
        <f>'AX1'!FF44/'AX1'!$N44</f>
        <v>0.42678142717664885</v>
      </c>
      <c r="AH42" s="451">
        <f>'AX1'!FK44/'AX1'!$N44</f>
        <v>0</v>
      </c>
      <c r="AI42" s="451">
        <f>'AX1'!FL44/'AX1'!$N44</f>
        <v>0</v>
      </c>
      <c r="AJ42" s="468">
        <f>'AX1'!FR44</f>
        <v>7.7320000000000002</v>
      </c>
      <c r="AK42" s="716"/>
    </row>
    <row r="43" spans="2:37" s="9" customFormat="1" ht="12.75">
      <c r="B43" s="462">
        <v>1996</v>
      </c>
      <c r="C43" s="451">
        <f>'AX1'!O45/'AX1'!$N45</f>
        <v>0.58425838583153489</v>
      </c>
      <c r="D43" s="451">
        <f>'AX1'!P45/'AX1'!$N45</f>
        <v>0.40318177295263935</v>
      </c>
      <c r="E43" s="567">
        <f>'A1.1'!E35/'AX6'!B21</f>
        <v>0.30721857855687168</v>
      </c>
      <c r="F43" s="451">
        <f>'AX1'!Q45/'AX1'!$N45</f>
        <v>0.59168602676585758</v>
      </c>
      <c r="G43" s="451">
        <f>'AX1'!R45/'AX1'!$N45</f>
        <v>1.6318802986552593E-2</v>
      </c>
      <c r="H43" s="451">
        <f>'AX1'!S45/'AX1'!$N45</f>
        <v>-1.1186602705049488E-2</v>
      </c>
      <c r="I43" s="452">
        <f>'AX1'!T45/'AX1'!$N45</f>
        <v>0</v>
      </c>
      <c r="J43" s="451">
        <f>'AX1'!U45/'AX1'!$N45</f>
        <v>0</v>
      </c>
      <c r="K43" s="451">
        <f>'AX1'!V45/'AX1'!$N45</f>
        <v>1.1810766128788954</v>
      </c>
      <c r="L43" s="453">
        <f>'AX1'!W45/'AX1'!$N45</f>
        <v>1</v>
      </c>
      <c r="M43" s="452">
        <f>'AX1'!X45/'AX1'!$N45</f>
        <v>0.86982620086622531</v>
      </c>
      <c r="N43" s="451">
        <f>'AX1'!Y45/'AX1'!$N45</f>
        <v>0.10483997381277417</v>
      </c>
      <c r="O43" s="451">
        <f>'AX1'!Z45/'AX1'!$N45</f>
        <v>0.76498622705345121</v>
      </c>
      <c r="P43" s="451">
        <f>'AX1'!AA45/'AX1'!$N45</f>
        <v>0.31125041201267017</v>
      </c>
      <c r="Q43" s="451">
        <f>'AX1'!AB45/'AX1'!$N45</f>
        <v>0.13017379913377464</v>
      </c>
      <c r="R43" s="802">
        <f t="shared" si="2"/>
        <v>0.11448397778934589</v>
      </c>
      <c r="S43" s="803">
        <f t="shared" si="3"/>
        <v>1.5689821344428742E-2</v>
      </c>
      <c r="T43" s="451">
        <f>'AX1'!AF45/'AX1'!$N45</f>
        <v>0</v>
      </c>
      <c r="U43" s="451">
        <f>'AX1'!AG45/'AX1'!$N45</f>
        <v>0.39775824951344951</v>
      </c>
      <c r="V43" s="451">
        <f>'AX1'!AH45/'AX1'!$N45</f>
        <v>0.38787378032385023</v>
      </c>
      <c r="W43" s="451">
        <f>'AX1'!AK45/'AX1'!$N45</f>
        <v>9.8844691895993049E-3</v>
      </c>
      <c r="X43" s="451">
        <f>'AX1'!AL45/'AX1'!$N45</f>
        <v>0</v>
      </c>
      <c r="Y43" s="451">
        <f>'AX1'!AM45/'AX1'!$N45</f>
        <v>0</v>
      </c>
      <c r="Z43" s="451">
        <f>'AX1'!AN45/'AX1'!$N45</f>
        <v>-8.6507837500779367E-2</v>
      </c>
      <c r="AA43" s="452">
        <f>'AX1'!EV45/'AX1'!$N45</f>
        <v>1.7224593791100991</v>
      </c>
      <c r="AB43" s="451">
        <f>'AX1'!EW45/'AX1'!$N45</f>
        <v>1.7044198684481546</v>
      </c>
      <c r="AC43" s="451">
        <f>'AX1'!EX45/'AX1'!$N45</f>
        <v>-1.8039510661944428E-2</v>
      </c>
      <c r="AD43" s="218">
        <f>'AX1'!EY45/'AX1'!$N45</f>
        <v>8.3028731156232626E-4</v>
      </c>
      <c r="AE43" s="218">
        <f>'AX1'!EZ45/'AX1'!$N45</f>
        <v>8.0193603750897862E-4</v>
      </c>
      <c r="AF43" s="451">
        <f>'AX1'!FA45/'AX1'!$N45</f>
        <v>0.3969026485643396</v>
      </c>
      <c r="AG43" s="451">
        <f>'AX1'!FF45/'AX1'!$N45</f>
        <v>0.38858661235719161</v>
      </c>
      <c r="AH43" s="451">
        <f>'AX1'!FK45/'AX1'!$N45</f>
        <v>0</v>
      </c>
      <c r="AI43" s="451">
        <f>'AX1'!FL45/'AX1'!$N45</f>
        <v>0</v>
      </c>
      <c r="AJ43" s="468">
        <f>'AX1'!FR45</f>
        <v>7.7359999999999998</v>
      </c>
      <c r="AK43" s="716"/>
    </row>
    <row r="44" spans="2:37" s="9" customFormat="1" ht="12.75">
      <c r="B44" s="462">
        <v>1997</v>
      </c>
      <c r="C44" s="451">
        <f>'AX1'!O46/'AX1'!$N46</f>
        <v>0.56848481500266668</v>
      </c>
      <c r="D44" s="451">
        <f>'AX1'!P46/'AX1'!$N46</f>
        <v>0.39094307417389584</v>
      </c>
      <c r="E44" s="567">
        <f>'A1.1'!E36/'AX6'!B22</f>
        <v>0.30706239005624919</v>
      </c>
      <c r="F44" s="451">
        <f>'AX1'!Q46/'AX1'!$N46</f>
        <v>0.5946414059940206</v>
      </c>
      <c r="G44" s="451">
        <f>'AX1'!R46/'AX1'!$N46</f>
        <v>1.5604639700779346E-2</v>
      </c>
      <c r="H44" s="451">
        <f>'AX1'!S46/'AX1'!$N46</f>
        <v>-1.1891198686957952E-3</v>
      </c>
      <c r="I44" s="452">
        <f>'AX1'!T46/'AX1'!$N46</f>
        <v>5.3203731153656361E-3</v>
      </c>
      <c r="J44" s="451">
        <f>'AX1'!U46/'AX1'!$N46</f>
        <v>1.6732811454881015E-2</v>
      </c>
      <c r="K44" s="451">
        <f>'AX1'!V46/'AX1'!$N46</f>
        <v>1.1661293024892554</v>
      </c>
      <c r="L44" s="453">
        <f>'AX1'!W46/'AX1'!$N46</f>
        <v>0.98858756166048456</v>
      </c>
      <c r="M44" s="452">
        <f>'AX1'!X46/'AX1'!$N46</f>
        <v>0.86650679663632868</v>
      </c>
      <c r="N44" s="451">
        <f>'AX1'!Y46/'AX1'!$N46</f>
        <v>0.10321359069693579</v>
      </c>
      <c r="O44" s="451">
        <f>'AX1'!Z46/'AX1'!$N46</f>
        <v>0.76329320593939298</v>
      </c>
      <c r="P44" s="451">
        <f>'AX1'!AA46/'AX1'!$N46</f>
        <v>0.29962250585292666</v>
      </c>
      <c r="Q44" s="451">
        <f>'AX1'!AB46/'AX1'!$N46</f>
        <v>0.12208076502415581</v>
      </c>
      <c r="R44" s="802">
        <f t="shared" si="2"/>
        <v>0.1075391663176192</v>
      </c>
      <c r="S44" s="803">
        <f t="shared" si="3"/>
        <v>1.454159870653661E-2</v>
      </c>
      <c r="T44" s="451">
        <f>'AX1'!AF46/'AX1'!$N46</f>
        <v>0</v>
      </c>
      <c r="U44" s="451">
        <f>'AX1'!AG46/'AX1'!$N46</f>
        <v>0.42987461353344059</v>
      </c>
      <c r="V44" s="451">
        <f>'AX1'!AH46/'AX1'!$N46</f>
        <v>0.41860314860407083</v>
      </c>
      <c r="W44" s="451">
        <f>'AX1'!AK46/'AX1'!$N46</f>
        <v>1.1271464929369767E-2</v>
      </c>
      <c r="X44" s="451">
        <f>'AX1'!AL46/'AX1'!$N46</f>
        <v>0</v>
      </c>
      <c r="Y44" s="451">
        <f>'AX1'!AM46/'AX1'!$N46</f>
        <v>0</v>
      </c>
      <c r="Z44" s="451">
        <f>'AX1'!AN46/'AX1'!$N46</f>
        <v>-0.13025210768051393</v>
      </c>
      <c r="AA44" s="452">
        <f>'AX1'!EV46/'AX1'!$N46</f>
        <v>1.6370308400220865</v>
      </c>
      <c r="AB44" s="451">
        <f>'AX1'!EW46/'AX1'!$N46</f>
        <v>1.595145259797264</v>
      </c>
      <c r="AC44" s="451">
        <f>'AX1'!EX46/'AX1'!$N46</f>
        <v>-4.1885580224822659E-2</v>
      </c>
      <c r="AD44" s="218">
        <f>'AX1'!EY46/'AX1'!$N46</f>
        <v>1.170811633611949E-3</v>
      </c>
      <c r="AE44" s="218">
        <f>'AX1'!EZ46/'AX1'!$N46</f>
        <v>8.8154151928718303E-4</v>
      </c>
      <c r="AF44" s="451">
        <f>'AX1'!FA46/'AX1'!$N46</f>
        <v>0.3321017725975467</v>
      </c>
      <c r="AG44" s="451">
        <f>'AX1'!FF46/'AX1'!$N46</f>
        <v>0.34150717066599551</v>
      </c>
      <c r="AH44" s="451">
        <f>'AX1'!FK46/'AX1'!$N46</f>
        <v>1.6732811454881015E-2</v>
      </c>
      <c r="AI44" s="451">
        <f>'AX1'!FL46/'AX1'!$N46</f>
        <v>5.3203731153656361E-3</v>
      </c>
      <c r="AJ44" s="468">
        <f>'AX1'!FR46</f>
        <v>7.7460000000000004</v>
      </c>
      <c r="AK44" s="716"/>
    </row>
    <row r="45" spans="2:37" s="9" customFormat="1" ht="12.75">
      <c r="B45" s="462">
        <v>1998</v>
      </c>
      <c r="C45" s="451">
        <f>'AX1'!O47/'AX1'!$N47</f>
        <v>0.52538990470034908</v>
      </c>
      <c r="D45" s="451">
        <f>'AX1'!P47/'AX1'!$N47</f>
        <v>0.33362482095247459</v>
      </c>
      <c r="E45" s="567">
        <f>'A1.1'!E37/'AX6'!B23</f>
        <v>0.26297973330211893</v>
      </c>
      <c r="F45" s="451">
        <f>'AX1'!Q47/'AX1'!$N47</f>
        <v>0.62735328680788416</v>
      </c>
      <c r="G45" s="451">
        <f>'AX1'!R47/'AX1'!$N47</f>
        <v>1.5276917931313198E-2</v>
      </c>
      <c r="H45" s="451">
        <f>'AX1'!S47/'AX1'!$N47</f>
        <v>2.374497430832806E-2</v>
      </c>
      <c r="I45" s="452">
        <f>'AX1'!T47/'AX1'!$N47</f>
        <v>4.9660873861337891E-3</v>
      </c>
      <c r="J45" s="451">
        <f>'AX1'!U47/'AX1'!$N47</f>
        <v>1.6821793978556682E-2</v>
      </c>
      <c r="K45" s="451">
        <f>'AX1'!V47/'AX1'!$N47</f>
        <v>1.1799093771554519</v>
      </c>
      <c r="L45" s="453">
        <f>'AX1'!W47/'AX1'!$N47</f>
        <v>0.98814429340757726</v>
      </c>
      <c r="M45" s="452">
        <f>'AX1'!X47/'AX1'!$N47</f>
        <v>0.87498451586644344</v>
      </c>
      <c r="N45" s="451">
        <f>'AX1'!Y47/'AX1'!$N47</f>
        <v>0.11175854119596314</v>
      </c>
      <c r="O45" s="451">
        <f>'AX1'!Z47/'AX1'!$N47</f>
        <v>0.76322597467048026</v>
      </c>
      <c r="P45" s="451">
        <f>'AX1'!AA47/'AX1'!$N47</f>
        <v>0.30492486128900853</v>
      </c>
      <c r="Q45" s="451">
        <f>'AX1'!AB47/'AX1'!$N47</f>
        <v>0.1131597775411339</v>
      </c>
      <c r="R45" s="802">
        <f t="shared" si="2"/>
        <v>9.8706297015785732E-2</v>
      </c>
      <c r="S45" s="803">
        <f t="shared" si="3"/>
        <v>1.4453480525348172E-2</v>
      </c>
      <c r="T45" s="451">
        <f>'AX1'!AF47/'AX1'!$N47</f>
        <v>0</v>
      </c>
      <c r="U45" s="451">
        <f>'AX1'!AG47/'AX1'!$N47</f>
        <v>0.36379490743388115</v>
      </c>
      <c r="V45" s="451">
        <f>'AX1'!AH47/'AX1'!$N47</f>
        <v>0.37880248296591046</v>
      </c>
      <c r="W45" s="451">
        <f>'AX1'!AK47/'AX1'!$N47</f>
        <v>-1.5007575532029336E-2</v>
      </c>
      <c r="X45" s="451">
        <f>'AX1'!AL47/'AX1'!$N47</f>
        <v>0</v>
      </c>
      <c r="Y45" s="451">
        <f>'AX1'!AM47/'AX1'!$N47</f>
        <v>0</v>
      </c>
      <c r="Z45" s="451">
        <f>'AX1'!AN47/'AX1'!$N47</f>
        <v>-5.8870046144872623E-2</v>
      </c>
      <c r="AA45" s="452">
        <f>'AX1'!EV47/'AX1'!$N47</f>
        <v>1.5366794619998718</v>
      </c>
      <c r="AB45" s="451">
        <f>'AX1'!EW47/'AX1'!$N47</f>
        <v>1.5435700400954036</v>
      </c>
      <c r="AC45" s="451">
        <f>'AX1'!EX47/'AX1'!$N47</f>
        <v>6.8905780955315979E-3</v>
      </c>
      <c r="AD45" s="218">
        <f>'AX1'!EY47/'AX1'!$N47</f>
        <v>1.3012127018697725E-3</v>
      </c>
      <c r="AE45" s="218">
        <f>'AX1'!EZ47/'AX1'!$N47</f>
        <v>1.1410781983972212E-3</v>
      </c>
      <c r="AF45" s="451">
        <f>'AX1'!FA47/'AX1'!$N47</f>
        <v>0.31987969791270809</v>
      </c>
      <c r="AG45" s="451">
        <f>'AX1'!FF47/'AX1'!$N47</f>
        <v>0.34745927030119622</v>
      </c>
      <c r="AH45" s="451">
        <f>'AX1'!FK47/'AX1'!$N47</f>
        <v>1.6821793978556682E-2</v>
      </c>
      <c r="AI45" s="451">
        <f>'AX1'!FL47/'AX1'!$N47</f>
        <v>4.9660873861337891E-3</v>
      </c>
      <c r="AJ45" s="468">
        <f>'AX1'!FR47</f>
        <v>7.7460000000000004</v>
      </c>
      <c r="AK45" s="716"/>
    </row>
    <row r="46" spans="2:37" s="9" customFormat="1" ht="12.75">
      <c r="B46" s="462">
        <v>1999</v>
      </c>
      <c r="C46" s="451">
        <f>'AX1'!O48/'AX1'!$N48</f>
        <v>0.51819851347007584</v>
      </c>
      <c r="D46" s="451">
        <f>'AX1'!P48/'AX1'!$N48</f>
        <v>0.3269950753098903</v>
      </c>
      <c r="E46" s="567">
        <f>'A1.1'!E38/'AX6'!B24</f>
        <v>0.23014404209374456</v>
      </c>
      <c r="F46" s="451">
        <f>'AX1'!Q48/'AX1'!$N48</f>
        <v>0.63332827302297223</v>
      </c>
      <c r="G46" s="451">
        <f>'AX1'!R48/'AX1'!$N48</f>
        <v>1.520869971319389E-2</v>
      </c>
      <c r="H46" s="451">
        <f>'AX1'!S48/'AX1'!$N48</f>
        <v>2.4467951953943825E-2</v>
      </c>
      <c r="I46" s="452">
        <f>'AX1'!T48/'AX1'!$N48</f>
        <v>4.316322542294521E-3</v>
      </c>
      <c r="J46" s="451">
        <f>'AX1'!U48/'AX1'!$N48</f>
        <v>1.5982798316262786E-2</v>
      </c>
      <c r="K46" s="451">
        <f>'AX1'!V48/'AX1'!$N48</f>
        <v>1.1795369623862173</v>
      </c>
      <c r="L46" s="453">
        <f>'AX1'!W48/'AX1'!$N48</f>
        <v>0.98833352422603182</v>
      </c>
      <c r="M46" s="452">
        <f>'AX1'!X48/'AX1'!$N48</f>
        <v>0.86467202617409922</v>
      </c>
      <c r="N46" s="451">
        <f>'AX1'!Y48/'AX1'!$N48</f>
        <v>0.11720490853531262</v>
      </c>
      <c r="O46" s="451">
        <f>'AX1'!Z48/'AX1'!$N48</f>
        <v>0.7474671176387867</v>
      </c>
      <c r="P46" s="451">
        <f>'AX1'!AA48/'AX1'!$N48</f>
        <v>0.31486493621211803</v>
      </c>
      <c r="Q46" s="451">
        <f>'AX1'!AB48/'AX1'!$N48</f>
        <v>0.12366149805193254</v>
      </c>
      <c r="R46" s="802">
        <f t="shared" si="2"/>
        <v>0.10689938001204788</v>
      </c>
      <c r="S46" s="803">
        <f t="shared" si="3"/>
        <v>1.6762118039884658E-2</v>
      </c>
      <c r="T46" s="451">
        <f>'AX1'!AF48/'AX1'!$N48</f>
        <v>0</v>
      </c>
      <c r="U46" s="451">
        <f>'AX1'!AG48/'AX1'!$N48</f>
        <v>0.31375923874258271</v>
      </c>
      <c r="V46" s="451">
        <f>'AX1'!AH48/'AX1'!$N48</f>
        <v>0.32412466413720353</v>
      </c>
      <c r="W46" s="451">
        <f>'AX1'!AK48/'AX1'!$N48</f>
        <v>-1.0365425394620834E-2</v>
      </c>
      <c r="X46" s="451">
        <f>'AX1'!AL48/'AX1'!$N48</f>
        <v>0</v>
      </c>
      <c r="Y46" s="451">
        <f>'AX1'!AM48/'AX1'!$N48</f>
        <v>0</v>
      </c>
      <c r="Z46" s="451">
        <f>'AX1'!AN48/'AX1'!$N48</f>
        <v>1.1056974695353437E-3</v>
      </c>
      <c r="AA46" s="452">
        <f>'AX1'!EV48/'AX1'!$N48</f>
        <v>1.5224575067409756</v>
      </c>
      <c r="AB46" s="451">
        <f>'AX1'!EW48/'AX1'!$N48</f>
        <v>1.5876184465732928</v>
      </c>
      <c r="AC46" s="451">
        <f>'AX1'!EX48/'AX1'!$N48</f>
        <v>6.5160939832317244E-2</v>
      </c>
      <c r="AD46" s="218">
        <f>'AX1'!EY48/'AX1'!$N48</f>
        <v>1.2658868555812854E-3</v>
      </c>
      <c r="AE46" s="218">
        <f>'AX1'!EZ48/'AX1'!$N48</f>
        <v>9.9043925274646858E-4</v>
      </c>
      <c r="AF46" s="451">
        <f>'AX1'!FA48/'AX1'!$N48</f>
        <v>0.3223088588405017</v>
      </c>
      <c r="AG46" s="451">
        <f>'AX1'!FF48/'AX1'!$N48</f>
        <v>0.35627779956314864</v>
      </c>
      <c r="AH46" s="451">
        <f>'AX1'!FK48/'AX1'!$N48</f>
        <v>1.5982798316262786E-2</v>
      </c>
      <c r="AI46" s="451">
        <f>'AX1'!FL48/'AX1'!$N48</f>
        <v>4.316322542294521E-3</v>
      </c>
      <c r="AJ46" s="468">
        <f>'AX1'!FR48</f>
        <v>7.7709999999999999</v>
      </c>
      <c r="AK46" s="716"/>
    </row>
    <row r="47" spans="2:37" s="9" customFormat="1" ht="12.75">
      <c r="B47" s="462">
        <v>2000</v>
      </c>
      <c r="C47" s="451">
        <f>'AX1'!O49/'AX1'!$N49</f>
        <v>0.54211772224327792</v>
      </c>
      <c r="D47" s="451">
        <f>'AX1'!P49/'AX1'!$N49</f>
        <v>0.36561638128235974</v>
      </c>
      <c r="E47" s="567">
        <f>'A1.1'!E39/'AX6'!B25</f>
        <v>0.24421195569299262</v>
      </c>
      <c r="F47" s="451">
        <f>'AX1'!Q49/'AX1'!$N49</f>
        <v>0.60236061880789649</v>
      </c>
      <c r="G47" s="451">
        <f>'AX1'!R49/'AX1'!$N49</f>
        <v>2.1615475106629856E-2</v>
      </c>
      <c r="H47" s="451">
        <f>'AX1'!S49/'AX1'!$N49</f>
        <v>1.0407524803114061E-2</v>
      </c>
      <c r="I47" s="452">
        <f>'AX1'!T49/'AX1'!$N49</f>
        <v>3.8129096985108999E-3</v>
      </c>
      <c r="J47" s="451">
        <f>'AX1'!U49/'AX1'!$N49</f>
        <v>1.3744843809442466E-2</v>
      </c>
      <c r="K47" s="451">
        <f>'AX1'!V49/'AX1'!$N49</f>
        <v>1.1665694068499866</v>
      </c>
      <c r="L47" s="453">
        <f>'AX1'!W49/'AX1'!$N49</f>
        <v>0.99006806588906837</v>
      </c>
      <c r="M47" s="452">
        <f>'AX1'!X49/'AX1'!$N49</f>
        <v>0.82716133585270435</v>
      </c>
      <c r="N47" s="451">
        <f>'AX1'!Y49/'AX1'!$N49</f>
        <v>0.11393625274629733</v>
      </c>
      <c r="O47" s="451">
        <f>'AX1'!Z49/'AX1'!$N49</f>
        <v>0.71322508310640709</v>
      </c>
      <c r="P47" s="451">
        <f>'AX1'!AA49/'AX1'!$N49</f>
        <v>0.33940807099728226</v>
      </c>
      <c r="Q47" s="451">
        <f>'AX1'!AB49/'AX1'!$N49</f>
        <v>0.16290673003636405</v>
      </c>
      <c r="R47" s="802">
        <f t="shared" si="2"/>
        <v>0.14046735628545987</v>
      </c>
      <c r="S47" s="803">
        <f t="shared" si="3"/>
        <v>2.2439373750904185E-2</v>
      </c>
      <c r="T47" s="451">
        <f>'AX1'!AF49/'AX1'!$N49</f>
        <v>0</v>
      </c>
      <c r="U47" s="451">
        <f>'AX1'!AG49/'AX1'!$N49</f>
        <v>0.33547330823423538</v>
      </c>
      <c r="V47" s="451">
        <f>'AX1'!AH49/'AX1'!$N49</f>
        <v>0.32237955990395667</v>
      </c>
      <c r="W47" s="451">
        <f>'AX1'!AK49/'AX1'!$N49</f>
        <v>1.3093748330278666E-2</v>
      </c>
      <c r="X47" s="451">
        <f>'AX1'!AL49/'AX1'!$N49</f>
        <v>0</v>
      </c>
      <c r="Y47" s="451">
        <f>'AX1'!AM49/'AX1'!$N49</f>
        <v>0</v>
      </c>
      <c r="Z47" s="451">
        <f>'AX1'!AN49/'AX1'!$N49</f>
        <v>3.9347627630468814E-3</v>
      </c>
      <c r="AA47" s="452">
        <f>'AX1'!EV49/'AX1'!$N49</f>
        <v>1.4792443704499825</v>
      </c>
      <c r="AB47" s="451">
        <f>'AX1'!EW49/'AX1'!$N49</f>
        <v>1.5328679030069798</v>
      </c>
      <c r="AC47" s="451">
        <f>'AX1'!EX49/'AX1'!$N49</f>
        <v>5.3623532556997248E-2</v>
      </c>
      <c r="AD47" s="218">
        <f>'AX1'!EY49/'AX1'!$N49</f>
        <v>1.5959114049336107E-3</v>
      </c>
      <c r="AE47" s="218">
        <f>'AX1'!EZ49/'AX1'!$N49</f>
        <v>9.6027489664381367E-4</v>
      </c>
      <c r="AF47" s="451">
        <f>'AX1'!FA49/'AX1'!$N49</f>
        <v>0.35915099550583723</v>
      </c>
      <c r="AG47" s="451">
        <f>'AX1'!FF49/'AX1'!$N49</f>
        <v>0.37894575303438133</v>
      </c>
      <c r="AH47" s="451">
        <f>'AX1'!FK49/'AX1'!$N49</f>
        <v>1.3744843809442466E-2</v>
      </c>
      <c r="AI47" s="451">
        <f>'AX1'!FL49/'AX1'!$N49</f>
        <v>3.8129096985108999E-3</v>
      </c>
      <c r="AJ47" s="468">
        <f>'AX1'!FR49</f>
        <v>7.7960000000000003</v>
      </c>
      <c r="AK47" s="716"/>
    </row>
    <row r="48" spans="2:37" s="9" customFormat="1" ht="12.75">
      <c r="B48" s="462">
        <v>2001</v>
      </c>
      <c r="C48" s="451">
        <f>'AX1'!O50/'AX1'!$N50</f>
        <v>0.52400398633386169</v>
      </c>
      <c r="D48" s="451">
        <f>'AX1'!P50/'AX1'!$N50</f>
        <v>0.34572207460421417</v>
      </c>
      <c r="E48" s="567">
        <f>'A1.1'!E40/'AX6'!B26</f>
        <v>0.25129608673515946</v>
      </c>
      <c r="F48" s="451">
        <f>'AX1'!Q50/'AX1'!$N50</f>
        <v>0.60503236406834993</v>
      </c>
      <c r="G48" s="451">
        <f>'AX1'!R50/'AX1'!$N50</f>
        <v>2.0551507709928148E-2</v>
      </c>
      <c r="H48" s="451">
        <f>'AX1'!S50/'AX1'!$N50</f>
        <v>2.8694053617507719E-2</v>
      </c>
      <c r="I48" s="452">
        <f>'AX1'!T50/'AX1'!$N50</f>
        <v>4.2757030225463047E-3</v>
      </c>
      <c r="J48" s="451">
        <f>'AX1'!U50/'AX1'!$N50</f>
        <v>1.4583055763484376E-2</v>
      </c>
      <c r="K48" s="451">
        <f>'AX1'!V50/'AX1'!$N50</f>
        <v>1.1679745589887094</v>
      </c>
      <c r="L48" s="453">
        <f>'AX1'!W50/'AX1'!$N50</f>
        <v>0.98969264725906192</v>
      </c>
      <c r="M48" s="452">
        <f>'AX1'!X50/'AX1'!$N50</f>
        <v>0.83575089383274237</v>
      </c>
      <c r="N48" s="451">
        <f>'AX1'!Y50/'AX1'!$N50</f>
        <v>0.12214249240461479</v>
      </c>
      <c r="O48" s="451">
        <f>'AX1'!Z50/'AX1'!$N50</f>
        <v>0.71360840142812754</v>
      </c>
      <c r="P48" s="451">
        <f>'AX1'!AA50/'AX1'!$N50</f>
        <v>0.33222366515596702</v>
      </c>
      <c r="Q48" s="451">
        <f>'AX1'!AB50/'AX1'!$N50</f>
        <v>0.15394175342631955</v>
      </c>
      <c r="R48" s="802">
        <f t="shared" si="2"/>
        <v>0.13144362678669633</v>
      </c>
      <c r="S48" s="803">
        <f t="shared" si="3"/>
        <v>2.2498126639623223E-2</v>
      </c>
      <c r="T48" s="451">
        <f>'AX1'!AF50/'AX1'!$N50</f>
        <v>0</v>
      </c>
      <c r="U48" s="451">
        <f>'AX1'!AG50/'AX1'!$N50</f>
        <v>0.30513877631236103</v>
      </c>
      <c r="V48" s="451">
        <f>'AX1'!AH50/'AX1'!$N50</f>
        <v>0.30881738497342015</v>
      </c>
      <c r="W48" s="451">
        <f>'AX1'!AK50/'AX1'!$N50</f>
        <v>-3.6786086610591218E-3</v>
      </c>
      <c r="X48" s="451">
        <f>'AX1'!AL50/'AX1'!$N50</f>
        <v>0</v>
      </c>
      <c r="Y48" s="451">
        <f>'AX1'!AM50/'AX1'!$N50</f>
        <v>0</v>
      </c>
      <c r="Z48" s="451">
        <f>'AX1'!AN50/'AX1'!$N50</f>
        <v>2.708488884360602E-2</v>
      </c>
      <c r="AA48" s="452">
        <f>'AX1'!EV50/'AX1'!$N50</f>
        <v>1.4134510143371735</v>
      </c>
      <c r="AB48" s="451">
        <f>'AX1'!EW50/'AX1'!$N50</f>
        <v>1.4695969116031466</v>
      </c>
      <c r="AC48" s="451">
        <f>'AX1'!EX50/'AX1'!$N50</f>
        <v>5.6145897265973146E-2</v>
      </c>
      <c r="AD48" s="218">
        <f>'AX1'!EY50/'AX1'!$N50</f>
        <v>2.1790772979919182E-3</v>
      </c>
      <c r="AE48" s="218">
        <f>'AX1'!EZ50/'AX1'!$N50</f>
        <v>1.0782128834138805E-3</v>
      </c>
      <c r="AF48" s="451">
        <f>'AX1'!FA50/'AX1'!$N50</f>
        <v>0.31113327751964359</v>
      </c>
      <c r="AG48" s="451">
        <f>'AX1'!FF50/'AX1'!$N50</f>
        <v>0.34843944328576393</v>
      </c>
      <c r="AH48" s="451">
        <f>'AX1'!FK50/'AX1'!$N50</f>
        <v>1.4583055763484376E-2</v>
      </c>
      <c r="AI48" s="451">
        <f>'AX1'!FL50/'AX1'!$N50</f>
        <v>4.2757030225463047E-3</v>
      </c>
      <c r="AJ48" s="468">
        <f>'AX1'!FR50</f>
        <v>7.7969999999999997</v>
      </c>
      <c r="AK48" s="716"/>
    </row>
    <row r="49" spans="2:37" s="9" customFormat="1" ht="12.75">
      <c r="B49" s="462">
        <v>2002</v>
      </c>
      <c r="C49" s="451">
        <f>'AX1'!O51/'AX1'!$N51</f>
        <v>0.54517759642487595</v>
      </c>
      <c r="D49" s="451">
        <f>'AX1'!P51/'AX1'!$N51</f>
        <v>0.35867799774385545</v>
      </c>
      <c r="E49" s="567">
        <f>'A1.1'!E41/'AX6'!B27</f>
        <v>0.22868033497671675</v>
      </c>
      <c r="F49" s="451">
        <f>'AX1'!Q51/'AX1'!$N51</f>
        <v>0.61616934617944574</v>
      </c>
      <c r="G49" s="451">
        <f>'AX1'!R51/'AX1'!$N51</f>
        <v>1.5929764038977084E-2</v>
      </c>
      <c r="H49" s="451">
        <f>'AX1'!S51/'AX1'!$N51</f>
        <v>9.2228920377217544E-3</v>
      </c>
      <c r="I49" s="452">
        <f>'AX1'!T51/'AX1'!$N51</f>
        <v>5.7176272417900813E-3</v>
      </c>
      <c r="J49" s="451">
        <f>'AX1'!U51/'AX1'!$N51</f>
        <v>1.6867141818680091E-2</v>
      </c>
      <c r="K49" s="451">
        <f>'AX1'!V51/'AX1'!$N51</f>
        <v>1.1753500841041307</v>
      </c>
      <c r="L49" s="453">
        <f>'AX1'!W51/'AX1'!$N51</f>
        <v>0.98885048542311016</v>
      </c>
      <c r="M49" s="452">
        <f>'AX1'!X51/'AX1'!$N51</f>
        <v>0.84003760422922136</v>
      </c>
      <c r="N49" s="451">
        <f>'AX1'!Y51/'AX1'!$N51</f>
        <v>0.1301191636475266</v>
      </c>
      <c r="O49" s="451">
        <f>'AX1'!Z51/'AX1'!$N51</f>
        <v>0.70991844058169473</v>
      </c>
      <c r="P49" s="451">
        <f>'AX1'!AA51/'AX1'!$N51</f>
        <v>0.33531247987490936</v>
      </c>
      <c r="Q49" s="451">
        <f>'AX1'!AB51/'AX1'!$N51</f>
        <v>0.1488128811938888</v>
      </c>
      <c r="R49" s="802">
        <f t="shared" si="2"/>
        <v>0.1257622373376599</v>
      </c>
      <c r="S49" s="803">
        <f t="shared" si="3"/>
        <v>2.3050643856228903E-2</v>
      </c>
      <c r="T49" s="451">
        <f>'AX1'!AF51/'AX1'!$N51</f>
        <v>0</v>
      </c>
      <c r="U49" s="451">
        <f>'AX1'!AG51/'AX1'!$N51</f>
        <v>0.28360487319593969</v>
      </c>
      <c r="V49" s="451">
        <f>'AX1'!AH51/'AX1'!$N51</f>
        <v>0.27826728946040746</v>
      </c>
      <c r="W49" s="451">
        <f>'AX1'!AK51/'AX1'!$N51</f>
        <v>5.3375837355322218E-3</v>
      </c>
      <c r="X49" s="451">
        <f>'AX1'!AL51/'AX1'!$N51</f>
        <v>0</v>
      </c>
      <c r="Y49" s="451">
        <f>'AX1'!AM51/'AX1'!$N51</f>
        <v>0</v>
      </c>
      <c r="Z49" s="451">
        <f>'AX1'!AN51/'AX1'!$N51</f>
        <v>5.1707606678969661E-2</v>
      </c>
      <c r="AA49" s="452">
        <f>'AX1'!EV51/'AX1'!$N51</f>
        <v>1.5160821918461957</v>
      </c>
      <c r="AB49" s="451">
        <f>'AX1'!EW51/'AX1'!$N51</f>
        <v>1.6158789760887218</v>
      </c>
      <c r="AC49" s="451">
        <f>'AX1'!EX51/'AX1'!$N51</f>
        <v>9.9796784242526082E-2</v>
      </c>
      <c r="AD49" s="218">
        <f>'AX1'!EY51/'AX1'!$N51</f>
        <v>2.1982169059232524E-3</v>
      </c>
      <c r="AE49" s="218">
        <f>'AX1'!EZ51/'AX1'!$N51</f>
        <v>8.8645383593644674E-4</v>
      </c>
      <c r="AF49" s="451">
        <f>'AX1'!FA51/'AX1'!$N51</f>
        <v>0.30213553051099412</v>
      </c>
      <c r="AG49" s="451">
        <f>'AX1'!FF51/'AX1'!$N51</f>
        <v>0.31788234556680983</v>
      </c>
      <c r="AH49" s="451">
        <f>'AX1'!FK51/'AX1'!$N51</f>
        <v>1.6867141818680091E-2</v>
      </c>
      <c r="AI49" s="451">
        <f>'AX1'!FL51/'AX1'!$N51</f>
        <v>5.7176272417900813E-3</v>
      </c>
      <c r="AJ49" s="468">
        <f>'AX1'!FR51</f>
        <v>7.798</v>
      </c>
      <c r="AK49" s="716"/>
    </row>
    <row r="50" spans="2:37" s="9" customFormat="1" ht="12.75">
      <c r="B50" s="462">
        <v>2003</v>
      </c>
      <c r="C50" s="451">
        <f>'AX1'!O52/'AX1'!$N52</f>
        <v>0.53654968378152168</v>
      </c>
      <c r="D50" s="451">
        <f>'AX1'!P52/'AX1'!$N52</f>
        <v>0.35251629403443624</v>
      </c>
      <c r="E50" s="567">
        <f>'A1.1'!E42/'AX6'!B28</f>
        <v>0.28659883235839811</v>
      </c>
      <c r="F50" s="451">
        <f>'AX1'!Q52/'AX1'!$N52</f>
        <v>0.59576263622475334</v>
      </c>
      <c r="G50" s="451">
        <f>'AX1'!R52/'AX1'!$N52</f>
        <v>1.9975533134153511E-2</v>
      </c>
      <c r="H50" s="451">
        <f>'AX1'!S52/'AX1'!$N52</f>
        <v>3.1745536606656861E-2</v>
      </c>
      <c r="I50" s="452">
        <f>'AX1'!T52/'AX1'!$N52</f>
        <v>3.8709941121821607E-3</v>
      </c>
      <c r="J50" s="451">
        <f>'AX1'!U52/'AX1'!$N52</f>
        <v>1.4216524405196567E-2</v>
      </c>
      <c r="K50" s="451">
        <f>'AX1'!V52/'AX1'!$N52</f>
        <v>1.1736878594540709</v>
      </c>
      <c r="L50" s="453">
        <f>'AX1'!W52/'AX1'!$N52</f>
        <v>0.98965446970698567</v>
      </c>
      <c r="M50" s="452">
        <f>'AX1'!X52/'AX1'!$N52</f>
        <v>0.80965363078769881</v>
      </c>
      <c r="N50" s="451">
        <f>'AX1'!Y52/'AX1'!$N52</f>
        <v>0.12989220879660648</v>
      </c>
      <c r="O50" s="451">
        <f>'AX1'!Z52/'AX1'!$N52</f>
        <v>0.67976142199109235</v>
      </c>
      <c r="P50" s="451">
        <f>'AX1'!AA52/'AX1'!$N52</f>
        <v>0.36403422866637225</v>
      </c>
      <c r="Q50" s="451">
        <f>'AX1'!AB52/'AX1'!$N52</f>
        <v>0.18000083891928687</v>
      </c>
      <c r="R50" s="802">
        <f t="shared" si="2"/>
        <v>0.15112342064633769</v>
      </c>
      <c r="S50" s="803">
        <f t="shared" si="3"/>
        <v>2.8877418272949179E-2</v>
      </c>
      <c r="T50" s="451">
        <f>'AX1'!AF52/'AX1'!$N52</f>
        <v>0</v>
      </c>
      <c r="U50" s="451">
        <f>'AX1'!AG52/'AX1'!$N52</f>
        <v>0.26443299541459475</v>
      </c>
      <c r="V50" s="451">
        <f>'AX1'!AH52/'AX1'!$N52</f>
        <v>0.25586641116487613</v>
      </c>
      <c r="W50" s="451">
        <f>'AX1'!AK52/'AX1'!$N52</f>
        <v>8.5665842497186472E-3</v>
      </c>
      <c r="X50" s="451">
        <f>'AX1'!AL52/'AX1'!$N52</f>
        <v>0</v>
      </c>
      <c r="Y50" s="451">
        <f>'AX1'!AM52/'AX1'!$N52</f>
        <v>0</v>
      </c>
      <c r="Z50" s="451">
        <f>'AX1'!AN52/'AX1'!$N52</f>
        <v>9.9601233251777499E-2</v>
      </c>
      <c r="AA50" s="452">
        <f>'AX1'!EV52/'AX1'!$N52</f>
        <v>1.6740446415206969</v>
      </c>
      <c r="AB50" s="451">
        <f>'AX1'!EW52/'AX1'!$N52</f>
        <v>1.781536421915888</v>
      </c>
      <c r="AC50" s="451">
        <f>'AX1'!EX52/'AX1'!$N52</f>
        <v>0.10749178039519104</v>
      </c>
      <c r="AD50" s="218">
        <f>'AX1'!EY52/'AX1'!$N52</f>
        <v>2.3224084180446776E-3</v>
      </c>
      <c r="AE50" s="218">
        <f>'AX1'!EZ52/'AX1'!$N52</f>
        <v>8.7630957312455045E-4</v>
      </c>
      <c r="AF50" s="451">
        <f>'AX1'!FA52/'AX1'!$N52</f>
        <v>0.28703933776076812</v>
      </c>
      <c r="AG50" s="451">
        <f>'AX1'!FF52/'AX1'!$N52</f>
        <v>0.31527305435066511</v>
      </c>
      <c r="AH50" s="451">
        <f>'AX1'!FK52/'AX1'!$N52</f>
        <v>1.4216524405196567E-2</v>
      </c>
      <c r="AI50" s="451">
        <f>'AX1'!FL52/'AX1'!$N52</f>
        <v>3.8709941121821607E-3</v>
      </c>
      <c r="AJ50" s="468">
        <f>'AX1'!FR52</f>
        <v>7.7629999999999999</v>
      </c>
      <c r="AK50" s="716"/>
    </row>
    <row r="51" spans="2:37" s="9" customFormat="1" ht="12.75">
      <c r="B51" s="462">
        <v>2004</v>
      </c>
      <c r="C51" s="451">
        <f>'AX1'!O53/'AX1'!$N53</f>
        <v>0.5557516112300902</v>
      </c>
      <c r="D51" s="451">
        <f>'AX1'!P53/'AX1'!$N53</f>
        <v>0.3752446101695473</v>
      </c>
      <c r="E51" s="567">
        <f>'A1.1'!E43/'AX6'!B29</f>
        <v>0.30120340307839205</v>
      </c>
      <c r="F51" s="451">
        <f>'AX1'!Q53/'AX1'!$N53</f>
        <v>0.57719720107256534</v>
      </c>
      <c r="G51" s="451">
        <f>'AX1'!R53/'AX1'!$N53</f>
        <v>2.1844694624521481E-2</v>
      </c>
      <c r="H51" s="451">
        <f>'AX1'!S53/'AX1'!$N53</f>
        <v>2.571349413336604E-2</v>
      </c>
      <c r="I51" s="452">
        <f>'AX1'!T53/'AX1'!$N53</f>
        <v>4.3784671021333283E-3</v>
      </c>
      <c r="J51" s="451">
        <f>'AX1'!U53/'AX1'!$N53</f>
        <v>1.4877439746953132E-2</v>
      </c>
      <c r="K51" s="451">
        <f>'AX1'!V53/'AX1'!$N53</f>
        <v>1.1700080284157233</v>
      </c>
      <c r="L51" s="453">
        <f>'AX1'!W53/'AX1'!$N53</f>
        <v>0.98950102735518031</v>
      </c>
      <c r="M51" s="452">
        <f>'AX1'!X53/'AX1'!$N53</f>
        <v>0.81600478339464766</v>
      </c>
      <c r="N51" s="451">
        <f>'AX1'!Y53/'AX1'!$N53</f>
        <v>0.12256651678182875</v>
      </c>
      <c r="O51" s="451">
        <f>'AX1'!Z53/'AX1'!$N53</f>
        <v>0.69343826661281893</v>
      </c>
      <c r="P51" s="451">
        <f>'AX1'!AA53/'AX1'!$N53</f>
        <v>0.35400324502107555</v>
      </c>
      <c r="Q51" s="451">
        <f>'AX1'!AB53/'AX1'!$N53</f>
        <v>0.17349624396053265</v>
      </c>
      <c r="R51" s="802">
        <f t="shared" si="2"/>
        <v>0.14743655567229808</v>
      </c>
      <c r="S51" s="803">
        <f t="shared" si="3"/>
        <v>2.6059688288234573E-2</v>
      </c>
      <c r="T51" s="451">
        <f>'AX1'!AF53/'AX1'!$N53</f>
        <v>0</v>
      </c>
      <c r="U51" s="451">
        <f>'AX1'!AG53/'AX1'!$N53</f>
        <v>0.26466399911388394</v>
      </c>
      <c r="V51" s="451">
        <f>'AX1'!AH53/'AX1'!$N53</f>
        <v>0.25830349137118319</v>
      </c>
      <c r="W51" s="451">
        <f>'AX1'!AK53/'AX1'!$N53</f>
        <v>6.3605077427007651E-3</v>
      </c>
      <c r="X51" s="451">
        <f>'AX1'!AL53/'AX1'!$N53</f>
        <v>0</v>
      </c>
      <c r="Y51" s="451">
        <f>'AX1'!AM53/'AX1'!$N53</f>
        <v>0</v>
      </c>
      <c r="Z51" s="451">
        <f>'AX1'!AN53/'AX1'!$N53</f>
        <v>8.9339245907191625E-2</v>
      </c>
      <c r="AA51" s="452">
        <f>'AX1'!EV53/'AX1'!$N53</f>
        <v>1.8829898449637876</v>
      </c>
      <c r="AB51" s="451">
        <f>'AX1'!EW53/'AX1'!$N53</f>
        <v>1.9861062958133726</v>
      </c>
      <c r="AC51" s="451">
        <f>'AX1'!EX53/'AX1'!$N53</f>
        <v>0.10311645084958497</v>
      </c>
      <c r="AD51" s="218">
        <f>'AX1'!EY53/'AX1'!$N53</f>
        <v>2.2445149566879324E-3</v>
      </c>
      <c r="AE51" s="218">
        <f>'AX1'!EZ53/'AX1'!$N53</f>
        <v>1.6800154001000184E-3</v>
      </c>
      <c r="AF51" s="451">
        <f>'AX1'!FA53/'AX1'!$N53</f>
        <v>0.34075278648021157</v>
      </c>
      <c r="AG51" s="451">
        <f>'AX1'!FF53/'AX1'!$N53</f>
        <v>0.36236017555865152</v>
      </c>
      <c r="AH51" s="451">
        <f>'AX1'!FK53/'AX1'!$N53</f>
        <v>1.4877439746953132E-2</v>
      </c>
      <c r="AI51" s="451">
        <f>'AX1'!FL53/'AX1'!$N53</f>
        <v>4.3784671021333283E-3</v>
      </c>
      <c r="AJ51" s="468">
        <f>'AX1'!FR53</f>
        <v>7.7735000000000003</v>
      </c>
      <c r="AK51" s="716"/>
    </row>
    <row r="52" spans="2:37" s="9" customFormat="1" ht="12.75">
      <c r="B52" s="462">
        <v>2005</v>
      </c>
      <c r="C52" s="451">
        <f>'AX1'!O54/'AX1'!$N54</f>
        <v>0.57930619814185247</v>
      </c>
      <c r="D52" s="451">
        <f>'AX1'!P54/'AX1'!$N54</f>
        <v>0.3962141869080702</v>
      </c>
      <c r="E52" s="567">
        <f>'A1.1'!E44/'AX6'!B30</f>
        <v>0.34058149184389203</v>
      </c>
      <c r="F52" s="451">
        <f>'AX1'!Q54/'AX1'!$N54</f>
        <v>0.57451479619937884</v>
      </c>
      <c r="G52" s="451">
        <f>'AX1'!R54/'AX1'!$N54</f>
        <v>2.2556564304122975E-2</v>
      </c>
      <c r="H52" s="451">
        <f>'AX1'!S54/'AX1'!$N54</f>
        <v>6.7144525884277485E-3</v>
      </c>
      <c r="I52" s="452">
        <f>'AX1'!T54/'AX1'!$N54</f>
        <v>6.2601617608754705E-3</v>
      </c>
      <c r="J52" s="451">
        <f>'AX1'!U54/'AX1'!$N54</f>
        <v>1.6681525030514569E-2</v>
      </c>
      <c r="K52" s="451">
        <f>'AX1'!V54/'AX1'!$N54</f>
        <v>1.1726706479641429</v>
      </c>
      <c r="L52" s="453">
        <f>'AX1'!W54/'AX1'!$N54</f>
        <v>0.98957863673036073</v>
      </c>
      <c r="M52" s="452">
        <f>'AX1'!X54/'AX1'!$N54</f>
        <v>0.8045900442411793</v>
      </c>
      <c r="N52" s="451">
        <f>'AX1'!Y54/'AX1'!$N54</f>
        <v>0.11149424095900513</v>
      </c>
      <c r="O52" s="451">
        <f>'AX1'!Z54/'AX1'!$N54</f>
        <v>0.69309580328217413</v>
      </c>
      <c r="P52" s="451">
        <f>'AX1'!AA54/'AX1'!$N54</f>
        <v>0.36808060372296358</v>
      </c>
      <c r="Q52" s="451">
        <f>'AX1'!AB54/'AX1'!$N54</f>
        <v>0.18498859248918145</v>
      </c>
      <c r="R52" s="802">
        <f t="shared" si="2"/>
        <v>0.15935421774979736</v>
      </c>
      <c r="S52" s="803">
        <f t="shared" si="3"/>
        <v>2.5634374739384097E-2</v>
      </c>
      <c r="T52" s="451">
        <f>'AX1'!AF54/'AX1'!$N54</f>
        <v>0</v>
      </c>
      <c r="U52" s="451">
        <f>'AX1'!AG54/'AX1'!$N54</f>
        <v>0.25395113439210432</v>
      </c>
      <c r="V52" s="451">
        <f>'AX1'!AH54/'AX1'!$N54</f>
        <v>0.25801669572664643</v>
      </c>
      <c r="W52" s="451">
        <f>'AX1'!AK54/'AX1'!$N54</f>
        <v>-4.0655613345420968E-3</v>
      </c>
      <c r="X52" s="451">
        <f>'AX1'!AL54/'AX1'!$N54</f>
        <v>0</v>
      </c>
      <c r="Y52" s="451">
        <f>'AX1'!AM54/'AX1'!$N54</f>
        <v>0</v>
      </c>
      <c r="Z52" s="451">
        <f>'AX1'!AN54/'AX1'!$N54</f>
        <v>0.11412946933085927</v>
      </c>
      <c r="AA52" s="452">
        <f>'AX1'!EV54/'AX1'!$N54</f>
        <v>1.9925118842731484</v>
      </c>
      <c r="AB52" s="451">
        <f>'AX1'!EW54/'AX1'!$N54</f>
        <v>2.1398267861986255</v>
      </c>
      <c r="AC52" s="451">
        <f>'AX1'!EX54/'AX1'!$N54</f>
        <v>0.14731490192547697</v>
      </c>
      <c r="AD52" s="218">
        <f>'AX1'!EY54/'AX1'!$N54</f>
        <v>2.3124427838563323E-3</v>
      </c>
      <c r="AE52" s="218">
        <f>'AX1'!EZ54/'AX1'!$N54</f>
        <v>1.9717246631921238E-3</v>
      </c>
      <c r="AF52" s="451">
        <f>'AX1'!FA54/'AX1'!$N54</f>
        <v>0.42663032287920777</v>
      </c>
      <c r="AG52" s="451">
        <f>'AX1'!FF54/'AX1'!$N54</f>
        <v>0.42837746391900466</v>
      </c>
      <c r="AH52" s="451">
        <f>'AX1'!FK54/'AX1'!$N54</f>
        <v>1.6681525030514569E-2</v>
      </c>
      <c r="AI52" s="451">
        <f>'AX1'!FL54/'AX1'!$N54</f>
        <v>6.2601617608754705E-3</v>
      </c>
      <c r="AJ52" s="468">
        <f>'AX1'!FR54</f>
        <v>7.7525000000000004</v>
      </c>
      <c r="AK52" s="716"/>
    </row>
    <row r="53" spans="2:37" s="9" customFormat="1" ht="12.75">
      <c r="B53" s="462">
        <v>2006</v>
      </c>
      <c r="C53" s="451">
        <f>'AX1'!O55/'AX1'!$N55</f>
        <v>0.5718863045246223</v>
      </c>
      <c r="D53" s="451">
        <f>'AX1'!P55/'AX1'!$N55</f>
        <v>0.39412840559486595</v>
      </c>
      <c r="E53" s="567">
        <f>'A1.1'!E45/'AX6'!B31</f>
        <v>0.32074380367324684</v>
      </c>
      <c r="F53" s="451">
        <f>'AX1'!Q55/'AX1'!$N55</f>
        <v>0.55462713124599949</v>
      </c>
      <c r="G53" s="451">
        <f>'AX1'!R55/'AX1'!$N55</f>
        <v>2.3026799693067316E-2</v>
      </c>
      <c r="H53" s="451">
        <f>'AX1'!S55/'AX1'!$N55</f>
        <v>2.8217663466067272E-2</v>
      </c>
      <c r="I53" s="452">
        <f>'AX1'!T55/'AX1'!$N55</f>
        <v>5.8191370157100707E-3</v>
      </c>
      <c r="J53" s="451">
        <f>'AX1'!U55/'AX1'!$N55</f>
        <v>1.5576493637277571E-2</v>
      </c>
      <c r="K53" s="451">
        <f>'AX1'!V55/'AX1'!$N55</f>
        <v>1.1680005423081887</v>
      </c>
      <c r="L53" s="453">
        <f>'AX1'!W55/'AX1'!$N55</f>
        <v>0.99024264337843237</v>
      </c>
      <c r="M53" s="452">
        <f>'AX1'!X55/'AX1'!$N55</f>
        <v>0.78087574035063911</v>
      </c>
      <c r="N53" s="451">
        <f>'AX1'!Y55/'AX1'!$N55</f>
        <v>0.10289398695549469</v>
      </c>
      <c r="O53" s="451">
        <f>'AX1'!Z55/'AX1'!$N55</f>
        <v>0.67798175339514444</v>
      </c>
      <c r="P53" s="451">
        <f>'AX1'!AA55/'AX1'!$N55</f>
        <v>0.38712480195754972</v>
      </c>
      <c r="Q53" s="451">
        <f>'AX1'!AB55/'AX1'!$N55</f>
        <v>0.20936690302779329</v>
      </c>
      <c r="R53" s="802">
        <f t="shared" si="2"/>
        <v>0.18177916495901841</v>
      </c>
      <c r="S53" s="803">
        <f t="shared" si="3"/>
        <v>2.7587738068774875E-2</v>
      </c>
      <c r="T53" s="451">
        <f>'AX1'!AF55/'AX1'!$N55</f>
        <v>0</v>
      </c>
      <c r="U53" s="451">
        <f>'AX1'!AG55/'AX1'!$N55</f>
        <v>0.26147405573380506</v>
      </c>
      <c r="V53" s="451">
        <f>'AX1'!AH55/'AX1'!$N55</f>
        <v>0.26313566285645085</v>
      </c>
      <c r="W53" s="451">
        <f>'AX1'!AK55/'AX1'!$N55</f>
        <v>-1.6616071226457536E-3</v>
      </c>
      <c r="X53" s="451">
        <f>'AX1'!AL55/'AX1'!$N55</f>
        <v>0</v>
      </c>
      <c r="Y53" s="451">
        <f>'AX1'!AM55/'AX1'!$N55</f>
        <v>0</v>
      </c>
      <c r="Z53" s="451">
        <f>'AX1'!AN55/'AX1'!$N55</f>
        <v>0.12565074622374464</v>
      </c>
      <c r="AA53" s="452">
        <f>'AX1'!EV55/'AX1'!$N55</f>
        <v>2.0418365282066033</v>
      </c>
      <c r="AB53" s="451">
        <f>'AX1'!EW55/'AX1'!$N55</f>
        <v>2.1727975491426461</v>
      </c>
      <c r="AC53" s="451">
        <f>'AX1'!EX55/'AX1'!$N55</f>
        <v>0.13096102093604264</v>
      </c>
      <c r="AD53" s="218">
        <f>'AX1'!EY55/'AX1'!$N55</f>
        <v>2.283636656111543E-3</v>
      </c>
      <c r="AE53" s="218">
        <f>'AX1'!EZ55/'AX1'!$N55</f>
        <v>1.782578989254533E-3</v>
      </c>
      <c r="AF53" s="451">
        <f>'AX1'!FA55/'AX1'!$N55</f>
        <v>0.48484743673143332</v>
      </c>
      <c r="AG53" s="451">
        <f>'AX1'!FF55/'AX1'!$N55</f>
        <v>0.50669183398635664</v>
      </c>
      <c r="AH53" s="451">
        <f>'AX1'!FK55/'AX1'!$N55</f>
        <v>1.5576493637277571E-2</v>
      </c>
      <c r="AI53" s="451">
        <f>'AX1'!FL55/'AX1'!$N55</f>
        <v>5.8191370157100707E-3</v>
      </c>
      <c r="AJ53" s="468">
        <f>'AX1'!FR55</f>
        <v>7.7744999999999997</v>
      </c>
      <c r="AK53" s="716"/>
    </row>
    <row r="54" spans="2:37" s="9" customFormat="1" ht="12.75">
      <c r="B54" s="462">
        <v>2007</v>
      </c>
      <c r="C54" s="451">
        <f>'AX1'!O56/'AX1'!$N56</f>
        <v>0.56592409188022064</v>
      </c>
      <c r="D54" s="451">
        <f>'AX1'!P56/'AX1'!$N56</f>
        <v>0.38945828177229358</v>
      </c>
      <c r="E54" s="567">
        <f>'A1.1'!E46/'AX6'!B32</f>
        <v>0.37067861832513327</v>
      </c>
      <c r="F54" s="451">
        <f>'AX1'!Q56/'AX1'!$N56</f>
        <v>0.55276841282884293</v>
      </c>
      <c r="G54" s="451">
        <f>'AX1'!R56/'AX1'!$N56</f>
        <v>1.9908421488784581E-2</v>
      </c>
      <c r="H54" s="451">
        <f>'AX1'!S56/'AX1'!$N56</f>
        <v>3.7864883910078737E-2</v>
      </c>
      <c r="I54" s="452">
        <f>'AX1'!T56/'AX1'!$N56</f>
        <v>5.1910332743584009E-3</v>
      </c>
      <c r="J54" s="451">
        <f>'AX1'!U56/'AX1'!$N56</f>
        <v>1.5192783552564525E-2</v>
      </c>
      <c r="K54" s="451">
        <f>'AX1'!V56/'AX1'!$N56</f>
        <v>1.1664640598297209</v>
      </c>
      <c r="L54" s="453">
        <f>'AX1'!W56/'AX1'!$N56</f>
        <v>0.98999824972179384</v>
      </c>
      <c r="M54" s="452">
        <f>'AX1'!X56/'AX1'!$N56</f>
        <v>0.79563795744979193</v>
      </c>
      <c r="N54" s="451">
        <f>'AX1'!Y56/'AX1'!$N56</f>
        <v>9.8603379037419892E-2</v>
      </c>
      <c r="O54" s="451">
        <f>'AX1'!Z56/'AX1'!$N56</f>
        <v>0.69703457841237204</v>
      </c>
      <c r="P54" s="451">
        <f>'AX1'!AA56/'AX1'!$N56</f>
        <v>0.37082610237992897</v>
      </c>
      <c r="Q54" s="451">
        <f>'AX1'!AB56/'AX1'!$N56</f>
        <v>0.19436029227200199</v>
      </c>
      <c r="R54" s="802">
        <f t="shared" si="2"/>
        <v>0.1702732293192151</v>
      </c>
      <c r="S54" s="803">
        <f t="shared" si="3"/>
        <v>2.4087062952786897E-2</v>
      </c>
      <c r="T54" s="451">
        <f>'AX1'!AF56/'AX1'!$N56</f>
        <v>0</v>
      </c>
      <c r="U54" s="451">
        <f>'AX1'!AG56/'AX1'!$N56</f>
        <v>0.25060926454395355</v>
      </c>
      <c r="V54" s="451">
        <f>'AX1'!AH56/'AX1'!$N56</f>
        <v>0.2414979935931558</v>
      </c>
      <c r="W54" s="451">
        <f>'AX1'!AK56/'AX1'!$N56</f>
        <v>9.1112709507977334E-3</v>
      </c>
      <c r="X54" s="451">
        <f>'AX1'!AL56/'AX1'!$N56</f>
        <v>0</v>
      </c>
      <c r="Y54" s="451">
        <f>'AX1'!AM56/'AX1'!$N56</f>
        <v>0</v>
      </c>
      <c r="Z54" s="451">
        <f>'AX1'!AN56/'AX1'!$N56</f>
        <v>0.12021683783597543</v>
      </c>
      <c r="AA54" s="452">
        <f>'AX1'!EV56/'AX1'!$N56</f>
        <v>2.0583837641581431</v>
      </c>
      <c r="AB54" s="451">
        <f>'AX1'!EW56/'AX1'!$N56</f>
        <v>2.1834226717224592</v>
      </c>
      <c r="AC54" s="451">
        <f>'AX1'!EX56/'AX1'!$N56</f>
        <v>0.12503890756431596</v>
      </c>
      <c r="AD54" s="218">
        <f>'AX1'!EY56/'AX1'!$N56</f>
        <v>2.1456649291497817E-3</v>
      </c>
      <c r="AE54" s="218">
        <f>'AX1'!EZ56/'AX1'!$N56</f>
        <v>1.7525768435846434E-3</v>
      </c>
      <c r="AF54" s="451">
        <f>'AX1'!FA56/'AX1'!$N56</f>
        <v>0.60126086595479644</v>
      </c>
      <c r="AG54" s="451">
        <f>'AX1'!FF56/'AX1'!$N56</f>
        <v>0.63318330813814594</v>
      </c>
      <c r="AH54" s="451">
        <f>'AX1'!FK56/'AX1'!$N56</f>
        <v>1.5192783552564525E-2</v>
      </c>
      <c r="AI54" s="451">
        <f>'AX1'!FL56/'AX1'!$N56</f>
        <v>5.1910332743584009E-3</v>
      </c>
      <c r="AJ54" s="468">
        <f>'AX1'!FR56</f>
        <v>7.8014999999999999</v>
      </c>
      <c r="AK54" s="716"/>
    </row>
    <row r="55" spans="2:37" s="9" customFormat="1" ht="12.75">
      <c r="B55" s="462">
        <v>2008</v>
      </c>
      <c r="C55" s="451">
        <f>'AX1'!O57/'AX1'!$N57</f>
        <v>0.54467741808234382</v>
      </c>
      <c r="D55" s="451">
        <f>'AX1'!P57/'AX1'!$N57</f>
        <v>0.36405821316566184</v>
      </c>
      <c r="E55" s="567">
        <f>'A1.1'!E47/'AX6'!B33</f>
        <v>0.40838991492541177</v>
      </c>
      <c r="F55" s="451">
        <f>'AX1'!Q57/'AX1'!$N57</f>
        <v>0.55057940932772675</v>
      </c>
      <c r="G55" s="451">
        <f>'AX1'!R57/'AX1'!$N57</f>
        <v>1.6192220371735414E-2</v>
      </c>
      <c r="H55" s="451">
        <f>'AX1'!S57/'AX1'!$N57</f>
        <v>6.9170157134876176E-2</v>
      </c>
      <c r="I55" s="452">
        <f>'AX1'!T57/'AX1'!$N57</f>
        <v>3.2656175254942928E-3</v>
      </c>
      <c r="J55" s="451">
        <f>'AX1'!U57/'AX1'!$N57</f>
        <v>1.589921371416322E-2</v>
      </c>
      <c r="K55" s="451">
        <f>'AX1'!V57/'AX1'!$N57</f>
        <v>1.1679856087280129</v>
      </c>
      <c r="L55" s="453">
        <f>'AX1'!W57/'AX1'!$N57</f>
        <v>0.98736640381133101</v>
      </c>
      <c r="M55" s="452">
        <f>'AX1'!X57/'AX1'!$N57</f>
        <v>0.80593917169059071</v>
      </c>
      <c r="N55" s="451">
        <f>'AX1'!Y57/'AX1'!$N57</f>
        <v>0.10156900804183415</v>
      </c>
      <c r="O55" s="451">
        <f>'AX1'!Z57/'AX1'!$N57</f>
        <v>0.70437016364875649</v>
      </c>
      <c r="P55" s="451">
        <f>'AX1'!AA57/'AX1'!$N57</f>
        <v>0.36204643703742229</v>
      </c>
      <c r="Q55" s="451">
        <f>'AX1'!AB57/'AX1'!$N57</f>
        <v>0.18142723212074033</v>
      </c>
      <c r="R55" s="802">
        <f t="shared" si="2"/>
        <v>0.15856274724947556</v>
      </c>
      <c r="S55" s="803">
        <f t="shared" si="3"/>
        <v>2.2864484871264773E-2</v>
      </c>
      <c r="T55" s="451">
        <f>'AX1'!AF57/'AX1'!$N57</f>
        <v>0</v>
      </c>
      <c r="U55" s="451">
        <f>'AX1'!AG57/'AX1'!$N57</f>
        <v>0.24653456652437225</v>
      </c>
      <c r="V55" s="451">
        <f>'AX1'!AH57/'AX1'!$N57</f>
        <v>0.24071560526860597</v>
      </c>
      <c r="W55" s="451">
        <f>'AX1'!AK57/'AX1'!$N57</f>
        <v>5.8189612557662538E-3</v>
      </c>
      <c r="X55" s="451">
        <f>'AX1'!AL57/'AX1'!$N57</f>
        <v>0</v>
      </c>
      <c r="Y55" s="451">
        <f>'AX1'!AM57/'AX1'!$N57</f>
        <v>0</v>
      </c>
      <c r="Z55" s="451">
        <f>'AX1'!AN57/'AX1'!$N57</f>
        <v>0.11551187051305006</v>
      </c>
      <c r="AA55" s="452">
        <f>'AX1'!EV57/'AX1'!$N57</f>
        <v>2.1469956472871887</v>
      </c>
      <c r="AB55" s="451">
        <f>'AX1'!EW57/'AX1'!$N57</f>
        <v>2.2661965196529517</v>
      </c>
      <c r="AC55" s="451">
        <f>'AX1'!EX57/'AX1'!$N57</f>
        <v>0.11920087236576267</v>
      </c>
      <c r="AD55" s="218">
        <f>'AX1'!EY57/'AX1'!$N57</f>
        <v>2.1004528778184556E-3</v>
      </c>
      <c r="AE55" s="218">
        <f>'AX1'!EZ57/'AX1'!$N57</f>
        <v>1.8987105889982574E-3</v>
      </c>
      <c r="AF55" s="451">
        <f>'AX1'!FA57/'AX1'!$N57</f>
        <v>0.58768009072106564</v>
      </c>
      <c r="AG55" s="451">
        <f>'AX1'!FF57/'AX1'!$N57</f>
        <v>0.64377268139221611</v>
      </c>
      <c r="AH55" s="451">
        <f>'AX1'!FK57/'AX1'!$N57</f>
        <v>1.589921371416322E-2</v>
      </c>
      <c r="AI55" s="451">
        <f>'AX1'!FL57/'AX1'!$N57</f>
        <v>3.2656175254942928E-3</v>
      </c>
      <c r="AJ55" s="468">
        <f>'AX1'!FR57</f>
        <v>7.7504999999999997</v>
      </c>
      <c r="AK55" s="716"/>
    </row>
    <row r="56" spans="2:37" s="9" customFormat="1" ht="12.75">
      <c r="B56" s="462">
        <v>2009</v>
      </c>
      <c r="C56" s="451">
        <f>'AX1'!O58/'AX1'!$N58</f>
        <v>0.54276788419367139</v>
      </c>
      <c r="D56" s="451">
        <f>'AX1'!P58/'AX1'!$N58</f>
        <v>0.34365081447026302</v>
      </c>
      <c r="E56" s="567">
        <f>'A1.1'!E48/'AX6'!B34</f>
        <v>0.32171473269826306</v>
      </c>
      <c r="F56" s="451">
        <f>'AX1'!Q58/'AX1'!$N58</f>
        <v>0.60223555378898508</v>
      </c>
      <c r="G56" s="451">
        <f>'AX1'!R58/'AX1'!$N58</f>
        <v>1.7168933194291774E-2</v>
      </c>
      <c r="H56" s="451">
        <f>'AX1'!S58/'AX1'!$N58</f>
        <v>3.6944698546460042E-2</v>
      </c>
      <c r="I56" s="452">
        <f>'AX1'!T58/'AX1'!$N58</f>
        <v>2.6729767573151482E-3</v>
      </c>
      <c r="J56" s="451">
        <f>'AX1'!U58/'AX1'!$N58</f>
        <v>1.4714968555117926E-2</v>
      </c>
      <c r="K56" s="451">
        <f>'AX1'!V58/'AX1'!$N58</f>
        <v>1.1870750779256056</v>
      </c>
      <c r="L56" s="453">
        <f>'AX1'!W58/'AX1'!$N58</f>
        <v>0.98795800820219726</v>
      </c>
      <c r="M56" s="452">
        <f>'AX1'!X58/'AX1'!$N58</f>
        <v>0.85703337010658287</v>
      </c>
      <c r="N56" s="451">
        <f>'AX1'!Y58/'AX1'!$N58</f>
        <v>0.11208716832874564</v>
      </c>
      <c r="O56" s="451">
        <f>'AX1'!Z58/'AX1'!$N58</f>
        <v>0.74494620177783721</v>
      </c>
      <c r="P56" s="451">
        <f>'AX1'!AA58/'AX1'!$N58</f>
        <v>0.33004170781902276</v>
      </c>
      <c r="Q56" s="451">
        <f>'AX1'!AB58/'AX1'!$N58</f>
        <v>0.13092463809561439</v>
      </c>
      <c r="R56" s="802">
        <f t="shared" si="2"/>
        <v>0.11380165028619196</v>
      </c>
      <c r="S56" s="803">
        <f t="shared" si="3"/>
        <v>1.7122987809422424E-2</v>
      </c>
      <c r="T56" s="451">
        <f>'AX1'!AF58/'AX1'!$N58</f>
        <v>0</v>
      </c>
      <c r="U56" s="451">
        <f>'AX1'!AG58/'AX1'!$N58</f>
        <v>0.26641060315904319</v>
      </c>
      <c r="V56" s="451">
        <f>'AX1'!AH58/'AX1'!$N58</f>
        <v>0.24955034476213178</v>
      </c>
      <c r="W56" s="451">
        <f>'AX1'!AK58/'AX1'!$N58</f>
        <v>1.6860258396911413E-2</v>
      </c>
      <c r="X56" s="451">
        <f>'AX1'!AL58/'AX1'!$N58</f>
        <v>0</v>
      </c>
      <c r="Y56" s="451">
        <f>'AX1'!AM58/'AX1'!$N58</f>
        <v>0</v>
      </c>
      <c r="Z56" s="451">
        <f>'AX1'!AN58/'AX1'!$N58</f>
        <v>6.3631104659979593E-2</v>
      </c>
      <c r="AA56" s="452">
        <f>'AX1'!EV58/'AX1'!$N58</f>
        <v>2.0762583980593403</v>
      </c>
      <c r="AB56" s="451">
        <f>'AX1'!EW58/'AX1'!$N58</f>
        <v>2.1722599347446003</v>
      </c>
      <c r="AC56" s="451">
        <f>'AX1'!EX58/'AX1'!$N58</f>
        <v>9.6001536685260166E-2</v>
      </c>
      <c r="AD56" s="218">
        <f>'AX1'!EY58/'AX1'!$N58</f>
        <v>2.3547477400158744E-3</v>
      </c>
      <c r="AE56" s="218">
        <f>'AX1'!EZ58/'AX1'!$N58</f>
        <v>1.9813982231843938E-3</v>
      </c>
      <c r="AF56" s="451">
        <f>'AX1'!FA58/'AX1'!$N58</f>
        <v>0.54198443816032038</v>
      </c>
      <c r="AG56" s="451">
        <f>'AX1'!FF58/'AX1'!$N58</f>
        <v>0.57657438896676461</v>
      </c>
      <c r="AH56" s="451">
        <f>'AX1'!FK58/'AX1'!$N58</f>
        <v>1.4714968555117926E-2</v>
      </c>
      <c r="AI56" s="451">
        <f>'AX1'!FL58/'AX1'!$N58</f>
        <v>2.6729767573151482E-3</v>
      </c>
      <c r="AJ56" s="468">
        <f>'AX1'!FR58</f>
        <v>7.7554999999999996</v>
      </c>
      <c r="AK56" s="716"/>
    </row>
    <row r="57" spans="2:37" s="9" customFormat="1" ht="12.75">
      <c r="B57" s="462">
        <v>2010</v>
      </c>
      <c r="C57" s="451">
        <f>'AX1'!O59/'AX1'!$N59</f>
        <v>0.55543199969995027</v>
      </c>
      <c r="D57" s="451">
        <f>'AX1'!P59/'AX1'!$N59</f>
        <v>0.36815639948769335</v>
      </c>
      <c r="E57" s="567">
        <f>'A1.1'!E49/'AX6'!B35</f>
        <v>0.35618675096598523</v>
      </c>
      <c r="F57" s="451">
        <f>'AX1'!Q59/'AX1'!$N59</f>
        <v>0.58864425550257216</v>
      </c>
      <c r="G57" s="451">
        <f>'AX1'!R59/'AX1'!$N59</f>
        <v>1.7305157253047838E-2</v>
      </c>
      <c r="H57" s="451">
        <f>'AX1'!S59/'AX1'!$N59</f>
        <v>2.5894187756686577E-2</v>
      </c>
      <c r="I57" s="452">
        <f>'AX1'!T59/'AX1'!$N59</f>
        <v>2.9760589338542645E-3</v>
      </c>
      <c r="J57" s="451">
        <f>'AX1'!U59/'AX1'!$N59</f>
        <v>1.4736475233268027E-2</v>
      </c>
      <c r="K57" s="451">
        <f>'AX1'!V59/'AX1'!$N59</f>
        <v>1.175515183912843</v>
      </c>
      <c r="L57" s="453">
        <f>'AX1'!W59/'AX1'!$N59</f>
        <v>0.98823958370058629</v>
      </c>
      <c r="M57" s="452">
        <f>'AX1'!X59/'AX1'!$N59</f>
        <v>0.83455743002275784</v>
      </c>
      <c r="N57" s="451">
        <f>'AX1'!Y59/'AX1'!$N59</f>
        <v>0.10526980680592932</v>
      </c>
      <c r="O57" s="451">
        <f>'AX1'!Z59/'AX1'!$N59</f>
        <v>0.7292876232168285</v>
      </c>
      <c r="P57" s="451">
        <f>'AX1'!AA59/'AX1'!$N59</f>
        <v>0.3409577538900852</v>
      </c>
      <c r="Q57" s="451">
        <f>'AX1'!AB59/'AX1'!$N59</f>
        <v>0.15368215367782842</v>
      </c>
      <c r="R57" s="802">
        <f t="shared" si="2"/>
        <v>0.13429692020534831</v>
      </c>
      <c r="S57" s="803">
        <f t="shared" si="3"/>
        <v>1.9385233472480112E-2</v>
      </c>
      <c r="T57" s="451">
        <f>'AX1'!AF59/'AX1'!$N59</f>
        <v>0</v>
      </c>
      <c r="U57" s="451">
        <f>'AX1'!AG59/'AX1'!$N59</f>
        <v>0.28387548527657219</v>
      </c>
      <c r="V57" s="451">
        <f>'AX1'!AH59/'AX1'!$N59</f>
        <v>0.258775983519755</v>
      </c>
      <c r="W57" s="451">
        <f>'AX1'!AK59/'AX1'!$N59</f>
        <v>2.5099501756817199E-2</v>
      </c>
      <c r="X57" s="451">
        <f>'AX1'!AL59/'AX1'!$N59</f>
        <v>0</v>
      </c>
      <c r="Y57" s="451">
        <f>'AX1'!AM59/'AX1'!$N59</f>
        <v>0</v>
      </c>
      <c r="Z57" s="451">
        <f>'AX1'!AN59/'AX1'!$N59</f>
        <v>5.7082268613513031E-2</v>
      </c>
      <c r="AA57" s="452">
        <f>'AX1'!EV59/'AX1'!$N59</f>
        <v>2.3699155320919427</v>
      </c>
      <c r="AB57" s="451">
        <f>'AX1'!EW59/'AX1'!$N59</f>
        <v>2.4397201349070681</v>
      </c>
      <c r="AC57" s="451">
        <f>'AX1'!EX59/'AX1'!$N59</f>
        <v>6.9804602815125405E-2</v>
      </c>
      <c r="AD57" s="218">
        <f>'AX1'!EY59/'AX1'!$N59</f>
        <v>2.509816390159856E-3</v>
      </c>
      <c r="AE57" s="218">
        <f>'AX1'!EZ59/'AX1'!$N59</f>
        <v>1.7646310333799841E-3</v>
      </c>
      <c r="AF57" s="451">
        <f>'AX1'!FA59/'AX1'!$N59</f>
        <v>0.59678109094231213</v>
      </c>
      <c r="AG57" s="451">
        <f>'AX1'!FF59/'AX1'!$N59</f>
        <v>0.62016479338122954</v>
      </c>
      <c r="AH57" s="451">
        <f>'AX1'!FK59/'AX1'!$N59</f>
        <v>1.4736475233268027E-2</v>
      </c>
      <c r="AI57" s="451">
        <f>'AX1'!FL59/'AX1'!$N59</f>
        <v>2.9760589338542645E-3</v>
      </c>
      <c r="AJ57" s="468">
        <f>'AX1'!FR59</f>
        <v>7.7744999999999997</v>
      </c>
      <c r="AK57" s="716"/>
    </row>
    <row r="58" spans="2:37" s="9" customFormat="1" ht="12.75">
      <c r="B58" s="462">
        <v>2011</v>
      </c>
      <c r="C58" s="451">
        <f>'AX1'!O60/'AX1'!$N60</f>
        <v>0.55145722044298495</v>
      </c>
      <c r="D58" s="451">
        <f>'AX1'!P60/'AX1'!$N60</f>
        <v>0.37046026637807589</v>
      </c>
      <c r="E58" s="567">
        <f>'A1.1'!E50/'AX6'!B36</f>
        <v>0.43446272714709733</v>
      </c>
      <c r="F58" s="451">
        <f>'AX1'!Q60/'AX1'!$N60</f>
        <v>0.57974552453556383</v>
      </c>
      <c r="G58" s="451">
        <f>'AX1'!R60/'AX1'!$N60</f>
        <v>1.6909758237943398E-2</v>
      </c>
      <c r="H58" s="451">
        <f>'AX1'!S60/'AX1'!$N60</f>
        <v>3.2884450848416881E-2</v>
      </c>
      <c r="I58" s="452">
        <f>'AX1'!T60/'AX1'!$N60</f>
        <v>4.1452359878401427E-3</v>
      </c>
      <c r="J58" s="451">
        <f>'AX1'!U60/'AX1'!$N60</f>
        <v>1.6107668976370948E-2</v>
      </c>
      <c r="K58" s="451">
        <f>'AX1'!V60/'AX1'!$N60</f>
        <v>1.1690345210763784</v>
      </c>
      <c r="L58" s="453">
        <f>'AX1'!W60/'AX1'!$N60</f>
        <v>0.98803756701146905</v>
      </c>
      <c r="M58" s="452">
        <f>'AX1'!X60/'AX1'!$N60</f>
        <v>0.84193321186152004</v>
      </c>
      <c r="N58" s="451">
        <f>'AX1'!Y60/'AX1'!$N60</f>
        <v>0.1018580829633796</v>
      </c>
      <c r="O58" s="451">
        <f>'AX1'!Z60/'AX1'!$N60</f>
        <v>0.74007512889814042</v>
      </c>
      <c r="P58" s="451">
        <f>'AX1'!AA60/'AX1'!$N60</f>
        <v>0.32710130921485836</v>
      </c>
      <c r="Q58" s="451">
        <f>'AX1'!AB60/'AX1'!$N60</f>
        <v>0.14610435514994907</v>
      </c>
      <c r="R58" s="802">
        <f t="shared" si="2"/>
        <v>0.12842847621025194</v>
      </c>
      <c r="S58" s="803">
        <f t="shared" si="3"/>
        <v>1.7675878939697132E-2</v>
      </c>
      <c r="T58" s="451">
        <f>'AX1'!AF60/'AX1'!$N60</f>
        <v>0</v>
      </c>
      <c r="U58" s="451">
        <f>'AX1'!AG60/'AX1'!$N60</f>
        <v>0.28229250497359948</v>
      </c>
      <c r="V58" s="451">
        <f>'AX1'!AH60/'AX1'!$N60</f>
        <v>0.27519700697691601</v>
      </c>
      <c r="W58" s="451">
        <f>'AX1'!AK60/'AX1'!$N60</f>
        <v>7.0954979966834997E-3</v>
      </c>
      <c r="X58" s="451">
        <f>'AX1'!AL60/'AX1'!$N60</f>
        <v>0</v>
      </c>
      <c r="Y58" s="451">
        <f>'AX1'!AM60/'AX1'!$N60</f>
        <v>0</v>
      </c>
      <c r="Z58" s="451">
        <f>'AX1'!AN60/'AX1'!$N60</f>
        <v>4.4808804241258854E-2</v>
      </c>
      <c r="AA58" s="452">
        <f>'AX1'!EV60/'AX1'!$N60</f>
        <v>2.4437447556934475</v>
      </c>
      <c r="AB58" s="451">
        <f>'AX1'!EW60/'AX1'!$N60</f>
        <v>2.4887620910539541</v>
      </c>
      <c r="AC58" s="451">
        <f>'AX1'!EX60/'AX1'!$N60</f>
        <v>4.5017335360506935E-2</v>
      </c>
      <c r="AD58" s="218">
        <f>'AX1'!EY60/'AX1'!$N60</f>
        <v>2.6081500856707813E-3</v>
      </c>
      <c r="AE58" s="218">
        <f>'AX1'!EZ60/'AX1'!$N60</f>
        <v>1.6543468793698559E-3</v>
      </c>
      <c r="AF58" s="451">
        <f>'AX1'!FA60/'AX1'!$N60</f>
        <v>0.60838198493158346</v>
      </c>
      <c r="AG58" s="451">
        <f>'AX1'!FF60/'AX1'!$N60</f>
        <v>0.63865768125630284</v>
      </c>
      <c r="AH58" s="451">
        <f>'AX1'!FK60/'AX1'!$N60</f>
        <v>1.6107668976370948E-2</v>
      </c>
      <c r="AI58" s="451">
        <f>'AX1'!FL60/'AX1'!$N60</f>
        <v>4.1452359878401427E-3</v>
      </c>
      <c r="AJ58" s="468">
        <f>'AX1'!FR60</f>
        <v>7.7655000000000003</v>
      </c>
      <c r="AK58" s="716"/>
    </row>
    <row r="59" spans="2:37" s="9" customFormat="1" ht="12.75">
      <c r="B59" s="462">
        <v>2012</v>
      </c>
      <c r="C59" s="451">
        <f>'AX1'!O61/'AX1'!$N61</f>
        <v>0.55492587809951166</v>
      </c>
      <c r="D59" s="451">
        <f>'AX1'!P61/'AX1'!$N61</f>
        <v>0.37011867657105224</v>
      </c>
      <c r="E59" s="567">
        <f>'A1.1'!E51/'AX6'!B37</f>
        <v>0.44169650818641953</v>
      </c>
      <c r="F59" s="451">
        <f>'AX1'!Q61/'AX1'!$N61</f>
        <v>0.59494434533566776</v>
      </c>
      <c r="G59" s="451">
        <f>'AX1'!R61/'AX1'!$N61</f>
        <v>1.6768334092821413E-2</v>
      </c>
      <c r="H59" s="451">
        <f>'AX1'!S61/'AX1'!$N61</f>
        <v>1.8168644000458697E-2</v>
      </c>
      <c r="I59" s="452">
        <f>'AX1'!T61/'AX1'!$N61</f>
        <v>4.0727323370013885E-3</v>
      </c>
      <c r="J59" s="451">
        <f>'AX1'!U61/'AX1'!$N61</f>
        <v>1.586921215544039E-2</v>
      </c>
      <c r="K59" s="451">
        <f>'AX1'!V61/'AX1'!$N61</f>
        <v>1.1730107217100205</v>
      </c>
      <c r="L59" s="453">
        <f>'AX1'!W61/'AX1'!$N61</f>
        <v>0.98820352018156099</v>
      </c>
      <c r="M59" s="452">
        <f>'AX1'!X61/'AX1'!$N61</f>
        <v>0.87027984586584628</v>
      </c>
      <c r="N59" s="451">
        <f>'AX1'!Y61/'AX1'!$N61</f>
        <v>0.10749437820392072</v>
      </c>
      <c r="O59" s="451">
        <f>'AX1'!Z61/'AX1'!$N61</f>
        <v>0.76278546766192556</v>
      </c>
      <c r="P59" s="451">
        <f>'AX1'!AA61/'AX1'!$N61</f>
        <v>0.30273087584417424</v>
      </c>
      <c r="Q59" s="451">
        <f>'AX1'!AB61/'AX1'!$N61</f>
        <v>0.11792367431571472</v>
      </c>
      <c r="R59" s="802">
        <f t="shared" si="2"/>
        <v>0.10335809278891531</v>
      </c>
      <c r="S59" s="803">
        <f t="shared" si="3"/>
        <v>1.4565581526799418E-2</v>
      </c>
      <c r="T59" s="451">
        <f>'AX1'!AF61/'AX1'!$N61</f>
        <v>0</v>
      </c>
      <c r="U59" s="451">
        <f>'AX1'!AG61/'AX1'!$N61</f>
        <v>0.29801483626294345</v>
      </c>
      <c r="V59" s="451">
        <f>'AX1'!AH61/'AX1'!$N61</f>
        <v>0.30013908434983982</v>
      </c>
      <c r="W59" s="451">
        <f>'AX1'!AK61/'AX1'!$N61</f>
        <v>-2.1242480868963231E-3</v>
      </c>
      <c r="X59" s="451">
        <f>'AX1'!AL61/'AX1'!$N61</f>
        <v>0</v>
      </c>
      <c r="Y59" s="451">
        <f>'AX1'!AM61/'AX1'!$N61</f>
        <v>0</v>
      </c>
      <c r="Z59" s="451">
        <f>'AX1'!AN61/'AX1'!$N61</f>
        <v>4.7160395812307753E-3</v>
      </c>
      <c r="AA59" s="452">
        <f>'AX1'!EV61/'AX1'!$N61</f>
        <v>2.53723625564619</v>
      </c>
      <c r="AB59" s="451">
        <f>'AX1'!EW61/'AX1'!$N61</f>
        <v>2.5505960474783334</v>
      </c>
      <c r="AC59" s="451">
        <f>'AX1'!EX61/'AX1'!$N61</f>
        <v>1.3359791832143395E-2</v>
      </c>
      <c r="AD59" s="218">
        <f>'AX1'!EY61/'AX1'!$N61</f>
        <v>2.7321705322997493E-3</v>
      </c>
      <c r="AE59" s="218">
        <f>'AX1'!EZ61/'AX1'!$N61</f>
        <v>1.6503238140961334E-3</v>
      </c>
      <c r="AF59" s="451">
        <f>'AX1'!FA61/'AX1'!$N61</f>
        <v>0.61591476930873967</v>
      </c>
      <c r="AG59" s="451">
        <f>'AX1'!FF61/'AX1'!$N61</f>
        <v>0.63135240293423711</v>
      </c>
      <c r="AH59" s="451">
        <f>'AX1'!FK61/'AX1'!$N61</f>
        <v>1.586921215544039E-2</v>
      </c>
      <c r="AI59" s="451">
        <f>'AX1'!FL61/'AX1'!$N61</f>
        <v>4.0727323370013885E-3</v>
      </c>
      <c r="AJ59" s="468">
        <f>'AX1'!FR61</f>
        <v>7.7504999999999997</v>
      </c>
      <c r="AK59" s="716"/>
    </row>
    <row r="60" spans="2:37" s="9" customFormat="1" ht="12.75">
      <c r="B60" s="462">
        <v>2013</v>
      </c>
      <c r="C60" s="451">
        <f>'AX1'!O62/'AX1'!$N62</f>
        <v>0.55227211737062953</v>
      </c>
      <c r="D60" s="451">
        <f>'AX1'!P62/'AX1'!$N62</f>
        <v>0.36778641443790749</v>
      </c>
      <c r="E60" s="567">
        <f>'A1.1'!E52/'AX6'!B38</f>
        <v>0.40576833809059182</v>
      </c>
      <c r="F60" s="451">
        <f>'AX1'!Q62/'AX1'!$N62</f>
        <v>0.58966933823705669</v>
      </c>
      <c r="G60" s="451">
        <f>'AX1'!R62/'AX1'!$N62</f>
        <v>1.8831260044408764E-2</v>
      </c>
      <c r="H60" s="451">
        <f>'AX1'!S62/'AX1'!$N62</f>
        <v>2.3712987280626967E-2</v>
      </c>
      <c r="I60" s="452">
        <f>'AX1'!T62/'AX1'!$N62</f>
        <v>4.4796244482111199E-3</v>
      </c>
      <c r="J60" s="451">
        <f>'AX1'!U62/'AX1'!$N62</f>
        <v>1.6042018115478101E-2</v>
      </c>
      <c r="K60" s="451">
        <f>'AX1'!V62/'AX1'!$N62</f>
        <v>1.1729233092654552</v>
      </c>
      <c r="L60" s="453">
        <f>'AX1'!W62/'AX1'!$N62</f>
        <v>0.98843760633273303</v>
      </c>
      <c r="M60" s="452">
        <f>'AX1'!X62/'AX1'!$N62</f>
        <v>0.89261834192266176</v>
      </c>
      <c r="N60" s="451">
        <f>'AX1'!Y62/'AX1'!$N62</f>
        <v>0.10998120498642168</v>
      </c>
      <c r="O60" s="451">
        <f>'AX1'!Z62/'AX1'!$N62</f>
        <v>0.78263713693624004</v>
      </c>
      <c r="P60" s="451">
        <f>'AX1'!AA62/'AX1'!$N62</f>
        <v>0.28030496734279348</v>
      </c>
      <c r="Q60" s="451">
        <f>'AX1'!AB62/'AX1'!$N62</f>
        <v>9.5819264410071298E-2</v>
      </c>
      <c r="R60" s="802">
        <f t="shared" si="2"/>
        <v>8.4013190452378345E-2</v>
      </c>
      <c r="S60" s="803">
        <f t="shared" si="3"/>
        <v>1.1806073957692953E-2</v>
      </c>
      <c r="T60" s="451">
        <f>'AX1'!AF62/'AX1'!$N62</f>
        <v>0</v>
      </c>
      <c r="U60" s="451">
        <f>'AX1'!AG62/'AX1'!$N62</f>
        <v>0.28459738691173919</v>
      </c>
      <c r="V60" s="451">
        <f>'AX1'!AH62/'AX1'!$N62</f>
        <v>0.28552399567804199</v>
      </c>
      <c r="W60" s="451">
        <f>'AX1'!AK62/'AX1'!$N62</f>
        <v>-9.2660876630281947E-4</v>
      </c>
      <c r="X60" s="451">
        <f>'AX1'!AL62/'AX1'!$N62</f>
        <v>0</v>
      </c>
      <c r="Y60" s="451">
        <f>'AX1'!AM62/'AX1'!$N62</f>
        <v>0</v>
      </c>
      <c r="Z60" s="451">
        <f>'AX1'!AN62/'AX1'!$N62</f>
        <v>-4.2924195689456749E-3</v>
      </c>
      <c r="AA60" s="452">
        <f>'AX1'!EV62/'AX1'!$N62</f>
        <v>2.6174714827144094</v>
      </c>
      <c r="AB60" s="451">
        <f>'AX1'!EW62/'AX1'!$N62</f>
        <v>2.6245786217994049</v>
      </c>
      <c r="AC60" s="451">
        <f>'AX1'!EX62/'AX1'!$N62</f>
        <v>7.1071390849953659E-3</v>
      </c>
      <c r="AD60" s="218">
        <f>'AX1'!EY62/'AX1'!$N62</f>
        <v>2.8191504007659004E-3</v>
      </c>
      <c r="AE60" s="218">
        <f>'AX1'!EZ62/'AX1'!$N62</f>
        <v>1.5480403477683086E-3</v>
      </c>
      <c r="AF60" s="451">
        <f>'AX1'!FA62/'AX1'!$N62</f>
        <v>0.63308923915415716</v>
      </c>
      <c r="AG60" s="451">
        <f>'AX1'!FF62/'AX1'!$N62</f>
        <v>0.65398362989460801</v>
      </c>
      <c r="AH60" s="451">
        <f>'AX1'!FK62/'AX1'!$N62</f>
        <v>1.6042018115478101E-2</v>
      </c>
      <c r="AI60" s="451">
        <f>'AX1'!FL62/'AX1'!$N62</f>
        <v>4.4796244482111199E-3</v>
      </c>
      <c r="AJ60" s="468">
        <f>'AX1'!FR62</f>
        <v>7.7534999999999998</v>
      </c>
      <c r="AK60" s="716"/>
    </row>
    <row r="61" spans="2:37" s="9" customFormat="1" ht="12.75">
      <c r="B61" s="462">
        <v>2014</v>
      </c>
      <c r="C61" s="451">
        <f>'AX1'!O63/'AX1'!$N63</f>
        <v>0.54366437117465516</v>
      </c>
      <c r="D61" s="451">
        <f>'AX1'!P63/'AX1'!$N63</f>
        <v>0.35873382989909697</v>
      </c>
      <c r="E61" s="567">
        <f>'A1.1'!E53/'AX6'!B39</f>
        <v>0.43946735785942975</v>
      </c>
      <c r="F61" s="451">
        <f>'AX1'!Q63/'AX1'!$N63</f>
        <v>0.59262492174816384</v>
      </c>
      <c r="G61" s="451">
        <f>'AX1'!R63/'AX1'!$N63</f>
        <v>2.274147217183916E-2</v>
      </c>
      <c r="H61" s="451">
        <f>'AX1'!S63/'AX1'!$N63</f>
        <v>2.5899776180900093E-2</v>
      </c>
      <c r="I61" s="452">
        <f>'AX1'!T63/'AX1'!$N63</f>
        <v>4.6301452178138481E-3</v>
      </c>
      <c r="J61" s="451">
        <f>'AX1'!U63/'AX1'!$N63</f>
        <v>1.5038240341611258E-2</v>
      </c>
      <c r="K61" s="451">
        <f>'AX1'!V63/'AX1'!$N63</f>
        <v>1.1745224461517607</v>
      </c>
      <c r="L61" s="453">
        <f>'AX1'!W63/'AX1'!$N63</f>
        <v>0.98959190487620252</v>
      </c>
      <c r="M61" s="452">
        <f>'AX1'!X63/'AX1'!$N63</f>
        <v>0.90319078126140562</v>
      </c>
      <c r="N61" s="451">
        <f>'AX1'!Y63/'AX1'!$N63</f>
        <v>0.11268475209943324</v>
      </c>
      <c r="O61" s="451">
        <f>'AX1'!Z63/'AX1'!$N63</f>
        <v>0.79050602916197243</v>
      </c>
      <c r="P61" s="451">
        <f>'AX1'!AA63/'AX1'!$N63</f>
        <v>0.27133166489035521</v>
      </c>
      <c r="Q61" s="451">
        <f>'AX1'!AB63/'AX1'!$N63</f>
        <v>8.6401123614796987E-2</v>
      </c>
      <c r="R61" s="802">
        <f t="shared" si="2"/>
        <v>7.5621463992885912E-2</v>
      </c>
      <c r="S61" s="803">
        <f t="shared" si="3"/>
        <v>1.0779659621911075E-2</v>
      </c>
      <c r="T61" s="451">
        <f>'AX1'!AF63/'AX1'!$N63</f>
        <v>0</v>
      </c>
      <c r="U61" s="451">
        <f>'AX1'!AG63/'AX1'!$N63</f>
        <v>0.28321054915628036</v>
      </c>
      <c r="V61" s="451">
        <f>'AX1'!AH63/'AX1'!$N63</f>
        <v>0.27927950221095854</v>
      </c>
      <c r="W61" s="451">
        <f>'AX1'!AK63/'AX1'!$N63</f>
        <v>3.9310469453218456E-3</v>
      </c>
      <c r="X61" s="451">
        <f>'AX1'!AL63/'AX1'!$N63</f>
        <v>0</v>
      </c>
      <c r="Y61" s="451">
        <f>'AX1'!AM63/'AX1'!$N63</f>
        <v>0</v>
      </c>
      <c r="Z61" s="451">
        <f>'AX1'!AN63/'AX1'!$N63</f>
        <v>-1.187888426592517E-2</v>
      </c>
      <c r="AA61" s="452">
        <f>'AX1'!EV63/'AX1'!$N63</f>
        <v>2.5308630464827058</v>
      </c>
      <c r="AB61" s="451">
        <f>'AX1'!EW63/'AX1'!$N63</f>
        <v>2.5332996327868318</v>
      </c>
      <c r="AC61" s="451">
        <f>'AX1'!EX63/'AX1'!$N63</f>
        <v>2.436586304125896E-3</v>
      </c>
      <c r="AD61" s="218">
        <f>'AX1'!EY63/'AX1'!$N63</f>
        <v>2.9026518191202924E-3</v>
      </c>
      <c r="AE61" s="218">
        <f>'AX1'!EZ63/'AX1'!$N63</f>
        <v>1.5191842068900696E-3</v>
      </c>
      <c r="AF61" s="451">
        <f>'AX1'!FA63/'AX1'!$N63</f>
        <v>0.63551452186055124</v>
      </c>
      <c r="AG61" s="451">
        <f>'AX1'!FF63/'AX1'!$N63</f>
        <v>0.65851164622233116</v>
      </c>
      <c r="AH61" s="451">
        <f>'AX1'!FK63/'AX1'!$N63</f>
        <v>1.5038240341611258E-2</v>
      </c>
      <c r="AI61" s="451">
        <f>'AX1'!FL63/'AX1'!$N63</f>
        <v>4.6301452178138481E-3</v>
      </c>
      <c r="AJ61" s="468">
        <f>'AX1'!FR63</f>
        <v>7.7554999999999996</v>
      </c>
      <c r="AK61" s="716"/>
    </row>
    <row r="62" spans="2:37" s="9" customFormat="1" ht="12.75">
      <c r="B62" s="462">
        <v>2015</v>
      </c>
      <c r="C62" s="451">
        <f>'AX1'!O64/'AX1'!$N64</f>
        <v>0.548787894703337</v>
      </c>
      <c r="D62" s="451">
        <f>'AX1'!P64/'AX1'!$N64</f>
        <v>0.36174595038515495</v>
      </c>
      <c r="E62" s="567">
        <f>'A1.1'!E54/'AX6'!B40</f>
        <v>0.42569234225587538</v>
      </c>
      <c r="F62" s="451">
        <f>'AX1'!Q64/'AX1'!$N64</f>
        <v>0.59016045644177451</v>
      </c>
      <c r="G62" s="451">
        <f>'AX1'!R64/'AX1'!$N64</f>
        <v>2.4421717739376379E-2</v>
      </c>
      <c r="H62" s="451">
        <f>'AX1'!S64/'AX1'!$N64</f>
        <v>2.3671875433694072E-2</v>
      </c>
      <c r="I62" s="452">
        <f>'AX1'!T64/'AX1'!$N64</f>
        <v>4.8336528055004935E-3</v>
      </c>
      <c r="J62" s="451">
        <f>'AX1'!U64/'AX1'!$N64</f>
        <v>1.5915991491686855E-2</v>
      </c>
      <c r="K62" s="451">
        <f>'AX1'!V64/'AX1'!$N64</f>
        <v>1.1759596056319956</v>
      </c>
      <c r="L62" s="453">
        <f>'AX1'!W64/'AX1'!$N64</f>
        <v>0.98891766131381365</v>
      </c>
      <c r="M62" s="452">
        <f>'AX1'!X64/'AX1'!$N64</f>
        <v>0.91381283215813958</v>
      </c>
      <c r="N62" s="451">
        <f>'AX1'!Y64/'AX1'!$N64</f>
        <v>0.11583886515631715</v>
      </c>
      <c r="O62" s="451">
        <f>'AX1'!Z64/'AX1'!$N64</f>
        <v>0.79797396700182244</v>
      </c>
      <c r="P62" s="451">
        <f>'AX1'!AA64/'AX1'!$N64</f>
        <v>0.26214677347385612</v>
      </c>
      <c r="Q62" s="451">
        <f>'AX1'!AB64/'AX1'!$N64</f>
        <v>7.5104829155674083E-2</v>
      </c>
      <c r="R62" s="802">
        <f t="shared" si="2"/>
        <v>6.5584216322293803E-2</v>
      </c>
      <c r="S62" s="803">
        <f t="shared" si="3"/>
        <v>9.5206128333802792E-3</v>
      </c>
      <c r="T62" s="451">
        <f>'AX1'!AF64/'AX1'!$N64</f>
        <v>0</v>
      </c>
      <c r="U62" s="451">
        <f>'AX1'!AG64/'AX1'!$N64</f>
        <v>0.25877573892660022</v>
      </c>
      <c r="V62" s="451">
        <f>'AX1'!AH64/'AX1'!$N64</f>
        <v>0.26908419226724273</v>
      </c>
      <c r="W62" s="451">
        <f>'AX1'!AK64/'AX1'!$N64</f>
        <v>-1.0308453340642501E-2</v>
      </c>
      <c r="X62" s="451">
        <f>'AX1'!AL64/'AX1'!$N64</f>
        <v>0</v>
      </c>
      <c r="Y62" s="451">
        <f>'AX1'!AM64/'AX1'!$N64</f>
        <v>0</v>
      </c>
      <c r="Z62" s="451">
        <f>'AX1'!AN64/'AX1'!$N64</f>
        <v>3.3710345472559074E-3</v>
      </c>
      <c r="AA62" s="452">
        <f>'AX1'!EV64/'AX1'!$N64</f>
        <v>2.3245973018413144</v>
      </c>
      <c r="AB62" s="451">
        <f>'AX1'!EW64/'AX1'!$N64</f>
        <v>2.3532991815727118</v>
      </c>
      <c r="AC62" s="451">
        <f>'AX1'!EX64/'AX1'!$N64</f>
        <v>2.8701879731397019E-2</v>
      </c>
      <c r="AD62" s="218">
        <f>'AX1'!EY64/'AX1'!$N64</f>
        <v>2.9452723830407151E-3</v>
      </c>
      <c r="AE62" s="218">
        <f>'AX1'!EZ64/'AX1'!$N64</f>
        <v>1.5016881980197388E-3</v>
      </c>
      <c r="AF62" s="451">
        <f>'AX1'!FA64/'AX1'!$N64</f>
        <v>0.61614346908216089</v>
      </c>
      <c r="AG62" s="451">
        <f>'AX1'!FF64/'AX1'!$N64</f>
        <v>0.6368690703394867</v>
      </c>
      <c r="AH62" s="451">
        <f>'AX1'!FK64/'AX1'!$N64</f>
        <v>1.5915991491686855E-2</v>
      </c>
      <c r="AI62" s="451">
        <f>'AX1'!FL64/'AX1'!$N64</f>
        <v>4.8336528055004935E-3</v>
      </c>
      <c r="AJ62" s="468">
        <f>'AX1'!FR64</f>
        <v>7.7504999999999997</v>
      </c>
      <c r="AK62" s="716"/>
    </row>
    <row r="63" spans="2:37" s="9" customFormat="1" ht="13.5" thickBot="1">
      <c r="B63" s="464">
        <v>2016</v>
      </c>
      <c r="C63" s="465">
        <f>'AX1'!O65/'AX1'!$N65</f>
        <v>0.53714668849575053</v>
      </c>
      <c r="D63" s="465">
        <f>'AX1'!P65/'AX1'!$N65</f>
        <v>0.35091395704085632</v>
      </c>
      <c r="E63" s="916">
        <f>'A1.1'!E55/'AX6'!B41</f>
        <v>0.40355567008656162</v>
      </c>
      <c r="F63" s="465">
        <f>'AX1'!Q65/'AX1'!$N65</f>
        <v>0.59527362551701946</v>
      </c>
      <c r="G63" s="465">
        <f>'AX1'!R65/'AX1'!$N65</f>
        <v>2.2331536332002095E-2</v>
      </c>
      <c r="H63" s="465">
        <f>'AX1'!S65/'AX1'!$N65</f>
        <v>3.1480881110121969E-2</v>
      </c>
      <c r="I63" s="466">
        <f>'AX1'!T65/'AX1'!$N65</f>
        <v>4.9935949285557077E-3</v>
      </c>
      <c r="J63" s="465">
        <f>'AX1'!U65/'AX1'!$N65</f>
        <v>1.5021433662216369E-2</v>
      </c>
      <c r="K63" s="465">
        <f>'AX1'!V65/'AX1'!$N65</f>
        <v>1.1762048927212334</v>
      </c>
      <c r="L63" s="467">
        <f>'AX1'!W65/'AX1'!$N65</f>
        <v>0.98997216126633936</v>
      </c>
      <c r="M63" s="466">
        <f>'AX1'!X65/'AX1'!$N65</f>
        <v>0.90727957702464934</v>
      </c>
      <c r="N63" s="465">
        <f>'AX1'!Y65/'AX1'!$N65</f>
        <v>0.1184116120541871</v>
      </c>
      <c r="O63" s="465">
        <f>'AX1'!Z65/'AX1'!$N65</f>
        <v>0.7888679649704623</v>
      </c>
      <c r="P63" s="465">
        <f>'AX1'!AA65/'AX1'!$N65</f>
        <v>0.26892531569658418</v>
      </c>
      <c r="Q63" s="465">
        <f>'AX1'!AB65/'AX1'!$N65</f>
        <v>8.2692584241690001E-2</v>
      </c>
      <c r="R63" s="917">
        <f t="shared" si="2"/>
        <v>7.1900142250328883E-2</v>
      </c>
      <c r="S63" s="918">
        <f t="shared" si="3"/>
        <v>1.0792441991361118E-2</v>
      </c>
      <c r="T63" s="465">
        <f>'AX1'!AF65/'AX1'!$N65</f>
        <v>0</v>
      </c>
      <c r="U63" s="465">
        <f>'AX1'!AG65/'AX1'!$N65</f>
        <v>0.256165872458814</v>
      </c>
      <c r="V63" s="465">
        <f>'AX1'!AH65/'AX1'!$N65</f>
        <v>0.2559521071903727</v>
      </c>
      <c r="W63" s="465">
        <f>'AX1'!AK65/'AX1'!$N65</f>
        <v>2.1376526844133319E-4</v>
      </c>
      <c r="X63" s="465">
        <f>'AX1'!AL65/'AX1'!$N65</f>
        <v>0</v>
      </c>
      <c r="Y63" s="465">
        <f>'AX1'!AM65/'AX1'!$N65</f>
        <v>0</v>
      </c>
      <c r="Z63" s="465">
        <f>'AX1'!AN65/'AX1'!$N65</f>
        <v>1.2759443237770176E-2</v>
      </c>
      <c r="AA63" s="466">
        <f>'AX1'!EV65/'AX1'!$N65</f>
        <v>2.2001491365526067</v>
      </c>
      <c r="AB63" s="465">
        <f>'AX1'!EW65/'AX1'!$N65</f>
        <v>2.2274269238275362</v>
      </c>
      <c r="AC63" s="465">
        <f>'AX1'!EX65/'AX1'!$N65</f>
        <v>2.7277787274929837E-2</v>
      </c>
      <c r="AD63" s="309">
        <f>'AX1'!EY65/'AX1'!$N65</f>
        <v>3.0309715243426617E-3</v>
      </c>
      <c r="AE63" s="309">
        <f>'AX1'!EZ65/'AX1'!$N65</f>
        <v>1.4834448830089834E-3</v>
      </c>
      <c r="AF63" s="465">
        <f>'AX1'!FA65/'AX1'!$N65</f>
        <v>0.57909919842703561</v>
      </c>
      <c r="AG63" s="465">
        <f>'AX1'!FF65/'AX1'!$N65</f>
        <v>0.60754910801281492</v>
      </c>
      <c r="AH63" s="465">
        <f>'AX1'!FK65/'AX1'!$N65</f>
        <v>1.5021433662216369E-2</v>
      </c>
      <c r="AI63" s="465">
        <f>'AX1'!FL65/'AX1'!$N65</f>
        <v>4.9935949285557077E-3</v>
      </c>
      <c r="AJ63" s="469">
        <f>'AX1'!FR65</f>
        <v>7.7539999999999996</v>
      </c>
      <c r="AK63" s="716"/>
    </row>
    <row r="64" spans="2:37" s="9" customFormat="1" ht="13.5" thickTop="1">
      <c r="B64" s="46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451"/>
      <c r="R64" s="802"/>
      <c r="S64" s="802"/>
      <c r="T64" s="10"/>
      <c r="U64" s="10"/>
      <c r="V64" s="10"/>
      <c r="W64" s="10"/>
      <c r="X64" s="10"/>
      <c r="Y64" s="10"/>
      <c r="Z64" s="10"/>
    </row>
    <row r="65" spans="2:26" s="9" customFormat="1" ht="12.75">
      <c r="B65" s="462"/>
      <c r="C65" s="10"/>
      <c r="D65" s="10"/>
      <c r="E65" s="10"/>
      <c r="F65" s="10"/>
      <c r="G65" s="161"/>
      <c r="H65" s="10"/>
      <c r="I65" s="10"/>
      <c r="J65" s="10"/>
      <c r="K65" s="10"/>
      <c r="L65" s="10"/>
      <c r="M65" s="10"/>
      <c r="N65" s="10"/>
      <c r="O65" s="10"/>
      <c r="P65" s="10"/>
      <c r="Q65" s="451"/>
      <c r="R65" s="802"/>
      <c r="S65" s="802"/>
      <c r="T65" s="10"/>
      <c r="U65" s="10"/>
      <c r="V65" s="10"/>
      <c r="W65" s="10"/>
      <c r="X65" s="10"/>
      <c r="Y65" s="10"/>
      <c r="Z65" s="10"/>
    </row>
    <row r="66" spans="2:26">
      <c r="B66" s="462"/>
      <c r="Q66" s="451"/>
      <c r="R66" s="802"/>
      <c r="S66" s="802"/>
    </row>
    <row r="67" spans="2:26">
      <c r="O67" s="804"/>
      <c r="Q67" s="451"/>
      <c r="R67" s="802"/>
      <c r="S67" s="802"/>
    </row>
  </sheetData>
  <mergeCells count="6">
    <mergeCell ref="B2:AJ2"/>
    <mergeCell ref="C3:H3"/>
    <mergeCell ref="I3:L3"/>
    <mergeCell ref="M3:Q3"/>
    <mergeCell ref="T3:Z3"/>
    <mergeCell ref="AA3:AJ3"/>
  </mergeCells>
  <phoneticPr fontId="11" type="noConversion"/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583E-1AFA-41DB-AD27-FE0C9AB397AA}">
  <sheetPr>
    <tabColor theme="1"/>
  </sheetPr>
  <dimension ref="A1:G45"/>
  <sheetViews>
    <sheetView workbookViewId="0">
      <selection activeCell="A2" sqref="A2:F2"/>
    </sheetView>
  </sheetViews>
  <sheetFormatPr defaultRowHeight="15"/>
  <cols>
    <col min="1" max="1" width="9" style="228"/>
    <col min="2" max="3" width="9" style="575"/>
    <col min="4" max="4" width="9" style="500"/>
    <col min="5" max="5" width="11.875" style="501" bestFit="1" customWidth="1"/>
    <col min="6" max="6" width="9" style="485"/>
  </cols>
  <sheetData>
    <row r="1" spans="1:7" ht="38.25" customHeight="1" thickTop="1" thickBot="1">
      <c r="A1" s="924" t="s">
        <v>1317</v>
      </c>
      <c r="B1" s="925"/>
      <c r="C1" s="925"/>
      <c r="D1" s="925"/>
      <c r="E1" s="925"/>
      <c r="F1" s="926"/>
    </row>
    <row r="2" spans="1:7" ht="14.25" customHeight="1">
      <c r="A2" s="1201" t="s">
        <v>1318</v>
      </c>
      <c r="B2" s="1202"/>
      <c r="C2" s="1203"/>
      <c r="D2" s="1204" t="s">
        <v>1332</v>
      </c>
      <c r="E2" s="1204"/>
      <c r="F2" s="1205"/>
      <c r="G2" s="499"/>
    </row>
    <row r="3" spans="1:7" ht="31.5">
      <c r="A3" s="188" t="s">
        <v>1191</v>
      </c>
      <c r="B3" s="914" t="s">
        <v>1319</v>
      </c>
      <c r="C3" s="502" t="s">
        <v>1320</v>
      </c>
      <c r="D3" s="497" t="s">
        <v>1191</v>
      </c>
      <c r="E3" s="495" t="s">
        <v>1337</v>
      </c>
      <c r="F3" s="758" t="s">
        <v>1338</v>
      </c>
    </row>
    <row r="4" spans="1:7">
      <c r="A4" s="189"/>
      <c r="B4" s="927" t="s">
        <v>1199</v>
      </c>
      <c r="C4" s="928" t="s">
        <v>1199</v>
      </c>
      <c r="D4" s="929"/>
      <c r="E4" s="930" t="s">
        <v>1333</v>
      </c>
      <c r="F4" s="931" t="s">
        <v>1199</v>
      </c>
    </row>
    <row r="5" spans="1:7" ht="15.75" customHeight="1">
      <c r="A5" s="190" t="s">
        <v>1200</v>
      </c>
      <c r="B5" s="496"/>
      <c r="C5" s="504"/>
      <c r="D5" s="1199" t="s">
        <v>1321</v>
      </c>
      <c r="E5" s="498" t="s">
        <v>1323</v>
      </c>
      <c r="F5" s="932">
        <v>0.06</v>
      </c>
    </row>
    <row r="6" spans="1:7">
      <c r="A6" s="191">
        <v>1981</v>
      </c>
      <c r="B6" s="494"/>
      <c r="C6" s="503"/>
      <c r="D6" s="1199"/>
      <c r="E6" s="498" t="s">
        <v>1324</v>
      </c>
      <c r="F6" s="932">
        <v>0.12</v>
      </c>
    </row>
    <row r="7" spans="1:7">
      <c r="A7" s="191">
        <v>1982</v>
      </c>
      <c r="B7" s="494"/>
      <c r="C7" s="503"/>
      <c r="D7" s="1199"/>
      <c r="E7" s="498" t="s">
        <v>1334</v>
      </c>
      <c r="F7" s="932">
        <v>0.18</v>
      </c>
    </row>
    <row r="8" spans="1:7">
      <c r="A8" s="191">
        <v>1983</v>
      </c>
      <c r="B8" s="494"/>
      <c r="C8" s="503"/>
      <c r="D8" s="1200" t="s">
        <v>1322</v>
      </c>
      <c r="E8" s="498" t="s">
        <v>1325</v>
      </c>
      <c r="F8" s="932">
        <v>0.06</v>
      </c>
    </row>
    <row r="9" spans="1:7" ht="15.75" customHeight="1">
      <c r="A9" s="191">
        <v>1984</v>
      </c>
      <c r="B9" s="494"/>
      <c r="C9" s="503"/>
      <c r="D9" s="1200"/>
      <c r="E9" s="498" t="s">
        <v>1326</v>
      </c>
      <c r="F9" s="932">
        <v>0.12</v>
      </c>
    </row>
    <row r="10" spans="1:7">
      <c r="A10" s="191">
        <v>1985</v>
      </c>
      <c r="B10" s="494"/>
      <c r="C10" s="503"/>
      <c r="D10" s="1200"/>
      <c r="E10" s="498" t="s">
        <v>1327</v>
      </c>
      <c r="F10" s="932">
        <v>0.18</v>
      </c>
    </row>
    <row r="11" spans="1:7">
      <c r="A11" s="191">
        <v>1986</v>
      </c>
      <c r="B11" s="494"/>
      <c r="C11" s="503"/>
      <c r="D11" s="1200" t="s">
        <v>1422</v>
      </c>
      <c r="E11" s="498" t="s">
        <v>1328</v>
      </c>
      <c r="F11" s="932">
        <v>0.05</v>
      </c>
    </row>
    <row r="12" spans="1:7">
      <c r="A12" s="191">
        <v>1987</v>
      </c>
      <c r="B12" s="494"/>
      <c r="C12" s="503"/>
      <c r="D12" s="1200"/>
      <c r="E12" s="498" t="s">
        <v>1329</v>
      </c>
      <c r="F12" s="932">
        <v>0.1</v>
      </c>
    </row>
    <row r="13" spans="1:7" ht="15.75" customHeight="1">
      <c r="A13" s="191">
        <v>1988</v>
      </c>
      <c r="B13" s="494"/>
      <c r="C13" s="503"/>
      <c r="D13" s="1200"/>
      <c r="E13" s="498" t="s">
        <v>1330</v>
      </c>
      <c r="F13" s="932">
        <v>0.15</v>
      </c>
    </row>
    <row r="14" spans="1:7">
      <c r="A14" s="191">
        <v>1989</v>
      </c>
      <c r="B14" s="573">
        <f>B15</f>
        <v>0.16500000000000001</v>
      </c>
      <c r="C14" s="503"/>
      <c r="D14" s="933" t="s">
        <v>1336</v>
      </c>
      <c r="E14" s="934" t="s">
        <v>1331</v>
      </c>
      <c r="F14" s="935">
        <v>100</v>
      </c>
    </row>
    <row r="15" spans="1:7">
      <c r="A15" s="191">
        <v>1990</v>
      </c>
      <c r="B15" s="574">
        <f>B16</f>
        <v>0.16500000000000001</v>
      </c>
      <c r="C15" s="504"/>
      <c r="D15" s="933" t="s">
        <v>1335</v>
      </c>
      <c r="E15" s="934" t="s">
        <v>1331</v>
      </c>
      <c r="F15" s="758">
        <v>0</v>
      </c>
    </row>
    <row r="16" spans="1:7">
      <c r="A16" s="191">
        <v>1991</v>
      </c>
      <c r="B16" s="496">
        <v>0.16500000000000001</v>
      </c>
      <c r="C16" s="504"/>
      <c r="D16" s="933"/>
      <c r="E16" s="936"/>
      <c r="F16" s="758"/>
    </row>
    <row r="17" spans="1:6">
      <c r="A17" s="191">
        <v>1992</v>
      </c>
      <c r="B17" s="496">
        <v>0.16500000000000001</v>
      </c>
      <c r="C17" s="504"/>
      <c r="D17" s="933"/>
      <c r="E17" s="936"/>
      <c r="F17" s="758"/>
    </row>
    <row r="18" spans="1:6">
      <c r="A18" s="191">
        <v>1993</v>
      </c>
      <c r="B18" s="496">
        <v>0.17499999999999999</v>
      </c>
      <c r="C18" s="504"/>
      <c r="D18" s="933"/>
      <c r="E18" s="936"/>
      <c r="F18" s="758"/>
    </row>
    <row r="19" spans="1:6">
      <c r="A19" s="191">
        <v>1994</v>
      </c>
      <c r="B19" s="496">
        <v>0.17499999999999999</v>
      </c>
      <c r="C19" s="504"/>
      <c r="D19" s="933"/>
      <c r="E19" s="936"/>
      <c r="F19" s="758"/>
    </row>
    <row r="20" spans="1:6">
      <c r="A20" s="191">
        <v>1995</v>
      </c>
      <c r="B20" s="496">
        <v>0.16500000000000001</v>
      </c>
      <c r="C20" s="504"/>
      <c r="D20" s="933"/>
      <c r="E20" s="936"/>
      <c r="F20" s="758"/>
    </row>
    <row r="21" spans="1:6">
      <c r="A21" s="191">
        <v>1996</v>
      </c>
      <c r="B21" s="496">
        <v>0.16500000000000001</v>
      </c>
      <c r="C21" s="504"/>
      <c r="D21" s="933"/>
      <c r="E21" s="936"/>
      <c r="F21" s="758"/>
    </row>
    <row r="22" spans="1:6">
      <c r="A22" s="191">
        <v>1997</v>
      </c>
      <c r="B22" s="496">
        <v>0.16500000000000001</v>
      </c>
      <c r="C22" s="504"/>
      <c r="D22" s="933"/>
      <c r="E22" s="936"/>
      <c r="F22" s="758"/>
    </row>
    <row r="23" spans="1:6">
      <c r="A23" s="191">
        <v>1998</v>
      </c>
      <c r="B23" s="496">
        <v>0.16500000000000001</v>
      </c>
      <c r="C23" s="504"/>
      <c r="D23" s="933"/>
      <c r="E23" s="936"/>
      <c r="F23" s="758"/>
    </row>
    <row r="24" spans="1:6">
      <c r="A24" s="191">
        <v>1999</v>
      </c>
      <c r="B24" s="496">
        <v>0.16</v>
      </c>
      <c r="C24" s="504"/>
      <c r="D24" s="933"/>
      <c r="E24" s="936"/>
      <c r="F24" s="758"/>
    </row>
    <row r="25" spans="1:6">
      <c r="A25" s="191">
        <v>2000</v>
      </c>
      <c r="B25" s="496">
        <v>0.16</v>
      </c>
      <c r="C25" s="504">
        <v>0.15</v>
      </c>
      <c r="D25" s="933"/>
      <c r="E25" s="936"/>
      <c r="F25" s="758"/>
    </row>
    <row r="26" spans="1:6">
      <c r="A26" s="191">
        <v>2001</v>
      </c>
      <c r="B26" s="496">
        <v>0.16</v>
      </c>
      <c r="C26" s="504">
        <v>0.15</v>
      </c>
      <c r="D26" s="933"/>
      <c r="E26" s="936"/>
      <c r="F26" s="758"/>
    </row>
    <row r="27" spans="1:6">
      <c r="A27" s="191">
        <v>2002</v>
      </c>
      <c r="B27" s="496">
        <v>0.16</v>
      </c>
      <c r="C27" s="504"/>
      <c r="D27" s="933"/>
      <c r="E27" s="936"/>
      <c r="F27" s="758"/>
    </row>
    <row r="28" spans="1:6">
      <c r="A28" s="191">
        <v>2003</v>
      </c>
      <c r="B28" s="496">
        <v>0.16</v>
      </c>
      <c r="C28" s="504"/>
      <c r="D28" s="933"/>
      <c r="E28" s="936"/>
      <c r="F28" s="758"/>
    </row>
    <row r="29" spans="1:6">
      <c r="A29" s="191">
        <v>2004</v>
      </c>
      <c r="B29" s="496">
        <v>0.17499999999999999</v>
      </c>
      <c r="C29" s="504"/>
      <c r="D29" s="933"/>
      <c r="E29" s="936"/>
      <c r="F29" s="758"/>
    </row>
    <row r="30" spans="1:6">
      <c r="A30" s="191">
        <v>2005</v>
      </c>
      <c r="B30" s="496">
        <v>0.17499999999999999</v>
      </c>
      <c r="C30" s="504"/>
      <c r="D30" s="933"/>
      <c r="E30" s="936"/>
      <c r="F30" s="758"/>
    </row>
    <row r="31" spans="1:6">
      <c r="A31" s="191">
        <v>2006</v>
      </c>
      <c r="B31" s="496">
        <v>0.17499999999999999</v>
      </c>
      <c r="C31" s="504">
        <v>0.16</v>
      </c>
      <c r="D31" s="933"/>
      <c r="E31" s="936"/>
      <c r="F31" s="758"/>
    </row>
    <row r="32" spans="1:6">
      <c r="A32" s="191">
        <v>2007</v>
      </c>
      <c r="B32" s="496">
        <v>0.17499999999999999</v>
      </c>
      <c r="C32" s="504"/>
      <c r="D32" s="933"/>
      <c r="E32" s="936"/>
      <c r="F32" s="758"/>
    </row>
    <row r="33" spans="1:6">
      <c r="A33" s="191">
        <v>2008</v>
      </c>
      <c r="B33" s="574">
        <f>B32</f>
        <v>0.17499999999999999</v>
      </c>
      <c r="C33" s="504"/>
      <c r="D33" s="933"/>
      <c r="E33" s="936"/>
      <c r="F33" s="758"/>
    </row>
    <row r="34" spans="1:6">
      <c r="A34" s="191">
        <v>2009</v>
      </c>
      <c r="B34" s="574">
        <f>B33</f>
        <v>0.17499999999999999</v>
      </c>
      <c r="C34" s="504"/>
      <c r="D34" s="933"/>
      <c r="E34" s="936"/>
      <c r="F34" s="758"/>
    </row>
    <row r="35" spans="1:6">
      <c r="A35" s="191">
        <v>2010</v>
      </c>
      <c r="B35" s="574">
        <f>B34</f>
        <v>0.17499999999999999</v>
      </c>
      <c r="C35" s="504"/>
      <c r="D35" s="933"/>
      <c r="E35" s="936"/>
      <c r="F35" s="758"/>
    </row>
    <row r="36" spans="1:6">
      <c r="A36" s="191">
        <v>2011</v>
      </c>
      <c r="B36" s="496">
        <v>0.16500000000000001</v>
      </c>
      <c r="C36" s="504">
        <v>0.15</v>
      </c>
      <c r="D36" s="933"/>
      <c r="E36" s="936"/>
      <c r="F36" s="758"/>
    </row>
    <row r="37" spans="1:6">
      <c r="A37" s="191">
        <v>2012</v>
      </c>
      <c r="B37" s="574">
        <f>B36</f>
        <v>0.16500000000000001</v>
      </c>
      <c r="C37" s="504"/>
      <c r="D37" s="933"/>
      <c r="E37" s="936"/>
      <c r="F37" s="758"/>
    </row>
    <row r="38" spans="1:6">
      <c r="A38" s="191">
        <v>2013</v>
      </c>
      <c r="B38" s="574">
        <f>B37</f>
        <v>0.16500000000000001</v>
      </c>
      <c r="C38" s="504"/>
      <c r="D38" s="933"/>
      <c r="E38" s="936"/>
      <c r="F38" s="758"/>
    </row>
    <row r="39" spans="1:6">
      <c r="A39" s="191">
        <v>2014</v>
      </c>
      <c r="B39" s="574">
        <f>B38</f>
        <v>0.16500000000000001</v>
      </c>
      <c r="C39" s="504"/>
      <c r="D39" s="933"/>
      <c r="E39" s="936"/>
      <c r="F39" s="758"/>
    </row>
    <row r="40" spans="1:6">
      <c r="A40" s="191">
        <v>2015</v>
      </c>
      <c r="B40" s="574">
        <f>B39</f>
        <v>0.16500000000000001</v>
      </c>
      <c r="C40" s="504"/>
      <c r="D40" s="933"/>
      <c r="E40" s="936"/>
      <c r="F40" s="758"/>
    </row>
    <row r="41" spans="1:6">
      <c r="A41" s="191">
        <v>2016</v>
      </c>
      <c r="B41" s="496">
        <v>0.16500000000000001</v>
      </c>
      <c r="C41" s="504">
        <v>0.15</v>
      </c>
      <c r="D41" s="933"/>
      <c r="E41" s="936"/>
      <c r="F41" s="758"/>
    </row>
    <row r="42" spans="1:6">
      <c r="A42" s="191">
        <v>2017</v>
      </c>
      <c r="B42" s="574">
        <v>0.16500000000000001</v>
      </c>
      <c r="C42" s="504"/>
      <c r="D42" s="933"/>
      <c r="E42" s="936"/>
      <c r="F42" s="758"/>
    </row>
    <row r="43" spans="1:6">
      <c r="A43" s="191">
        <v>2018</v>
      </c>
      <c r="B43" s="574">
        <v>0.16500000000000001</v>
      </c>
      <c r="C43" s="504"/>
      <c r="D43" s="933"/>
      <c r="E43" s="936"/>
      <c r="F43" s="758"/>
    </row>
    <row r="44" spans="1:6" ht="15.75" thickBot="1">
      <c r="A44" s="276">
        <v>2019</v>
      </c>
      <c r="B44" s="937">
        <v>0.16500000000000001</v>
      </c>
      <c r="C44" s="938"/>
      <c r="D44" s="939"/>
      <c r="E44" s="940"/>
      <c r="F44" s="941"/>
    </row>
    <row r="45" spans="1:6" ht="15.75" thickTop="1"/>
  </sheetData>
  <mergeCells count="5">
    <mergeCell ref="D5:D7"/>
    <mergeCell ref="D8:D10"/>
    <mergeCell ref="D11:D13"/>
    <mergeCell ref="A2:C2"/>
    <mergeCell ref="D2:F2"/>
  </mergeCells>
  <phoneticPr fontId="1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88E1-4AED-4082-BEF4-92234B5C8D8A}">
  <sheetPr>
    <tabColor theme="1"/>
  </sheetPr>
  <dimension ref="A1:AN47"/>
  <sheetViews>
    <sheetView workbookViewId="0">
      <pane xSplit="1" ySplit="6" topLeftCell="AJ7" activePane="bottomRight" state="frozen"/>
      <selection pane="topRight" activeCell="B1" sqref="B1"/>
      <selection pane="bottomLeft" activeCell="A7" sqref="A7"/>
      <selection pane="bottomRight" activeCell="F8" sqref="F8"/>
    </sheetView>
  </sheetViews>
  <sheetFormatPr defaultRowHeight="14.25"/>
  <sheetData>
    <row r="1" spans="1:40" ht="27.75" customHeight="1" thickTop="1">
      <c r="A1" s="924" t="s">
        <v>1446</v>
      </c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7"/>
      <c r="AL1" s="947"/>
      <c r="AM1" s="947"/>
      <c r="AN1" s="948"/>
    </row>
    <row r="2" spans="1:40" ht="15" customHeight="1" thickBo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950"/>
      <c r="AA2" s="950"/>
      <c r="AB2" s="950"/>
      <c r="AC2" s="950"/>
      <c r="AD2" s="950"/>
      <c r="AE2" s="950"/>
      <c r="AF2" s="950"/>
      <c r="AG2" s="950"/>
      <c r="AH2" s="950"/>
      <c r="AI2" s="950"/>
      <c r="AJ2" s="950"/>
      <c r="AK2" s="950"/>
      <c r="AL2" s="950"/>
      <c r="AM2" s="950"/>
      <c r="AN2" s="951"/>
    </row>
    <row r="3" spans="1:40" ht="18.75">
      <c r="A3" s="945" t="s">
        <v>1339</v>
      </c>
      <c r="B3" s="1206" t="s">
        <v>1347</v>
      </c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7"/>
      <c r="N3" s="1207"/>
      <c r="O3" s="1207"/>
      <c r="P3" s="1207"/>
      <c r="Q3" s="1207"/>
      <c r="R3" s="1207"/>
      <c r="S3" s="1207"/>
      <c r="T3" s="1207"/>
      <c r="U3" s="1207"/>
      <c r="V3" s="1207"/>
      <c r="W3" s="1207"/>
      <c r="X3" s="1207"/>
      <c r="Y3" s="1208"/>
      <c r="Z3" s="1209" t="s">
        <v>1348</v>
      </c>
      <c r="AA3" s="1210"/>
      <c r="AB3" s="1210"/>
      <c r="AC3" s="1210"/>
      <c r="AD3" s="1210"/>
      <c r="AE3" s="1210"/>
      <c r="AF3" s="1210"/>
      <c r="AG3" s="1210"/>
      <c r="AH3" s="1210"/>
      <c r="AI3" s="1210"/>
      <c r="AJ3" s="1210"/>
      <c r="AK3" s="1210"/>
      <c r="AL3" s="1210"/>
      <c r="AM3" s="1210"/>
      <c r="AN3" s="1211" t="s">
        <v>1263</v>
      </c>
    </row>
    <row r="4" spans="1:40" s="524" customFormat="1" ht="15.75" customHeight="1">
      <c r="A4" s="946"/>
      <c r="B4" s="1214" t="s">
        <v>1354</v>
      </c>
      <c r="C4" s="1215"/>
      <c r="D4" s="1215"/>
      <c r="E4" s="1215"/>
      <c r="F4" s="1215"/>
      <c r="G4" s="1216" t="s">
        <v>1360</v>
      </c>
      <c r="H4" s="1215"/>
      <c r="I4" s="1215"/>
      <c r="J4" s="1215"/>
      <c r="K4" s="1215"/>
      <c r="L4" s="1215"/>
      <c r="M4" s="1215"/>
      <c r="N4" s="1215"/>
      <c r="O4" s="1215"/>
      <c r="P4" s="1215"/>
      <c r="Q4" s="1217"/>
      <c r="R4" s="1214" t="s">
        <v>1372</v>
      </c>
      <c r="S4" s="1215"/>
      <c r="T4" s="1215"/>
      <c r="U4" s="1215"/>
      <c r="V4" s="1215"/>
      <c r="W4" s="1215"/>
      <c r="X4" s="1215"/>
      <c r="Y4" s="1218" t="s">
        <v>1381</v>
      </c>
      <c r="Z4" s="1214" t="s">
        <v>1360</v>
      </c>
      <c r="AA4" s="1215"/>
      <c r="AB4" s="1214" t="s">
        <v>1372</v>
      </c>
      <c r="AC4" s="1215"/>
      <c r="AD4" s="1217"/>
      <c r="AE4" s="1216" t="s">
        <v>1387</v>
      </c>
      <c r="AF4" s="1215"/>
      <c r="AG4" s="1215"/>
      <c r="AH4" s="1215"/>
      <c r="AI4" s="1215"/>
      <c r="AJ4" s="1215"/>
      <c r="AK4" s="1215"/>
      <c r="AL4" s="1217"/>
      <c r="AM4" s="1223" t="s">
        <v>1263</v>
      </c>
      <c r="AN4" s="1212"/>
    </row>
    <row r="5" spans="1:40" s="525" customFormat="1" ht="27" customHeight="1">
      <c r="A5" s="915"/>
      <c r="B5" s="1221" t="s">
        <v>1355</v>
      </c>
      <c r="C5" s="1226"/>
      <c r="D5" s="1226"/>
      <c r="E5" s="1226"/>
      <c r="F5" s="1226"/>
      <c r="G5" s="1227" t="s">
        <v>1361</v>
      </c>
      <c r="H5" s="1221" t="s">
        <v>1362</v>
      </c>
      <c r="I5" s="1221" t="s">
        <v>1363</v>
      </c>
      <c r="J5" s="1221" t="s">
        <v>1364</v>
      </c>
      <c r="K5" s="1221" t="s">
        <v>1365</v>
      </c>
      <c r="L5" s="1221" t="s">
        <v>1366</v>
      </c>
      <c r="M5" s="1221" t="s">
        <v>1367</v>
      </c>
      <c r="N5" s="1221" t="s">
        <v>1368</v>
      </c>
      <c r="O5" s="1221" t="s">
        <v>1369</v>
      </c>
      <c r="P5" s="1221" t="s">
        <v>1370</v>
      </c>
      <c r="Q5" s="1229" t="s">
        <v>1371</v>
      </c>
      <c r="R5" s="1221" t="s">
        <v>1373</v>
      </c>
      <c r="S5" s="1221" t="s">
        <v>1374</v>
      </c>
      <c r="T5" s="1221" t="s">
        <v>1375</v>
      </c>
      <c r="U5" s="1221" t="s">
        <v>1376</v>
      </c>
      <c r="V5" s="1221" t="s">
        <v>1377</v>
      </c>
      <c r="W5" s="1221" t="s">
        <v>1378</v>
      </c>
      <c r="X5" s="1226"/>
      <c r="Y5" s="1219"/>
      <c r="Z5" s="1221" t="s">
        <v>1382</v>
      </c>
      <c r="AA5" s="1221" t="s">
        <v>1383</v>
      </c>
      <c r="AB5" s="1221" t="s">
        <v>1384</v>
      </c>
      <c r="AC5" s="1221" t="s">
        <v>1385</v>
      </c>
      <c r="AD5" s="1229" t="s">
        <v>1386</v>
      </c>
      <c r="AE5" s="1227" t="s">
        <v>1388</v>
      </c>
      <c r="AF5" s="1226"/>
      <c r="AG5" s="1221" t="s">
        <v>1391</v>
      </c>
      <c r="AH5" s="1221" t="s">
        <v>1392</v>
      </c>
      <c r="AI5" s="1221" t="s">
        <v>1393</v>
      </c>
      <c r="AJ5" s="1221" t="s">
        <v>1394</v>
      </c>
      <c r="AK5" s="1221" t="s">
        <v>1395</v>
      </c>
      <c r="AL5" s="1229" t="s">
        <v>1396</v>
      </c>
      <c r="AM5" s="1224"/>
      <c r="AN5" s="1213"/>
    </row>
    <row r="6" spans="1:40" s="525" customFormat="1" ht="38.25">
      <c r="A6" s="915"/>
      <c r="B6" s="526" t="s">
        <v>1356</v>
      </c>
      <c r="C6" s="526" t="s">
        <v>1357</v>
      </c>
      <c r="D6" s="526" t="s">
        <v>1352</v>
      </c>
      <c r="E6" s="526" t="s">
        <v>1358</v>
      </c>
      <c r="F6" s="526" t="s">
        <v>1359</v>
      </c>
      <c r="G6" s="1228"/>
      <c r="H6" s="1222"/>
      <c r="I6" s="1222"/>
      <c r="J6" s="1222"/>
      <c r="K6" s="1222"/>
      <c r="L6" s="1222"/>
      <c r="M6" s="1222"/>
      <c r="N6" s="1222"/>
      <c r="O6" s="1222"/>
      <c r="P6" s="1222"/>
      <c r="Q6" s="1230"/>
      <c r="R6" s="1222"/>
      <c r="S6" s="1222"/>
      <c r="T6" s="1222"/>
      <c r="U6" s="1222"/>
      <c r="V6" s="1222"/>
      <c r="W6" s="526" t="s">
        <v>1379</v>
      </c>
      <c r="X6" s="526" t="s">
        <v>1380</v>
      </c>
      <c r="Y6" s="1220"/>
      <c r="Z6" s="1222"/>
      <c r="AA6" s="1222"/>
      <c r="AB6" s="1222"/>
      <c r="AC6" s="1222"/>
      <c r="AD6" s="1230"/>
      <c r="AE6" s="527" t="s">
        <v>1389</v>
      </c>
      <c r="AF6" s="526" t="s">
        <v>1390</v>
      </c>
      <c r="AG6" s="1222"/>
      <c r="AH6" s="1222"/>
      <c r="AI6" s="1222"/>
      <c r="AJ6" s="1222"/>
      <c r="AK6" s="1222"/>
      <c r="AL6" s="1230"/>
      <c r="AM6" s="1225"/>
      <c r="AN6" s="1213"/>
    </row>
    <row r="7" spans="1:40">
      <c r="A7" s="505">
        <v>1989</v>
      </c>
      <c r="B7" s="506">
        <v>35</v>
      </c>
      <c r="C7" s="506">
        <v>21231</v>
      </c>
      <c r="D7" s="506">
        <v>879</v>
      </c>
      <c r="E7" s="506">
        <v>953</v>
      </c>
      <c r="F7" s="506">
        <v>10451</v>
      </c>
      <c r="G7" s="512">
        <v>4830</v>
      </c>
      <c r="H7" s="506">
        <v>129</v>
      </c>
      <c r="I7" s="506">
        <v>271</v>
      </c>
      <c r="J7" s="506">
        <v>5464</v>
      </c>
      <c r="K7" s="506">
        <v>669</v>
      </c>
      <c r="L7" s="506">
        <v>195</v>
      </c>
      <c r="M7" s="506">
        <v>4628</v>
      </c>
      <c r="N7" s="506">
        <v>1663</v>
      </c>
      <c r="O7" s="506">
        <v>1735</v>
      </c>
      <c r="P7" s="506">
        <v>746</v>
      </c>
      <c r="Q7" s="513" t="s">
        <v>1341</v>
      </c>
      <c r="R7" s="506">
        <v>578</v>
      </c>
      <c r="S7" s="506">
        <v>2337</v>
      </c>
      <c r="T7" s="506">
        <v>1705</v>
      </c>
      <c r="U7" s="506">
        <v>4857</v>
      </c>
      <c r="V7" s="506">
        <v>5132</v>
      </c>
      <c r="W7" s="506">
        <v>4942</v>
      </c>
      <c r="X7" s="507" t="s">
        <v>1340</v>
      </c>
      <c r="Y7" s="517">
        <v>73430</v>
      </c>
      <c r="Z7" s="506">
        <v>490</v>
      </c>
      <c r="AA7" s="506">
        <v>208</v>
      </c>
      <c r="AB7" s="512">
        <v>212</v>
      </c>
      <c r="AC7" s="507" t="s">
        <v>1340</v>
      </c>
      <c r="AD7" s="514">
        <v>25</v>
      </c>
      <c r="AE7" s="512">
        <v>6917</v>
      </c>
      <c r="AF7" s="506">
        <v>540</v>
      </c>
      <c r="AG7" s="507" t="s">
        <v>1340</v>
      </c>
      <c r="AH7" s="507" t="s">
        <v>1340</v>
      </c>
      <c r="AI7" s="506">
        <v>607</v>
      </c>
      <c r="AJ7" s="507" t="s">
        <v>1340</v>
      </c>
      <c r="AK7" s="507" t="s">
        <v>1340</v>
      </c>
      <c r="AL7" s="513" t="s">
        <v>1340</v>
      </c>
      <c r="AM7" s="506">
        <v>8999</v>
      </c>
      <c r="AN7" s="508">
        <v>82429</v>
      </c>
    </row>
    <row r="8" spans="1:40">
      <c r="A8" s="505">
        <v>1990</v>
      </c>
      <c r="B8" s="506">
        <v>7</v>
      </c>
      <c r="C8" s="506">
        <v>21241</v>
      </c>
      <c r="D8" s="506">
        <v>847</v>
      </c>
      <c r="E8" s="506">
        <v>1138</v>
      </c>
      <c r="F8" s="506">
        <v>13107</v>
      </c>
      <c r="G8" s="512">
        <v>5884</v>
      </c>
      <c r="H8" s="506">
        <v>136</v>
      </c>
      <c r="I8" s="506">
        <v>269</v>
      </c>
      <c r="J8" s="506">
        <v>5939</v>
      </c>
      <c r="K8" s="506">
        <v>718</v>
      </c>
      <c r="L8" s="506">
        <v>197</v>
      </c>
      <c r="M8" s="506">
        <v>5729</v>
      </c>
      <c r="N8" s="506">
        <v>3039</v>
      </c>
      <c r="O8" s="506">
        <v>2054</v>
      </c>
      <c r="P8" s="506">
        <v>816</v>
      </c>
      <c r="Q8" s="513" t="s">
        <v>1341</v>
      </c>
      <c r="R8" s="506">
        <v>652</v>
      </c>
      <c r="S8" s="506">
        <v>1341</v>
      </c>
      <c r="T8" s="506">
        <v>2173</v>
      </c>
      <c r="U8" s="506">
        <v>5617</v>
      </c>
      <c r="V8" s="506">
        <v>5992</v>
      </c>
      <c r="W8" s="506">
        <v>4505</v>
      </c>
      <c r="X8" s="507" t="s">
        <v>1340</v>
      </c>
      <c r="Y8" s="517">
        <v>81401</v>
      </c>
      <c r="Z8" s="506">
        <v>656</v>
      </c>
      <c r="AA8" s="506">
        <v>136</v>
      </c>
      <c r="AB8" s="512">
        <v>242</v>
      </c>
      <c r="AC8" s="507" t="s">
        <v>1340</v>
      </c>
      <c r="AD8" s="514">
        <v>240</v>
      </c>
      <c r="AE8" s="512">
        <v>3342</v>
      </c>
      <c r="AF8" s="506">
        <v>661</v>
      </c>
      <c r="AG8" s="506">
        <v>2340</v>
      </c>
      <c r="AH8" s="507" t="s">
        <v>1340</v>
      </c>
      <c r="AI8" s="506">
        <v>506</v>
      </c>
      <c r="AJ8" s="507" t="s">
        <v>1340</v>
      </c>
      <c r="AK8" s="507" t="s">
        <v>1340</v>
      </c>
      <c r="AL8" s="513" t="s">
        <v>1340</v>
      </c>
      <c r="AM8" s="506">
        <v>8123</v>
      </c>
      <c r="AN8" s="508">
        <v>89524</v>
      </c>
    </row>
    <row r="9" spans="1:40">
      <c r="A9" s="505">
        <v>1991</v>
      </c>
      <c r="B9" s="506">
        <v>-8</v>
      </c>
      <c r="C9" s="506">
        <v>25203</v>
      </c>
      <c r="D9" s="506">
        <v>1028</v>
      </c>
      <c r="E9" s="506">
        <v>1230</v>
      </c>
      <c r="F9" s="506">
        <v>17417</v>
      </c>
      <c r="G9" s="512">
        <v>7110</v>
      </c>
      <c r="H9" s="506">
        <v>141</v>
      </c>
      <c r="I9" s="506">
        <v>266</v>
      </c>
      <c r="J9" s="506">
        <v>9569</v>
      </c>
      <c r="K9" s="506">
        <v>1120</v>
      </c>
      <c r="L9" s="506">
        <v>200</v>
      </c>
      <c r="M9" s="506">
        <v>6844</v>
      </c>
      <c r="N9" s="506">
        <v>3494</v>
      </c>
      <c r="O9" s="506">
        <v>3437</v>
      </c>
      <c r="P9" s="506">
        <v>886</v>
      </c>
      <c r="Q9" s="513" t="s">
        <v>1341</v>
      </c>
      <c r="R9" s="506">
        <v>885</v>
      </c>
      <c r="S9" s="506">
        <v>1572</v>
      </c>
      <c r="T9" s="506">
        <v>2777</v>
      </c>
      <c r="U9" s="506">
        <v>6650</v>
      </c>
      <c r="V9" s="506">
        <v>7170</v>
      </c>
      <c r="W9" s="506">
        <v>2982</v>
      </c>
      <c r="X9" s="507" t="s">
        <v>1340</v>
      </c>
      <c r="Y9" s="517">
        <v>99973</v>
      </c>
      <c r="Z9" s="506">
        <v>683</v>
      </c>
      <c r="AA9" s="506">
        <v>302</v>
      </c>
      <c r="AB9" s="512">
        <v>412</v>
      </c>
      <c r="AC9" s="507" t="s">
        <v>1340</v>
      </c>
      <c r="AD9" s="514">
        <v>87</v>
      </c>
      <c r="AE9" s="512">
        <v>8434</v>
      </c>
      <c r="AF9" s="506">
        <v>1739</v>
      </c>
      <c r="AG9" s="506">
        <v>2469</v>
      </c>
      <c r="AH9" s="507" t="s">
        <v>1340</v>
      </c>
      <c r="AI9" s="506">
        <v>602</v>
      </c>
      <c r="AJ9" s="507" t="s">
        <v>1340</v>
      </c>
      <c r="AK9" s="507" t="s">
        <v>1340</v>
      </c>
      <c r="AL9" s="513" t="s">
        <v>1340</v>
      </c>
      <c r="AM9" s="506">
        <v>14728</v>
      </c>
      <c r="AN9" s="508">
        <v>114701</v>
      </c>
    </row>
    <row r="10" spans="1:40">
      <c r="A10" s="505">
        <v>1992</v>
      </c>
      <c r="B10" s="507"/>
      <c r="C10" s="506">
        <v>32248</v>
      </c>
      <c r="D10" s="506">
        <v>1309</v>
      </c>
      <c r="E10" s="506">
        <v>1304</v>
      </c>
      <c r="F10" s="506">
        <v>20200</v>
      </c>
      <c r="G10" s="512">
        <v>7818</v>
      </c>
      <c r="H10" s="506">
        <v>15</v>
      </c>
      <c r="I10" s="506">
        <v>314</v>
      </c>
      <c r="J10" s="506">
        <v>13409</v>
      </c>
      <c r="K10" s="506">
        <v>1255</v>
      </c>
      <c r="L10" s="506">
        <v>201</v>
      </c>
      <c r="M10" s="506">
        <v>7216</v>
      </c>
      <c r="N10" s="506">
        <v>4423</v>
      </c>
      <c r="O10" s="506">
        <v>4940</v>
      </c>
      <c r="P10" s="506">
        <v>1136</v>
      </c>
      <c r="Q10" s="513" t="s">
        <v>1341</v>
      </c>
      <c r="R10" s="506">
        <v>892</v>
      </c>
      <c r="S10" s="506">
        <v>1821</v>
      </c>
      <c r="T10" s="506">
        <v>3798</v>
      </c>
      <c r="U10" s="506">
        <v>7174</v>
      </c>
      <c r="V10" s="506">
        <v>8015</v>
      </c>
      <c r="W10" s="506">
        <v>1767</v>
      </c>
      <c r="X10" s="507" t="s">
        <v>1340</v>
      </c>
      <c r="Y10" s="517">
        <v>119255</v>
      </c>
      <c r="Z10" s="506">
        <v>1025</v>
      </c>
      <c r="AA10" s="507"/>
      <c r="AB10" s="512">
        <v>267</v>
      </c>
      <c r="AC10" s="507" t="s">
        <v>1340</v>
      </c>
      <c r="AD10" s="514">
        <v>234</v>
      </c>
      <c r="AE10" s="512">
        <v>8434</v>
      </c>
      <c r="AF10" s="506">
        <v>3042</v>
      </c>
      <c r="AG10" s="506">
        <v>2368</v>
      </c>
      <c r="AH10" s="507" t="s">
        <v>1340</v>
      </c>
      <c r="AI10" s="506">
        <v>686</v>
      </c>
      <c r="AJ10" s="507" t="s">
        <v>1340</v>
      </c>
      <c r="AK10" s="507" t="s">
        <v>1340</v>
      </c>
      <c r="AL10" s="513" t="s">
        <v>1340</v>
      </c>
      <c r="AM10" s="506">
        <v>16056</v>
      </c>
      <c r="AN10" s="508">
        <v>135311</v>
      </c>
    </row>
    <row r="11" spans="1:40">
      <c r="A11" s="505">
        <v>1993</v>
      </c>
      <c r="B11" s="507"/>
      <c r="C11" s="506">
        <v>39858</v>
      </c>
      <c r="D11" s="506">
        <v>1565</v>
      </c>
      <c r="E11" s="506">
        <v>1511</v>
      </c>
      <c r="F11" s="506">
        <v>22505</v>
      </c>
      <c r="G11" s="512">
        <v>10082</v>
      </c>
      <c r="H11" s="506">
        <v>1</v>
      </c>
      <c r="I11" s="506">
        <v>375</v>
      </c>
      <c r="J11" s="506">
        <v>17976</v>
      </c>
      <c r="K11" s="506">
        <v>1383</v>
      </c>
      <c r="L11" s="506">
        <v>203</v>
      </c>
      <c r="M11" s="506">
        <v>7113</v>
      </c>
      <c r="N11" s="506">
        <v>4461</v>
      </c>
      <c r="O11" s="506">
        <v>4192</v>
      </c>
      <c r="P11" s="506">
        <v>1379</v>
      </c>
      <c r="Q11" s="513" t="s">
        <v>1341</v>
      </c>
      <c r="R11" s="506">
        <v>1123</v>
      </c>
      <c r="S11" s="506">
        <v>2265</v>
      </c>
      <c r="T11" s="506">
        <v>3755</v>
      </c>
      <c r="U11" s="506">
        <v>7997</v>
      </c>
      <c r="V11" s="506">
        <v>8627</v>
      </c>
      <c r="W11" s="506">
        <v>3387</v>
      </c>
      <c r="X11" s="507" t="s">
        <v>1340</v>
      </c>
      <c r="Y11" s="517">
        <v>139758</v>
      </c>
      <c r="Z11" s="506">
        <v>1186</v>
      </c>
      <c r="AA11" s="507"/>
      <c r="AB11" s="512">
        <v>264</v>
      </c>
      <c r="AC11" s="506">
        <v>2604</v>
      </c>
      <c r="AD11" s="514">
        <v>87</v>
      </c>
      <c r="AE11" s="512">
        <v>18121</v>
      </c>
      <c r="AF11" s="506">
        <v>994</v>
      </c>
      <c r="AG11" s="506">
        <v>2764</v>
      </c>
      <c r="AH11" s="506">
        <v>1</v>
      </c>
      <c r="AI11" s="506">
        <v>823</v>
      </c>
      <c r="AJ11" s="507" t="s">
        <v>1340</v>
      </c>
      <c r="AK11" s="507" t="s">
        <v>1340</v>
      </c>
      <c r="AL11" s="513" t="s">
        <v>1340</v>
      </c>
      <c r="AM11" s="506">
        <v>26844</v>
      </c>
      <c r="AN11" s="508">
        <v>166602</v>
      </c>
    </row>
    <row r="12" spans="1:40">
      <c r="A12" s="505">
        <v>1994</v>
      </c>
      <c r="B12" s="507"/>
      <c r="C12" s="506">
        <v>47430</v>
      </c>
      <c r="D12" s="506">
        <v>1759</v>
      </c>
      <c r="E12" s="506">
        <v>1482</v>
      </c>
      <c r="F12" s="506">
        <v>23624</v>
      </c>
      <c r="G12" s="512">
        <v>9352</v>
      </c>
      <c r="H12" s="507" t="s">
        <v>1340</v>
      </c>
      <c r="I12" s="506">
        <v>445</v>
      </c>
      <c r="J12" s="506">
        <v>12714</v>
      </c>
      <c r="K12" s="506">
        <v>488</v>
      </c>
      <c r="L12" s="506">
        <v>203</v>
      </c>
      <c r="M12" s="506">
        <v>7583</v>
      </c>
      <c r="N12" s="506">
        <v>5156</v>
      </c>
      <c r="O12" s="506">
        <v>4662</v>
      </c>
      <c r="P12" s="506">
        <v>1653</v>
      </c>
      <c r="Q12" s="513" t="s">
        <v>1341</v>
      </c>
      <c r="R12" s="506">
        <v>1520</v>
      </c>
      <c r="S12" s="506">
        <v>2103</v>
      </c>
      <c r="T12" s="506">
        <v>4048</v>
      </c>
      <c r="U12" s="506">
        <v>8392</v>
      </c>
      <c r="V12" s="506">
        <v>9562</v>
      </c>
      <c r="W12" s="506">
        <v>4942</v>
      </c>
      <c r="X12" s="507" t="s">
        <v>1340</v>
      </c>
      <c r="Y12" s="517">
        <v>147118</v>
      </c>
      <c r="Z12" s="506">
        <v>1459</v>
      </c>
      <c r="AA12" s="506">
        <v>633</v>
      </c>
      <c r="AB12" s="512">
        <v>393</v>
      </c>
      <c r="AC12" s="506">
        <v>1331</v>
      </c>
      <c r="AD12" s="514">
        <v>118</v>
      </c>
      <c r="AE12" s="512">
        <v>18504</v>
      </c>
      <c r="AF12" s="506">
        <v>1689</v>
      </c>
      <c r="AG12" s="506">
        <v>2799</v>
      </c>
      <c r="AH12" s="506">
        <v>1</v>
      </c>
      <c r="AI12" s="506">
        <v>953</v>
      </c>
      <c r="AJ12" s="507" t="s">
        <v>1340</v>
      </c>
      <c r="AK12" s="507" t="s">
        <v>1340</v>
      </c>
      <c r="AL12" s="513" t="s">
        <v>1340</v>
      </c>
      <c r="AM12" s="506">
        <v>27880</v>
      </c>
      <c r="AN12" s="508">
        <v>174998</v>
      </c>
    </row>
    <row r="13" spans="1:40">
      <c r="A13" s="505">
        <v>1995</v>
      </c>
      <c r="B13" s="507"/>
      <c r="C13" s="506">
        <v>46706</v>
      </c>
      <c r="D13" s="506">
        <v>2817</v>
      </c>
      <c r="E13" s="506">
        <v>1638</v>
      </c>
      <c r="F13" s="506">
        <v>26258</v>
      </c>
      <c r="G13" s="512">
        <v>11051</v>
      </c>
      <c r="H13" s="507" t="s">
        <v>1340</v>
      </c>
      <c r="I13" s="506">
        <v>501</v>
      </c>
      <c r="J13" s="506">
        <v>11215</v>
      </c>
      <c r="K13" s="506">
        <v>522</v>
      </c>
      <c r="L13" s="506">
        <v>202</v>
      </c>
      <c r="M13" s="506">
        <v>7899</v>
      </c>
      <c r="N13" s="506">
        <v>5806</v>
      </c>
      <c r="O13" s="506">
        <v>2880</v>
      </c>
      <c r="P13" s="506">
        <v>1773</v>
      </c>
      <c r="Q13" s="514">
        <v>5602</v>
      </c>
      <c r="R13" s="506">
        <v>1607</v>
      </c>
      <c r="S13" s="506">
        <v>2488</v>
      </c>
      <c r="T13" s="506">
        <v>4597</v>
      </c>
      <c r="U13" s="506">
        <v>7199</v>
      </c>
      <c r="V13" s="506">
        <v>4277</v>
      </c>
      <c r="W13" s="506">
        <v>5910</v>
      </c>
      <c r="X13" s="507" t="s">
        <v>1340</v>
      </c>
      <c r="Y13" s="517">
        <v>150948</v>
      </c>
      <c r="Z13" s="506">
        <v>1277</v>
      </c>
      <c r="AA13" s="507"/>
      <c r="AB13" s="512">
        <v>418</v>
      </c>
      <c r="AC13" s="506">
        <v>337</v>
      </c>
      <c r="AD13" s="514">
        <v>214</v>
      </c>
      <c r="AE13" s="512">
        <v>18993</v>
      </c>
      <c r="AF13" s="506">
        <v>3485</v>
      </c>
      <c r="AG13" s="506">
        <v>2681</v>
      </c>
      <c r="AH13" s="506">
        <v>2</v>
      </c>
      <c r="AI13" s="506">
        <v>1306</v>
      </c>
      <c r="AJ13" s="506">
        <v>384</v>
      </c>
      <c r="AK13" s="507" t="s">
        <v>1340</v>
      </c>
      <c r="AL13" s="513" t="s">
        <v>1340</v>
      </c>
      <c r="AM13" s="506">
        <v>29097</v>
      </c>
      <c r="AN13" s="508">
        <v>180045</v>
      </c>
    </row>
    <row r="14" spans="1:40">
      <c r="A14" s="505">
        <v>1996</v>
      </c>
      <c r="B14" s="507"/>
      <c r="C14" s="506">
        <v>50063</v>
      </c>
      <c r="D14" s="506">
        <v>3617</v>
      </c>
      <c r="E14" s="506">
        <v>1577</v>
      </c>
      <c r="F14" s="506">
        <v>28709</v>
      </c>
      <c r="G14" s="512">
        <v>12191</v>
      </c>
      <c r="H14" s="507" t="s">
        <v>1340</v>
      </c>
      <c r="I14" s="506">
        <v>580</v>
      </c>
      <c r="J14" s="506">
        <v>20461</v>
      </c>
      <c r="K14" s="506">
        <v>1121</v>
      </c>
      <c r="L14" s="506">
        <v>199</v>
      </c>
      <c r="M14" s="506">
        <v>8450</v>
      </c>
      <c r="N14" s="506">
        <v>6285</v>
      </c>
      <c r="O14" s="506">
        <v>3249</v>
      </c>
      <c r="P14" s="506">
        <v>1755</v>
      </c>
      <c r="Q14" s="514">
        <v>5717</v>
      </c>
      <c r="R14" s="506">
        <v>1592</v>
      </c>
      <c r="S14" s="506">
        <v>2926</v>
      </c>
      <c r="T14" s="506">
        <v>5044</v>
      </c>
      <c r="U14" s="506">
        <v>6608</v>
      </c>
      <c r="V14" s="506">
        <v>5049</v>
      </c>
      <c r="W14" s="506">
        <v>5616</v>
      </c>
      <c r="X14" s="507" t="s">
        <v>1340</v>
      </c>
      <c r="Y14" s="517">
        <v>170809</v>
      </c>
      <c r="Z14" s="506">
        <v>1510</v>
      </c>
      <c r="AA14" s="507"/>
      <c r="AB14" s="512">
        <v>451</v>
      </c>
      <c r="AC14" s="506">
        <v>805</v>
      </c>
      <c r="AD14" s="514">
        <v>282</v>
      </c>
      <c r="AE14" s="512">
        <v>26231</v>
      </c>
      <c r="AF14" s="506">
        <v>2826</v>
      </c>
      <c r="AG14" s="506">
        <v>3023</v>
      </c>
      <c r="AH14" s="506">
        <v>1</v>
      </c>
      <c r="AI14" s="506">
        <v>1919</v>
      </c>
      <c r="AJ14" s="506">
        <v>501</v>
      </c>
      <c r="AK14" s="507" t="s">
        <v>1340</v>
      </c>
      <c r="AL14" s="513" t="s">
        <v>1340</v>
      </c>
      <c r="AM14" s="506">
        <v>37549</v>
      </c>
      <c r="AN14" s="508">
        <v>208358</v>
      </c>
    </row>
    <row r="15" spans="1:40">
      <c r="A15" s="505">
        <v>1997</v>
      </c>
      <c r="B15" s="507"/>
      <c r="C15" s="506">
        <v>55347</v>
      </c>
      <c r="D15" s="506">
        <v>4433</v>
      </c>
      <c r="E15" s="506">
        <v>1585</v>
      </c>
      <c r="F15" s="506">
        <v>30159</v>
      </c>
      <c r="G15" s="512">
        <v>13453</v>
      </c>
      <c r="H15" s="507" t="s">
        <v>1340</v>
      </c>
      <c r="I15" s="506">
        <v>511</v>
      </c>
      <c r="J15" s="506">
        <v>29097</v>
      </c>
      <c r="K15" s="506">
        <v>1002</v>
      </c>
      <c r="L15" s="506">
        <v>200</v>
      </c>
      <c r="M15" s="506">
        <v>8465</v>
      </c>
      <c r="N15" s="506">
        <v>6258</v>
      </c>
      <c r="O15" s="506">
        <v>4246</v>
      </c>
      <c r="P15" s="506">
        <v>1889</v>
      </c>
      <c r="Q15" s="514">
        <v>6319</v>
      </c>
      <c r="R15" s="506">
        <v>1566</v>
      </c>
      <c r="S15" s="506">
        <v>7159</v>
      </c>
      <c r="T15" s="506">
        <v>6042</v>
      </c>
      <c r="U15" s="506">
        <v>6735</v>
      </c>
      <c r="V15" s="506">
        <v>4960</v>
      </c>
      <c r="W15" s="506">
        <v>8976</v>
      </c>
      <c r="X15" s="506">
        <v>6006</v>
      </c>
      <c r="Y15" s="517">
        <v>204408</v>
      </c>
      <c r="Z15" s="506">
        <v>1588</v>
      </c>
      <c r="AA15" s="506">
        <v>23</v>
      </c>
      <c r="AB15" s="512">
        <v>17864</v>
      </c>
      <c r="AC15" s="506">
        <v>1188</v>
      </c>
      <c r="AD15" s="514">
        <v>1099</v>
      </c>
      <c r="AE15" s="512">
        <v>44617</v>
      </c>
      <c r="AF15" s="506">
        <v>3450</v>
      </c>
      <c r="AG15" s="506">
        <v>3888</v>
      </c>
      <c r="AH15" s="506">
        <v>2</v>
      </c>
      <c r="AI15" s="506">
        <v>2475</v>
      </c>
      <c r="AJ15" s="506">
        <v>647</v>
      </c>
      <c r="AK15" s="507" t="s">
        <v>1340</v>
      </c>
      <c r="AL15" s="513" t="s">
        <v>1340</v>
      </c>
      <c r="AM15" s="506">
        <v>76818</v>
      </c>
      <c r="AN15" s="508">
        <v>281226</v>
      </c>
    </row>
    <row r="16" spans="1:40">
      <c r="A16" s="505">
        <v>1998</v>
      </c>
      <c r="B16" s="507"/>
      <c r="C16" s="506">
        <v>45252</v>
      </c>
      <c r="D16" s="506">
        <v>4098</v>
      </c>
      <c r="E16" s="506">
        <v>1333</v>
      </c>
      <c r="F16" s="506">
        <v>25063</v>
      </c>
      <c r="G16" s="512">
        <v>12228</v>
      </c>
      <c r="H16" s="507" t="s">
        <v>1340</v>
      </c>
      <c r="I16" s="506">
        <v>219</v>
      </c>
      <c r="J16" s="506">
        <v>10189</v>
      </c>
      <c r="K16" s="506">
        <v>573</v>
      </c>
      <c r="L16" s="506">
        <v>195</v>
      </c>
      <c r="M16" s="506">
        <v>7698</v>
      </c>
      <c r="N16" s="506">
        <v>3614</v>
      </c>
      <c r="O16" s="506">
        <v>2237</v>
      </c>
      <c r="P16" s="506">
        <v>1286</v>
      </c>
      <c r="Q16" s="514">
        <v>5489</v>
      </c>
      <c r="R16" s="506">
        <v>1333</v>
      </c>
      <c r="S16" s="506">
        <v>8335</v>
      </c>
      <c r="T16" s="506">
        <v>6517</v>
      </c>
      <c r="U16" s="506">
        <v>4400</v>
      </c>
      <c r="V16" s="506">
        <v>5076</v>
      </c>
      <c r="W16" s="506">
        <v>21568</v>
      </c>
      <c r="X16" s="506">
        <v>10080</v>
      </c>
      <c r="Y16" s="517">
        <v>176783</v>
      </c>
      <c r="Z16" s="506">
        <v>1237</v>
      </c>
      <c r="AA16" s="507"/>
      <c r="AB16" s="519"/>
      <c r="AC16" s="506">
        <v>1471</v>
      </c>
      <c r="AD16" s="514">
        <v>982</v>
      </c>
      <c r="AE16" s="512">
        <v>19251</v>
      </c>
      <c r="AF16" s="506">
        <v>6435</v>
      </c>
      <c r="AG16" s="506">
        <v>6329</v>
      </c>
      <c r="AH16" s="506">
        <v>3</v>
      </c>
      <c r="AI16" s="506">
        <v>2533</v>
      </c>
      <c r="AJ16" s="506">
        <v>1091</v>
      </c>
      <c r="AK16" s="507" t="s">
        <v>1340</v>
      </c>
      <c r="AL16" s="513" t="s">
        <v>1340</v>
      </c>
      <c r="AM16" s="506">
        <v>39332</v>
      </c>
      <c r="AN16" s="508">
        <v>216115</v>
      </c>
    </row>
    <row r="17" spans="1:40">
      <c r="A17" s="505">
        <v>1999</v>
      </c>
      <c r="B17" s="507"/>
      <c r="C17" s="506">
        <v>37699</v>
      </c>
      <c r="D17" s="506">
        <v>3216</v>
      </c>
      <c r="E17" s="506">
        <v>1168</v>
      </c>
      <c r="F17" s="506">
        <v>24831</v>
      </c>
      <c r="G17" s="512">
        <v>11938</v>
      </c>
      <c r="H17" s="507" t="s">
        <v>1340</v>
      </c>
      <c r="I17" s="506">
        <v>182</v>
      </c>
      <c r="J17" s="506">
        <v>12116</v>
      </c>
      <c r="K17" s="506">
        <v>499</v>
      </c>
      <c r="L17" s="506">
        <v>97</v>
      </c>
      <c r="M17" s="506">
        <v>7377</v>
      </c>
      <c r="N17" s="506">
        <v>7132</v>
      </c>
      <c r="O17" s="506">
        <v>2613</v>
      </c>
      <c r="P17" s="506">
        <v>1577</v>
      </c>
      <c r="Q17" s="514">
        <v>4978</v>
      </c>
      <c r="R17" s="506">
        <v>1093</v>
      </c>
      <c r="S17" s="506">
        <v>6986</v>
      </c>
      <c r="T17" s="506">
        <v>5672</v>
      </c>
      <c r="U17" s="506">
        <v>3326</v>
      </c>
      <c r="V17" s="506">
        <v>5918</v>
      </c>
      <c r="W17" s="506">
        <v>15390</v>
      </c>
      <c r="X17" s="506">
        <v>21388</v>
      </c>
      <c r="Y17" s="517">
        <v>175196</v>
      </c>
      <c r="Z17" s="506">
        <v>1272</v>
      </c>
      <c r="AA17" s="507"/>
      <c r="AB17" s="519"/>
      <c r="AC17" s="506">
        <v>640</v>
      </c>
      <c r="AD17" s="514">
        <v>1384</v>
      </c>
      <c r="AE17" s="512">
        <v>34810</v>
      </c>
      <c r="AF17" s="506">
        <v>4301</v>
      </c>
      <c r="AG17" s="506">
        <v>2665</v>
      </c>
      <c r="AH17" s="506">
        <v>4</v>
      </c>
      <c r="AI17" s="506">
        <v>11515</v>
      </c>
      <c r="AJ17" s="506">
        <v>1016</v>
      </c>
      <c r="AK17" s="506">
        <v>192</v>
      </c>
      <c r="AL17" s="513" t="s">
        <v>1340</v>
      </c>
      <c r="AM17" s="506">
        <v>57799</v>
      </c>
      <c r="AN17" s="508">
        <v>232995</v>
      </c>
    </row>
    <row r="18" spans="1:40">
      <c r="A18" s="505">
        <v>2000</v>
      </c>
      <c r="B18" s="507"/>
      <c r="C18" s="506">
        <v>42969</v>
      </c>
      <c r="D18" s="506">
        <v>3455</v>
      </c>
      <c r="E18" s="506">
        <v>1143</v>
      </c>
      <c r="F18" s="506">
        <v>26303</v>
      </c>
      <c r="G18" s="512">
        <v>12630</v>
      </c>
      <c r="H18" s="507" t="s">
        <v>1340</v>
      </c>
      <c r="I18" s="506">
        <v>223</v>
      </c>
      <c r="J18" s="506">
        <v>10911</v>
      </c>
      <c r="K18" s="506">
        <v>537</v>
      </c>
      <c r="L18" s="507" t="s">
        <v>1340</v>
      </c>
      <c r="M18" s="506">
        <v>7293</v>
      </c>
      <c r="N18" s="506">
        <v>14428</v>
      </c>
      <c r="O18" s="506">
        <v>3025</v>
      </c>
      <c r="P18" s="506">
        <v>1767</v>
      </c>
      <c r="Q18" s="514">
        <v>4806</v>
      </c>
      <c r="R18" s="506">
        <v>1061</v>
      </c>
      <c r="S18" s="506">
        <v>7579</v>
      </c>
      <c r="T18" s="506">
        <v>4210</v>
      </c>
      <c r="U18" s="506">
        <v>3297</v>
      </c>
      <c r="V18" s="506">
        <v>6167</v>
      </c>
      <c r="W18" s="506">
        <v>6835</v>
      </c>
      <c r="X18" s="506">
        <v>12681</v>
      </c>
      <c r="Y18" s="517">
        <v>171320</v>
      </c>
      <c r="Z18" s="506">
        <v>1503</v>
      </c>
      <c r="AA18" s="507"/>
      <c r="AB18" s="519"/>
      <c r="AC18" s="506">
        <v>2067</v>
      </c>
      <c r="AD18" s="514">
        <v>10525</v>
      </c>
      <c r="AE18" s="512">
        <v>29531</v>
      </c>
      <c r="AF18" s="506">
        <v>2652</v>
      </c>
      <c r="AG18" s="506">
        <v>2949</v>
      </c>
      <c r="AH18" s="506">
        <v>3</v>
      </c>
      <c r="AI18" s="506">
        <v>3612</v>
      </c>
      <c r="AJ18" s="506">
        <v>602</v>
      </c>
      <c r="AK18" s="506">
        <v>296</v>
      </c>
      <c r="AL18" s="513" t="s">
        <v>1340</v>
      </c>
      <c r="AM18" s="506">
        <v>53740</v>
      </c>
      <c r="AN18" s="508">
        <v>225060</v>
      </c>
    </row>
    <row r="19" spans="1:40">
      <c r="A19" s="505">
        <v>2001</v>
      </c>
      <c r="B19" s="507"/>
      <c r="C19" s="506">
        <v>44376</v>
      </c>
      <c r="D19" s="506">
        <v>3603</v>
      </c>
      <c r="E19" s="506">
        <v>1136</v>
      </c>
      <c r="F19" s="506">
        <v>28634</v>
      </c>
      <c r="G19" s="512">
        <v>11571</v>
      </c>
      <c r="H19" s="507" t="s">
        <v>1340</v>
      </c>
      <c r="I19" s="506">
        <v>203</v>
      </c>
      <c r="J19" s="506">
        <v>8637</v>
      </c>
      <c r="K19" s="506">
        <v>666</v>
      </c>
      <c r="L19" s="507" t="s">
        <v>1340</v>
      </c>
      <c r="M19" s="506">
        <v>6981</v>
      </c>
      <c r="N19" s="506">
        <v>12727</v>
      </c>
      <c r="O19" s="506">
        <v>2676</v>
      </c>
      <c r="P19" s="506">
        <v>1881</v>
      </c>
      <c r="Q19" s="514">
        <v>4707</v>
      </c>
      <c r="R19" s="506">
        <v>926</v>
      </c>
      <c r="S19" s="506">
        <v>8621</v>
      </c>
      <c r="T19" s="506">
        <v>4154</v>
      </c>
      <c r="U19" s="506">
        <v>3366</v>
      </c>
      <c r="V19" s="506">
        <v>6209</v>
      </c>
      <c r="W19" s="506">
        <v>225</v>
      </c>
      <c r="X19" s="506">
        <v>106</v>
      </c>
      <c r="Y19" s="517">
        <v>151405</v>
      </c>
      <c r="Z19" s="506">
        <v>1928</v>
      </c>
      <c r="AA19" s="507"/>
      <c r="AB19" s="519"/>
      <c r="AC19" s="506">
        <v>2475</v>
      </c>
      <c r="AD19" s="514">
        <v>837</v>
      </c>
      <c r="AE19" s="512">
        <v>10327</v>
      </c>
      <c r="AF19" s="506">
        <v>356</v>
      </c>
      <c r="AG19" s="506">
        <v>2816</v>
      </c>
      <c r="AH19" s="506">
        <v>1</v>
      </c>
      <c r="AI19" s="506">
        <v>5382</v>
      </c>
      <c r="AJ19" s="506">
        <v>5</v>
      </c>
      <c r="AK19" s="506">
        <v>27</v>
      </c>
      <c r="AL19" s="513" t="s">
        <v>1340</v>
      </c>
      <c r="AM19" s="506">
        <v>24154</v>
      </c>
      <c r="AN19" s="508">
        <v>175559</v>
      </c>
    </row>
    <row r="20" spans="1:40">
      <c r="A20" s="505">
        <v>2002</v>
      </c>
      <c r="B20" s="507"/>
      <c r="C20" s="506">
        <v>38799</v>
      </c>
      <c r="D20" s="506">
        <v>3316</v>
      </c>
      <c r="E20" s="506">
        <v>1180</v>
      </c>
      <c r="F20" s="506">
        <v>29733</v>
      </c>
      <c r="G20" s="512">
        <v>10921</v>
      </c>
      <c r="H20" s="507" t="s">
        <v>1340</v>
      </c>
      <c r="I20" s="506">
        <v>201</v>
      </c>
      <c r="J20" s="506">
        <v>7458</v>
      </c>
      <c r="K20" s="506">
        <v>884</v>
      </c>
      <c r="L20" s="507" t="s">
        <v>1340</v>
      </c>
      <c r="M20" s="506">
        <v>6620</v>
      </c>
      <c r="N20" s="506">
        <v>8923</v>
      </c>
      <c r="O20" s="506">
        <v>2510</v>
      </c>
      <c r="P20" s="506">
        <v>1726</v>
      </c>
      <c r="Q20" s="514">
        <v>3721</v>
      </c>
      <c r="R20" s="506">
        <v>843</v>
      </c>
      <c r="S20" s="506">
        <v>8015</v>
      </c>
      <c r="T20" s="506">
        <v>4405</v>
      </c>
      <c r="U20" s="506">
        <v>2068</v>
      </c>
      <c r="V20" s="506">
        <v>5966</v>
      </c>
      <c r="W20" s="506">
        <v>2766</v>
      </c>
      <c r="X20" s="506">
        <v>13281</v>
      </c>
      <c r="Y20" s="517">
        <v>153336</v>
      </c>
      <c r="Z20" s="506">
        <v>1403</v>
      </c>
      <c r="AA20" s="507"/>
      <c r="AB20" s="519"/>
      <c r="AC20" s="506">
        <v>2212</v>
      </c>
      <c r="AD20" s="514">
        <v>548</v>
      </c>
      <c r="AE20" s="512">
        <v>11476</v>
      </c>
      <c r="AF20" s="506">
        <v>714</v>
      </c>
      <c r="AG20" s="506">
        <v>2432</v>
      </c>
      <c r="AH20" s="506">
        <v>2</v>
      </c>
      <c r="AI20" s="506">
        <v>4464</v>
      </c>
      <c r="AJ20" s="506">
        <v>631</v>
      </c>
      <c r="AK20" s="506">
        <v>271</v>
      </c>
      <c r="AL20" s="513" t="s">
        <v>1340</v>
      </c>
      <c r="AM20" s="506">
        <v>24153</v>
      </c>
      <c r="AN20" s="508">
        <v>177489</v>
      </c>
    </row>
    <row r="21" spans="1:40">
      <c r="A21" s="505">
        <v>2003</v>
      </c>
      <c r="B21" s="507"/>
      <c r="C21" s="506">
        <v>48770</v>
      </c>
      <c r="D21" s="506">
        <v>2744</v>
      </c>
      <c r="E21" s="506">
        <v>983</v>
      </c>
      <c r="F21" s="506">
        <v>27977</v>
      </c>
      <c r="G21" s="512">
        <v>11636</v>
      </c>
      <c r="H21" s="507" t="s">
        <v>1340</v>
      </c>
      <c r="I21" s="506">
        <v>156</v>
      </c>
      <c r="J21" s="506">
        <v>11246</v>
      </c>
      <c r="K21" s="506">
        <v>753</v>
      </c>
      <c r="L21" s="507" t="s">
        <v>1340</v>
      </c>
      <c r="M21" s="506">
        <v>6422</v>
      </c>
      <c r="N21" s="506">
        <v>11167</v>
      </c>
      <c r="O21" s="506">
        <v>2724</v>
      </c>
      <c r="P21" s="506">
        <v>1676</v>
      </c>
      <c r="Q21" s="514">
        <v>4804</v>
      </c>
      <c r="R21" s="506">
        <v>846</v>
      </c>
      <c r="S21" s="506">
        <v>7870</v>
      </c>
      <c r="T21" s="506">
        <v>3133</v>
      </c>
      <c r="U21" s="506">
        <v>2877</v>
      </c>
      <c r="V21" s="506">
        <v>5745</v>
      </c>
      <c r="W21" s="506">
        <v>5923</v>
      </c>
      <c r="X21" s="506">
        <v>17159</v>
      </c>
      <c r="Y21" s="517">
        <v>174611</v>
      </c>
      <c r="Z21" s="506">
        <v>1455</v>
      </c>
      <c r="AA21" s="507"/>
      <c r="AB21" s="519"/>
      <c r="AC21" s="506">
        <v>327</v>
      </c>
      <c r="AD21" s="514">
        <v>1540</v>
      </c>
      <c r="AE21" s="512">
        <v>5415</v>
      </c>
      <c r="AF21" s="506">
        <v>1134</v>
      </c>
      <c r="AG21" s="506">
        <v>2427</v>
      </c>
      <c r="AH21" s="506">
        <v>4</v>
      </c>
      <c r="AI21" s="506">
        <v>17623</v>
      </c>
      <c r="AJ21" s="506">
        <v>1146</v>
      </c>
      <c r="AK21" s="506">
        <v>425</v>
      </c>
      <c r="AL21" s="514">
        <v>1231</v>
      </c>
      <c r="AM21" s="506">
        <v>32727</v>
      </c>
      <c r="AN21" s="508">
        <v>207338</v>
      </c>
    </row>
    <row r="22" spans="1:40">
      <c r="A22" s="505">
        <v>2004</v>
      </c>
      <c r="B22" s="507"/>
      <c r="C22" s="506">
        <v>58640</v>
      </c>
      <c r="D22" s="506">
        <v>2963</v>
      </c>
      <c r="E22" s="506">
        <v>1116</v>
      </c>
      <c r="F22" s="506">
        <v>33990</v>
      </c>
      <c r="G22" s="512">
        <v>12057</v>
      </c>
      <c r="H22" s="507" t="s">
        <v>1340</v>
      </c>
      <c r="I22" s="506">
        <v>248</v>
      </c>
      <c r="J22" s="506">
        <v>15851</v>
      </c>
      <c r="K22" s="506">
        <v>1350</v>
      </c>
      <c r="L22" s="507" t="s">
        <v>1340</v>
      </c>
      <c r="M22" s="506">
        <v>6603</v>
      </c>
      <c r="N22" s="506">
        <v>12640</v>
      </c>
      <c r="O22" s="506">
        <v>3417</v>
      </c>
      <c r="P22" s="506">
        <v>775</v>
      </c>
      <c r="Q22" s="514">
        <v>5184</v>
      </c>
      <c r="R22" s="506">
        <v>949</v>
      </c>
      <c r="S22" s="506">
        <v>8710</v>
      </c>
      <c r="T22" s="506">
        <v>3025</v>
      </c>
      <c r="U22" s="506">
        <v>3401</v>
      </c>
      <c r="V22" s="506">
        <v>5609</v>
      </c>
      <c r="W22" s="506">
        <v>4916</v>
      </c>
      <c r="X22" s="506">
        <v>6560</v>
      </c>
      <c r="Y22" s="517">
        <v>188004</v>
      </c>
      <c r="Z22" s="506">
        <v>1469</v>
      </c>
      <c r="AA22" s="507"/>
      <c r="AB22" s="519"/>
      <c r="AC22" s="506">
        <v>38</v>
      </c>
      <c r="AD22" s="514">
        <v>2186</v>
      </c>
      <c r="AE22" s="512">
        <v>32033</v>
      </c>
      <c r="AF22" s="506">
        <v>27395</v>
      </c>
      <c r="AG22" s="506">
        <v>8406</v>
      </c>
      <c r="AH22" s="506">
        <v>2</v>
      </c>
      <c r="AI22" s="506">
        <v>1688</v>
      </c>
      <c r="AJ22" s="506">
        <v>771</v>
      </c>
      <c r="AK22" s="506">
        <v>317</v>
      </c>
      <c r="AL22" s="514">
        <v>1282</v>
      </c>
      <c r="AM22" s="506">
        <v>75587</v>
      </c>
      <c r="AN22" s="508">
        <v>263591</v>
      </c>
    </row>
    <row r="23" spans="1:40">
      <c r="A23" s="505">
        <v>2005</v>
      </c>
      <c r="B23" s="507"/>
      <c r="C23" s="506">
        <v>69797</v>
      </c>
      <c r="D23" s="506">
        <v>3194</v>
      </c>
      <c r="E23" s="506">
        <v>1267</v>
      </c>
      <c r="F23" s="506">
        <v>37494</v>
      </c>
      <c r="G23" s="512">
        <v>11938</v>
      </c>
      <c r="H23" s="507" t="s">
        <v>1340</v>
      </c>
      <c r="I23" s="506">
        <v>310</v>
      </c>
      <c r="J23" s="506">
        <v>17867</v>
      </c>
      <c r="K23" s="506">
        <v>1440</v>
      </c>
      <c r="L23" s="507" t="s">
        <v>1340</v>
      </c>
      <c r="M23" s="506">
        <v>6424</v>
      </c>
      <c r="N23" s="506">
        <v>14146</v>
      </c>
      <c r="O23" s="506">
        <v>3895</v>
      </c>
      <c r="P23" s="506">
        <v>616</v>
      </c>
      <c r="Q23" s="514">
        <v>5525</v>
      </c>
      <c r="R23" s="506">
        <v>988</v>
      </c>
      <c r="S23" s="506">
        <v>9815</v>
      </c>
      <c r="T23" s="506">
        <v>2791</v>
      </c>
      <c r="U23" s="506">
        <v>3374</v>
      </c>
      <c r="V23" s="506">
        <v>5584</v>
      </c>
      <c r="W23" s="506">
        <v>3857</v>
      </c>
      <c r="X23" s="506">
        <v>4226</v>
      </c>
      <c r="Y23" s="517">
        <v>204548</v>
      </c>
      <c r="Z23" s="506">
        <v>1676</v>
      </c>
      <c r="AA23" s="507"/>
      <c r="AB23" s="519"/>
      <c r="AC23" s="506">
        <v>29</v>
      </c>
      <c r="AD23" s="514">
        <v>2954</v>
      </c>
      <c r="AE23" s="512">
        <v>29472</v>
      </c>
      <c r="AF23" s="506">
        <v>1505</v>
      </c>
      <c r="AG23" s="506">
        <v>2943</v>
      </c>
      <c r="AH23" s="506">
        <v>2</v>
      </c>
      <c r="AI23" s="506">
        <v>1972</v>
      </c>
      <c r="AJ23" s="506">
        <v>520</v>
      </c>
      <c r="AK23" s="506">
        <v>182</v>
      </c>
      <c r="AL23" s="514">
        <v>1232</v>
      </c>
      <c r="AM23" s="506">
        <v>42487</v>
      </c>
      <c r="AN23" s="508">
        <v>247035</v>
      </c>
    </row>
    <row r="24" spans="1:40">
      <c r="A24" s="505">
        <v>2006</v>
      </c>
      <c r="B24" s="507"/>
      <c r="C24" s="506">
        <v>71919</v>
      </c>
      <c r="D24" s="506">
        <v>3566</v>
      </c>
      <c r="E24" s="506">
        <v>1247</v>
      </c>
      <c r="F24" s="506">
        <v>38586</v>
      </c>
      <c r="G24" s="512">
        <v>12047</v>
      </c>
      <c r="H24" s="507" t="s">
        <v>1340</v>
      </c>
      <c r="I24" s="506">
        <v>384</v>
      </c>
      <c r="J24" s="506">
        <v>25077</v>
      </c>
      <c r="K24" s="506">
        <v>1531</v>
      </c>
      <c r="L24" s="507" t="s">
        <v>1340</v>
      </c>
      <c r="M24" s="506">
        <v>7023</v>
      </c>
      <c r="N24" s="506">
        <v>15467</v>
      </c>
      <c r="O24" s="506">
        <v>4335</v>
      </c>
      <c r="P24" s="506">
        <v>610</v>
      </c>
      <c r="Q24" s="514">
        <v>5751</v>
      </c>
      <c r="R24" s="506">
        <v>1009</v>
      </c>
      <c r="S24" s="506">
        <v>11280</v>
      </c>
      <c r="T24" s="506">
        <v>2740</v>
      </c>
      <c r="U24" s="506">
        <v>3336</v>
      </c>
      <c r="V24" s="506">
        <v>5921</v>
      </c>
      <c r="W24" s="506">
        <v>10560</v>
      </c>
      <c r="X24" s="506">
        <v>12031</v>
      </c>
      <c r="Y24" s="517">
        <v>234420</v>
      </c>
      <c r="Z24" s="506">
        <v>778</v>
      </c>
      <c r="AA24" s="507"/>
      <c r="AB24" s="519"/>
      <c r="AC24" s="506">
        <v>76</v>
      </c>
      <c r="AD24" s="514">
        <v>3582</v>
      </c>
      <c r="AE24" s="512">
        <v>37001</v>
      </c>
      <c r="AF24" s="506">
        <v>4483</v>
      </c>
      <c r="AG24" s="506">
        <v>2307</v>
      </c>
      <c r="AH24" s="506">
        <v>3</v>
      </c>
      <c r="AI24" s="506">
        <v>2009</v>
      </c>
      <c r="AJ24" s="506">
        <v>1480</v>
      </c>
      <c r="AK24" s="506">
        <v>423</v>
      </c>
      <c r="AL24" s="514">
        <v>1452</v>
      </c>
      <c r="AM24" s="506">
        <v>53594</v>
      </c>
      <c r="AN24" s="508">
        <v>288014</v>
      </c>
    </row>
    <row r="25" spans="1:40">
      <c r="A25" s="505">
        <v>2007</v>
      </c>
      <c r="B25" s="507"/>
      <c r="C25" s="506">
        <v>91423</v>
      </c>
      <c r="D25" s="506">
        <v>3586</v>
      </c>
      <c r="E25" s="506">
        <v>1241</v>
      </c>
      <c r="F25" s="506">
        <v>37479</v>
      </c>
      <c r="G25" s="512">
        <v>13048</v>
      </c>
      <c r="H25" s="507" t="s">
        <v>1340</v>
      </c>
      <c r="I25" s="506">
        <v>450</v>
      </c>
      <c r="J25" s="506">
        <v>51549</v>
      </c>
      <c r="K25" s="506">
        <v>1671</v>
      </c>
      <c r="L25" s="507" t="s">
        <v>1340</v>
      </c>
      <c r="M25" s="506">
        <v>7059</v>
      </c>
      <c r="N25" s="506">
        <v>9495</v>
      </c>
      <c r="O25" s="506">
        <v>5553</v>
      </c>
      <c r="P25" s="506">
        <v>863</v>
      </c>
      <c r="Q25" s="514">
        <v>6274</v>
      </c>
      <c r="R25" s="506">
        <v>997</v>
      </c>
      <c r="S25" s="506">
        <v>11552</v>
      </c>
      <c r="T25" s="506">
        <v>2826</v>
      </c>
      <c r="U25" s="506">
        <v>3344</v>
      </c>
      <c r="V25" s="506">
        <v>6023</v>
      </c>
      <c r="W25" s="506">
        <v>12005</v>
      </c>
      <c r="X25" s="506">
        <v>9876</v>
      </c>
      <c r="Y25" s="517">
        <v>276314</v>
      </c>
      <c r="Z25" s="506">
        <v>354</v>
      </c>
      <c r="AA25" s="507"/>
      <c r="AB25" s="519"/>
      <c r="AC25" s="506">
        <v>4521</v>
      </c>
      <c r="AD25" s="514">
        <v>3567</v>
      </c>
      <c r="AE25" s="512">
        <v>62318</v>
      </c>
      <c r="AF25" s="506">
        <v>4059</v>
      </c>
      <c r="AG25" s="506">
        <v>2207</v>
      </c>
      <c r="AH25" s="506">
        <v>3</v>
      </c>
      <c r="AI25" s="506">
        <v>2098</v>
      </c>
      <c r="AJ25" s="506">
        <v>1215</v>
      </c>
      <c r="AK25" s="506">
        <v>331</v>
      </c>
      <c r="AL25" s="514">
        <v>1478</v>
      </c>
      <c r="AM25" s="506">
        <v>82151</v>
      </c>
      <c r="AN25" s="508">
        <v>358465</v>
      </c>
    </row>
    <row r="26" spans="1:40">
      <c r="A26" s="505">
        <v>2008</v>
      </c>
      <c r="B26" s="507"/>
      <c r="C26" s="506">
        <v>104151</v>
      </c>
      <c r="D26" s="506">
        <v>2151</v>
      </c>
      <c r="E26" s="506">
        <v>833</v>
      </c>
      <c r="F26" s="506">
        <v>39008</v>
      </c>
      <c r="G26" s="512">
        <v>12620</v>
      </c>
      <c r="H26" s="507" t="s">
        <v>1340</v>
      </c>
      <c r="I26" s="506">
        <v>223</v>
      </c>
      <c r="J26" s="506">
        <v>32162</v>
      </c>
      <c r="K26" s="506">
        <v>1626</v>
      </c>
      <c r="L26" s="507" t="s">
        <v>1340</v>
      </c>
      <c r="M26" s="506">
        <v>6047</v>
      </c>
      <c r="N26" s="506">
        <v>7175</v>
      </c>
      <c r="O26" s="506">
        <v>4981</v>
      </c>
      <c r="P26" s="506">
        <v>2389</v>
      </c>
      <c r="Q26" s="514">
        <v>4870</v>
      </c>
      <c r="R26" s="506">
        <v>1006</v>
      </c>
      <c r="S26" s="506">
        <v>12483</v>
      </c>
      <c r="T26" s="506">
        <v>3305</v>
      </c>
      <c r="U26" s="506">
        <v>3320</v>
      </c>
      <c r="V26" s="506">
        <v>5600</v>
      </c>
      <c r="W26" s="506">
        <v>23352</v>
      </c>
      <c r="X26" s="506">
        <v>14183</v>
      </c>
      <c r="Y26" s="517">
        <v>281485</v>
      </c>
      <c r="Z26" s="506">
        <v>176</v>
      </c>
      <c r="AA26" s="507"/>
      <c r="AB26" s="519"/>
      <c r="AC26" s="506">
        <v>471</v>
      </c>
      <c r="AD26" s="514">
        <v>3488</v>
      </c>
      <c r="AE26" s="512">
        <v>16936</v>
      </c>
      <c r="AF26" s="506">
        <v>6219</v>
      </c>
      <c r="AG26" s="506">
        <v>1917</v>
      </c>
      <c r="AH26" s="506">
        <v>5</v>
      </c>
      <c r="AI26" s="506">
        <v>2101</v>
      </c>
      <c r="AJ26" s="506">
        <v>1745</v>
      </c>
      <c r="AK26" s="506">
        <v>416</v>
      </c>
      <c r="AL26" s="514">
        <v>1603</v>
      </c>
      <c r="AM26" s="506">
        <v>35077</v>
      </c>
      <c r="AN26" s="508">
        <v>316562</v>
      </c>
    </row>
    <row r="27" spans="1:40">
      <c r="A27" s="505">
        <v>2009</v>
      </c>
      <c r="B27" s="507"/>
      <c r="C27" s="506">
        <v>76605</v>
      </c>
      <c r="D27" s="506">
        <v>3656</v>
      </c>
      <c r="E27" s="506">
        <v>1678</v>
      </c>
      <c r="F27" s="506">
        <v>41245</v>
      </c>
      <c r="G27" s="512">
        <v>12767</v>
      </c>
      <c r="H27" s="507" t="s">
        <v>1340</v>
      </c>
      <c r="I27" s="507" t="s">
        <v>1340</v>
      </c>
      <c r="J27" s="506">
        <v>42383</v>
      </c>
      <c r="K27" s="506">
        <v>1617</v>
      </c>
      <c r="L27" s="507" t="s">
        <v>1340</v>
      </c>
      <c r="M27" s="506">
        <v>6465</v>
      </c>
      <c r="N27" s="506">
        <v>9957</v>
      </c>
      <c r="O27" s="506">
        <v>4816</v>
      </c>
      <c r="P27" s="506">
        <v>1596</v>
      </c>
      <c r="Q27" s="514">
        <v>4895</v>
      </c>
      <c r="R27" s="506">
        <v>1183</v>
      </c>
      <c r="S27" s="506">
        <v>12601</v>
      </c>
      <c r="T27" s="506">
        <v>3277</v>
      </c>
      <c r="U27" s="506">
        <v>3438</v>
      </c>
      <c r="V27" s="506">
        <v>5592</v>
      </c>
      <c r="W27" s="506">
        <v>17893</v>
      </c>
      <c r="X27" s="506">
        <v>11196</v>
      </c>
      <c r="Y27" s="517">
        <v>262860</v>
      </c>
      <c r="Z27" s="506">
        <v>185</v>
      </c>
      <c r="AA27" s="507"/>
      <c r="AB27" s="519"/>
      <c r="AC27" s="506">
        <v>864</v>
      </c>
      <c r="AD27" s="514">
        <v>5946</v>
      </c>
      <c r="AE27" s="512">
        <v>39632</v>
      </c>
      <c r="AF27" s="506">
        <v>2245</v>
      </c>
      <c r="AG27" s="506">
        <v>1232</v>
      </c>
      <c r="AH27" s="506">
        <v>12</v>
      </c>
      <c r="AI27" s="506">
        <v>2276</v>
      </c>
      <c r="AJ27" s="506">
        <v>1377</v>
      </c>
      <c r="AK27" s="506">
        <v>323</v>
      </c>
      <c r="AL27" s="514">
        <v>1490</v>
      </c>
      <c r="AM27" s="506">
        <v>55582</v>
      </c>
      <c r="AN27" s="508">
        <v>318442</v>
      </c>
    </row>
    <row r="28" spans="1:40">
      <c r="A28" s="505">
        <v>2010</v>
      </c>
      <c r="B28" s="507"/>
      <c r="C28" s="506">
        <v>93183</v>
      </c>
      <c r="D28" s="506">
        <v>3922</v>
      </c>
      <c r="E28" s="506">
        <v>1647</v>
      </c>
      <c r="F28" s="506">
        <v>44255</v>
      </c>
      <c r="G28" s="512">
        <v>14759</v>
      </c>
      <c r="H28" s="507" t="s">
        <v>1340</v>
      </c>
      <c r="I28" s="507" t="s">
        <v>1340</v>
      </c>
      <c r="J28" s="506">
        <v>51005</v>
      </c>
      <c r="K28" s="506">
        <v>1813</v>
      </c>
      <c r="L28" s="507" t="s">
        <v>1340</v>
      </c>
      <c r="M28" s="506">
        <v>7551</v>
      </c>
      <c r="N28" s="506">
        <v>8956</v>
      </c>
      <c r="O28" s="506">
        <v>6657</v>
      </c>
      <c r="P28" s="506">
        <v>2452</v>
      </c>
      <c r="Q28" s="514">
        <v>5113</v>
      </c>
      <c r="R28" s="506">
        <v>1159</v>
      </c>
      <c r="S28" s="506">
        <v>15806</v>
      </c>
      <c r="T28" s="506">
        <v>2887</v>
      </c>
      <c r="U28" s="506">
        <v>3483</v>
      </c>
      <c r="V28" s="506">
        <v>6250</v>
      </c>
      <c r="W28" s="506">
        <v>17824</v>
      </c>
      <c r="X28" s="506">
        <v>11078</v>
      </c>
      <c r="Y28" s="517">
        <v>299800</v>
      </c>
      <c r="Z28" s="506">
        <v>213</v>
      </c>
      <c r="AA28" s="507"/>
      <c r="AB28" s="519"/>
      <c r="AC28" s="506">
        <v>142</v>
      </c>
      <c r="AD28" s="514">
        <v>1212</v>
      </c>
      <c r="AE28" s="512">
        <v>65545</v>
      </c>
      <c r="AF28" s="506">
        <v>2797</v>
      </c>
      <c r="AG28" s="506">
        <v>1357</v>
      </c>
      <c r="AH28" s="506">
        <v>4</v>
      </c>
      <c r="AI28" s="506">
        <v>2238</v>
      </c>
      <c r="AJ28" s="506">
        <v>1363</v>
      </c>
      <c r="AK28" s="506">
        <v>272</v>
      </c>
      <c r="AL28" s="514">
        <v>1538</v>
      </c>
      <c r="AM28" s="506">
        <v>76681</v>
      </c>
      <c r="AN28" s="508">
        <v>376481</v>
      </c>
    </row>
    <row r="29" spans="1:40">
      <c r="A29" s="505">
        <v>2011</v>
      </c>
      <c r="B29" s="507"/>
      <c r="C29" s="506">
        <v>118600</v>
      </c>
      <c r="D29" s="506">
        <v>4512</v>
      </c>
      <c r="E29" s="506">
        <v>1949</v>
      </c>
      <c r="F29" s="506">
        <v>51761</v>
      </c>
      <c r="G29" s="512">
        <v>15761</v>
      </c>
      <c r="H29" s="507" t="s">
        <v>1340</v>
      </c>
      <c r="I29" s="507" t="s">
        <v>1340</v>
      </c>
      <c r="J29" s="506">
        <v>44356</v>
      </c>
      <c r="K29" s="506">
        <v>1947</v>
      </c>
      <c r="L29" s="507" t="s">
        <v>1340</v>
      </c>
      <c r="M29" s="506">
        <v>7725</v>
      </c>
      <c r="N29" s="506">
        <v>9722</v>
      </c>
      <c r="O29" s="506">
        <v>7070</v>
      </c>
      <c r="P29" s="506">
        <v>4849</v>
      </c>
      <c r="Q29" s="514">
        <v>6769</v>
      </c>
      <c r="R29" s="506">
        <v>2660</v>
      </c>
      <c r="S29" s="506">
        <v>16971</v>
      </c>
      <c r="T29" s="506">
        <v>3425</v>
      </c>
      <c r="U29" s="506">
        <v>3573</v>
      </c>
      <c r="V29" s="506">
        <v>6450</v>
      </c>
      <c r="W29" s="506">
        <v>20105</v>
      </c>
      <c r="X29" s="506">
        <v>11216</v>
      </c>
      <c r="Y29" s="517">
        <v>339421</v>
      </c>
      <c r="Z29" s="506">
        <v>94</v>
      </c>
      <c r="AA29" s="507"/>
      <c r="AB29" s="519"/>
      <c r="AC29" s="506">
        <v>163</v>
      </c>
      <c r="AD29" s="514">
        <v>2359</v>
      </c>
      <c r="AE29" s="512">
        <v>84644</v>
      </c>
      <c r="AF29" s="506">
        <v>3822</v>
      </c>
      <c r="AG29" s="506">
        <v>1386</v>
      </c>
      <c r="AH29" s="506">
        <v>9</v>
      </c>
      <c r="AI29" s="506">
        <v>2389</v>
      </c>
      <c r="AJ29" s="506">
        <v>1379</v>
      </c>
      <c r="AK29" s="506">
        <v>240</v>
      </c>
      <c r="AL29" s="514">
        <v>1817</v>
      </c>
      <c r="AM29" s="506">
        <v>98302</v>
      </c>
      <c r="AN29" s="508">
        <v>437723</v>
      </c>
    </row>
    <row r="30" spans="1:40">
      <c r="A30" s="505">
        <v>2012</v>
      </c>
      <c r="B30" s="507"/>
      <c r="C30" s="506">
        <v>125638</v>
      </c>
      <c r="D30" s="506">
        <v>4078</v>
      </c>
      <c r="E30" s="506">
        <v>2259</v>
      </c>
      <c r="F30" s="506">
        <v>50467</v>
      </c>
      <c r="G30" s="512">
        <v>16565</v>
      </c>
      <c r="H30" s="507" t="s">
        <v>1340</v>
      </c>
      <c r="I30" s="507" t="s">
        <v>1340</v>
      </c>
      <c r="J30" s="506">
        <v>42880</v>
      </c>
      <c r="K30" s="506">
        <v>2029</v>
      </c>
      <c r="L30" s="507" t="s">
        <v>1340</v>
      </c>
      <c r="M30" s="506">
        <v>8977</v>
      </c>
      <c r="N30" s="506">
        <v>11204</v>
      </c>
      <c r="O30" s="506">
        <v>7466</v>
      </c>
      <c r="P30" s="506">
        <v>2736</v>
      </c>
      <c r="Q30" s="514">
        <v>5127</v>
      </c>
      <c r="R30" s="506">
        <v>1208</v>
      </c>
      <c r="S30" s="506">
        <v>19268</v>
      </c>
      <c r="T30" s="506">
        <v>3404</v>
      </c>
      <c r="U30" s="506">
        <v>3687</v>
      </c>
      <c r="V30" s="506">
        <v>6463</v>
      </c>
      <c r="W30" s="506">
        <v>20024</v>
      </c>
      <c r="X30" s="506">
        <v>11126</v>
      </c>
      <c r="Y30" s="517">
        <v>344606</v>
      </c>
      <c r="Z30" s="506">
        <v>137</v>
      </c>
      <c r="AA30" s="507"/>
      <c r="AB30" s="519"/>
      <c r="AC30" s="506">
        <v>230</v>
      </c>
      <c r="AD30" s="514">
        <v>15853</v>
      </c>
      <c r="AE30" s="512">
        <v>69563</v>
      </c>
      <c r="AF30" s="506">
        <v>4675</v>
      </c>
      <c r="AG30" s="506">
        <v>1482</v>
      </c>
      <c r="AH30" s="506">
        <v>1</v>
      </c>
      <c r="AI30" s="506">
        <v>2240</v>
      </c>
      <c r="AJ30" s="506">
        <v>1369</v>
      </c>
      <c r="AK30" s="506">
        <v>214</v>
      </c>
      <c r="AL30" s="514">
        <v>1780</v>
      </c>
      <c r="AM30" s="506">
        <v>97544</v>
      </c>
      <c r="AN30" s="508">
        <v>442150</v>
      </c>
    </row>
    <row r="31" spans="1:40">
      <c r="A31" s="505">
        <v>2013</v>
      </c>
      <c r="B31" s="507"/>
      <c r="C31" s="506">
        <v>120882</v>
      </c>
      <c r="D31" s="506">
        <v>4420</v>
      </c>
      <c r="E31" s="506">
        <v>2584</v>
      </c>
      <c r="F31" s="506">
        <v>55620</v>
      </c>
      <c r="G31" s="512">
        <v>18066</v>
      </c>
      <c r="H31" s="507" t="s">
        <v>1340</v>
      </c>
      <c r="I31" s="507" t="s">
        <v>1340</v>
      </c>
      <c r="J31" s="506">
        <v>41515</v>
      </c>
      <c r="K31" s="506">
        <v>2244</v>
      </c>
      <c r="L31" s="507" t="s">
        <v>1340</v>
      </c>
      <c r="M31" s="506">
        <v>9720</v>
      </c>
      <c r="N31" s="506">
        <v>14911</v>
      </c>
      <c r="O31" s="506">
        <v>8338</v>
      </c>
      <c r="P31" s="506">
        <v>4426</v>
      </c>
      <c r="Q31" s="514">
        <v>4951</v>
      </c>
      <c r="R31" s="506">
        <v>1957</v>
      </c>
      <c r="S31" s="506">
        <v>20850</v>
      </c>
      <c r="T31" s="506">
        <v>3790</v>
      </c>
      <c r="U31" s="506">
        <v>3885</v>
      </c>
      <c r="V31" s="506">
        <v>7013</v>
      </c>
      <c r="W31" s="506">
        <v>19656</v>
      </c>
      <c r="X31" s="506">
        <v>10464</v>
      </c>
      <c r="Y31" s="517">
        <v>355292</v>
      </c>
      <c r="Z31" s="506">
        <v>388</v>
      </c>
      <c r="AA31" s="507"/>
      <c r="AB31" s="519"/>
      <c r="AC31" s="506">
        <v>94</v>
      </c>
      <c r="AD31" s="514">
        <v>2924</v>
      </c>
      <c r="AE31" s="512">
        <v>84255</v>
      </c>
      <c r="AF31" s="506">
        <v>4924</v>
      </c>
      <c r="AG31" s="506">
        <v>1610</v>
      </c>
      <c r="AH31" s="506">
        <v>3</v>
      </c>
      <c r="AI31" s="506">
        <v>2647</v>
      </c>
      <c r="AJ31" s="506">
        <v>1287</v>
      </c>
      <c r="AK31" s="506">
        <v>165</v>
      </c>
      <c r="AL31" s="514">
        <v>1757</v>
      </c>
      <c r="AM31" s="506">
        <v>100054</v>
      </c>
      <c r="AN31" s="508">
        <v>455346</v>
      </c>
    </row>
    <row r="32" spans="1:40">
      <c r="A32" s="505">
        <v>2014</v>
      </c>
      <c r="B32" s="507"/>
      <c r="C32" s="506">
        <v>137847</v>
      </c>
      <c r="D32" s="506">
        <v>4817</v>
      </c>
      <c r="E32" s="506">
        <v>2939</v>
      </c>
      <c r="F32" s="506">
        <v>59347</v>
      </c>
      <c r="G32" s="512">
        <v>19479</v>
      </c>
      <c r="H32" s="507" t="s">
        <v>1340</v>
      </c>
      <c r="I32" s="507" t="s">
        <v>1340</v>
      </c>
      <c r="J32" s="506">
        <v>74845</v>
      </c>
      <c r="K32" s="506">
        <v>2347</v>
      </c>
      <c r="L32" s="507" t="s">
        <v>1340</v>
      </c>
      <c r="M32" s="506">
        <v>10010</v>
      </c>
      <c r="N32" s="506">
        <v>22272</v>
      </c>
      <c r="O32" s="506">
        <v>9549</v>
      </c>
      <c r="P32" s="506">
        <v>2916</v>
      </c>
      <c r="Q32" s="514">
        <v>7480</v>
      </c>
      <c r="R32" s="506">
        <v>1328</v>
      </c>
      <c r="S32" s="506">
        <v>23418</v>
      </c>
      <c r="T32" s="506">
        <v>4058</v>
      </c>
      <c r="U32" s="506">
        <v>3972</v>
      </c>
      <c r="V32" s="506">
        <v>7099</v>
      </c>
      <c r="W32" s="506">
        <v>211</v>
      </c>
      <c r="X32" s="507" t="s">
        <v>1340</v>
      </c>
      <c r="Y32" s="517">
        <v>393934</v>
      </c>
      <c r="Z32" s="506">
        <v>178</v>
      </c>
      <c r="AA32" s="507"/>
      <c r="AB32" s="519"/>
      <c r="AC32" s="506">
        <v>214</v>
      </c>
      <c r="AD32" s="514">
        <v>1435</v>
      </c>
      <c r="AE32" s="512">
        <v>77804</v>
      </c>
      <c r="AF32" s="506">
        <v>186</v>
      </c>
      <c r="AG32" s="506">
        <v>1461</v>
      </c>
      <c r="AH32" s="506">
        <v>2</v>
      </c>
      <c r="AI32" s="506">
        <v>2075</v>
      </c>
      <c r="AJ32" s="507" t="s">
        <v>1340</v>
      </c>
      <c r="AK32" s="506">
        <v>57</v>
      </c>
      <c r="AL32" s="514">
        <v>1322</v>
      </c>
      <c r="AM32" s="506">
        <v>84734</v>
      </c>
      <c r="AN32" s="508">
        <v>478668</v>
      </c>
    </row>
    <row r="33" spans="1:40">
      <c r="A33" s="505">
        <v>2015</v>
      </c>
      <c r="B33" s="507"/>
      <c r="C33" s="506">
        <v>140227</v>
      </c>
      <c r="D33" s="506">
        <v>4790</v>
      </c>
      <c r="E33" s="506">
        <v>2998</v>
      </c>
      <c r="F33" s="506">
        <v>57868</v>
      </c>
      <c r="G33" s="512">
        <v>20127</v>
      </c>
      <c r="H33" s="507" t="s">
        <v>1340</v>
      </c>
      <c r="I33" s="507" t="s">
        <v>1340</v>
      </c>
      <c r="J33" s="506">
        <v>62680</v>
      </c>
      <c r="K33" s="506">
        <v>2516</v>
      </c>
      <c r="L33" s="507" t="s">
        <v>1340</v>
      </c>
      <c r="M33" s="506">
        <v>10712</v>
      </c>
      <c r="N33" s="506">
        <v>22733</v>
      </c>
      <c r="O33" s="506">
        <v>9311</v>
      </c>
      <c r="P33" s="506">
        <v>2955</v>
      </c>
      <c r="Q33" s="514">
        <v>7651</v>
      </c>
      <c r="R33" s="506">
        <v>1409</v>
      </c>
      <c r="S33" s="506">
        <v>19701</v>
      </c>
      <c r="T33" s="506">
        <v>4168</v>
      </c>
      <c r="U33" s="506">
        <v>4010</v>
      </c>
      <c r="V33" s="506">
        <v>7498</v>
      </c>
      <c r="W33" s="506">
        <v>178</v>
      </c>
      <c r="X33" s="507" t="s">
        <v>1340</v>
      </c>
      <c r="Y33" s="517">
        <v>381532</v>
      </c>
      <c r="Z33" s="506">
        <v>30</v>
      </c>
      <c r="AA33" s="507"/>
      <c r="AB33" s="519"/>
      <c r="AC33" s="506">
        <v>136</v>
      </c>
      <c r="AD33" s="514">
        <v>2323</v>
      </c>
      <c r="AE33" s="512">
        <v>60893</v>
      </c>
      <c r="AF33" s="506">
        <v>97</v>
      </c>
      <c r="AG33" s="506">
        <v>1409</v>
      </c>
      <c r="AH33" s="506">
        <v>1</v>
      </c>
      <c r="AI33" s="506">
        <v>2186</v>
      </c>
      <c r="AJ33" s="507" t="s">
        <v>1340</v>
      </c>
      <c r="AK33" s="506">
        <v>69</v>
      </c>
      <c r="AL33" s="514">
        <v>1331</v>
      </c>
      <c r="AM33" s="506">
        <v>68475</v>
      </c>
      <c r="AN33" s="508">
        <v>450007</v>
      </c>
    </row>
    <row r="34" spans="1:40">
      <c r="A34" s="505">
        <v>2016</v>
      </c>
      <c r="B34" s="507"/>
      <c r="C34" s="506">
        <v>139238</v>
      </c>
      <c r="D34" s="506">
        <v>5220</v>
      </c>
      <c r="E34" s="506">
        <v>3372</v>
      </c>
      <c r="F34" s="506">
        <v>59077</v>
      </c>
      <c r="G34" s="512">
        <v>21119</v>
      </c>
      <c r="H34" s="507" t="s">
        <v>1340</v>
      </c>
      <c r="I34" s="507" t="s">
        <v>1340</v>
      </c>
      <c r="J34" s="506">
        <v>61899</v>
      </c>
      <c r="K34" s="506">
        <v>2598</v>
      </c>
      <c r="L34" s="507" t="s">
        <v>1340</v>
      </c>
      <c r="M34" s="506">
        <v>10254</v>
      </c>
      <c r="N34" s="506">
        <v>21250</v>
      </c>
      <c r="O34" s="506">
        <v>7814</v>
      </c>
      <c r="P34" s="506">
        <v>10545</v>
      </c>
      <c r="Q34" s="514">
        <v>5390</v>
      </c>
      <c r="R34" s="506">
        <v>1496</v>
      </c>
      <c r="S34" s="506">
        <v>30112</v>
      </c>
      <c r="T34" s="506">
        <v>3995</v>
      </c>
      <c r="U34" s="506">
        <v>4256</v>
      </c>
      <c r="V34" s="506">
        <v>7329</v>
      </c>
      <c r="W34" s="506">
        <v>16763</v>
      </c>
      <c r="X34" s="507" t="s">
        <v>1340</v>
      </c>
      <c r="Y34" s="517">
        <v>411727</v>
      </c>
      <c r="Z34" s="506">
        <v>19</v>
      </c>
      <c r="AA34" s="506">
        <v>141</v>
      </c>
      <c r="AB34" s="519"/>
      <c r="AC34" s="506">
        <v>90</v>
      </c>
      <c r="AD34" s="514">
        <v>24049</v>
      </c>
      <c r="AE34" s="512">
        <v>127970</v>
      </c>
      <c r="AF34" s="506">
        <v>2027</v>
      </c>
      <c r="AG34" s="506">
        <v>1437</v>
      </c>
      <c r="AH34" s="506">
        <v>4</v>
      </c>
      <c r="AI34" s="506">
        <v>2385</v>
      </c>
      <c r="AJ34" s="506">
        <v>970</v>
      </c>
      <c r="AK34" s="506">
        <v>207</v>
      </c>
      <c r="AL34" s="514">
        <v>2098</v>
      </c>
      <c r="AM34" s="506">
        <v>161397</v>
      </c>
      <c r="AN34" s="508">
        <v>573124</v>
      </c>
    </row>
    <row r="35" spans="1:40">
      <c r="A35" s="505">
        <v>2017</v>
      </c>
      <c r="B35" s="507"/>
      <c r="C35" s="506">
        <v>139100</v>
      </c>
      <c r="D35" s="506">
        <v>5342</v>
      </c>
      <c r="E35" s="506">
        <v>3448</v>
      </c>
      <c r="F35" s="506">
        <v>60839</v>
      </c>
      <c r="G35" s="512">
        <v>21959</v>
      </c>
      <c r="H35" s="507" t="s">
        <v>1340</v>
      </c>
      <c r="I35" s="507" t="s">
        <v>1340</v>
      </c>
      <c r="J35" s="506">
        <v>95173</v>
      </c>
      <c r="K35" s="506">
        <v>2737</v>
      </c>
      <c r="L35" s="507" t="s">
        <v>1340</v>
      </c>
      <c r="M35" s="506">
        <v>10701</v>
      </c>
      <c r="N35" s="506">
        <v>22203</v>
      </c>
      <c r="O35" s="506">
        <v>8594</v>
      </c>
      <c r="P35" s="506">
        <v>3242</v>
      </c>
      <c r="Q35" s="514">
        <v>8150</v>
      </c>
      <c r="R35" s="506">
        <v>2327</v>
      </c>
      <c r="S35" s="506">
        <v>27403</v>
      </c>
      <c r="T35" s="506">
        <v>3799</v>
      </c>
      <c r="U35" s="506">
        <v>4373</v>
      </c>
      <c r="V35" s="506">
        <v>7743</v>
      </c>
      <c r="W35" s="506">
        <v>15626</v>
      </c>
      <c r="X35" s="507" t="s">
        <v>1340</v>
      </c>
      <c r="Y35" s="517">
        <v>442759</v>
      </c>
      <c r="Z35" s="506">
        <v>31</v>
      </c>
      <c r="AA35" s="507"/>
      <c r="AB35" s="519"/>
      <c r="AC35" s="506">
        <v>243</v>
      </c>
      <c r="AD35" s="514">
        <v>1298</v>
      </c>
      <c r="AE35" s="512">
        <v>164811</v>
      </c>
      <c r="AF35" s="506">
        <v>3957</v>
      </c>
      <c r="AG35" s="506">
        <v>896</v>
      </c>
      <c r="AH35" s="506">
        <v>3</v>
      </c>
      <c r="AI35" s="506">
        <v>2701</v>
      </c>
      <c r="AJ35" s="506">
        <v>930</v>
      </c>
      <c r="AK35" s="506">
        <v>288</v>
      </c>
      <c r="AL35" s="514">
        <v>1920</v>
      </c>
      <c r="AM35" s="506">
        <v>177078</v>
      </c>
      <c r="AN35" s="508">
        <v>619837</v>
      </c>
    </row>
    <row r="36" spans="1:40" ht="15" thickBot="1">
      <c r="A36" s="505">
        <v>2018</v>
      </c>
      <c r="B36" s="509"/>
      <c r="C36" s="510">
        <v>166620</v>
      </c>
      <c r="D36" s="510">
        <v>5963</v>
      </c>
      <c r="E36" s="510">
        <v>3624</v>
      </c>
      <c r="F36" s="510">
        <v>60146</v>
      </c>
      <c r="G36" s="515">
        <v>22194</v>
      </c>
      <c r="H36" s="509" t="s">
        <v>1340</v>
      </c>
      <c r="I36" s="509" t="s">
        <v>1340</v>
      </c>
      <c r="J36" s="510">
        <v>79979</v>
      </c>
      <c r="K36" s="510">
        <v>2881</v>
      </c>
      <c r="L36" s="509" t="s">
        <v>1340</v>
      </c>
      <c r="M36" s="510">
        <v>10636</v>
      </c>
      <c r="N36" s="510">
        <v>17167</v>
      </c>
      <c r="O36" s="510">
        <v>9432</v>
      </c>
      <c r="P36" s="510">
        <v>3500</v>
      </c>
      <c r="Q36" s="516">
        <v>8029</v>
      </c>
      <c r="R36" s="510">
        <v>2837</v>
      </c>
      <c r="S36" s="510">
        <v>17178</v>
      </c>
      <c r="T36" s="510">
        <v>3840</v>
      </c>
      <c r="U36" s="510">
        <v>4440</v>
      </c>
      <c r="V36" s="510">
        <v>8199</v>
      </c>
      <c r="W36" s="510">
        <v>27751</v>
      </c>
      <c r="X36" s="509" t="s">
        <v>1340</v>
      </c>
      <c r="Y36" s="518">
        <v>454416</v>
      </c>
      <c r="Z36" s="510">
        <v>89</v>
      </c>
      <c r="AA36" s="509"/>
      <c r="AB36" s="520"/>
      <c r="AC36" s="510">
        <v>1234</v>
      </c>
      <c r="AD36" s="516">
        <v>9210</v>
      </c>
      <c r="AE36" s="515">
        <v>116861</v>
      </c>
      <c r="AF36" s="510">
        <v>8973</v>
      </c>
      <c r="AG36" s="510">
        <v>1401</v>
      </c>
      <c r="AH36" s="510">
        <v>3</v>
      </c>
      <c r="AI36" s="510">
        <v>2852</v>
      </c>
      <c r="AJ36" s="510">
        <v>1656</v>
      </c>
      <c r="AK36" s="510">
        <v>718</v>
      </c>
      <c r="AL36" s="516">
        <v>2346</v>
      </c>
      <c r="AM36" s="510">
        <v>145343</v>
      </c>
      <c r="AN36" s="511">
        <v>599759</v>
      </c>
    </row>
    <row r="37" spans="1:40" ht="15" thickTop="1"/>
    <row r="40" spans="1:40" ht="14.25" customHeight="1">
      <c r="A40" s="523" t="s">
        <v>1397</v>
      </c>
      <c r="B40" s="1231" t="s">
        <v>1443</v>
      </c>
      <c r="C40" s="1232"/>
      <c r="D40" s="1232"/>
      <c r="E40" s="1232"/>
      <c r="F40" s="1232"/>
      <c r="G40" s="1232"/>
      <c r="H40" s="1232"/>
      <c r="I40" s="1232"/>
      <c r="J40" s="1232"/>
      <c r="K40" s="1232"/>
      <c r="L40" s="1232"/>
      <c r="M40" s="1232"/>
      <c r="N40" s="1232"/>
      <c r="O40" s="1232"/>
      <c r="P40" s="1232"/>
      <c r="Q40" s="1232"/>
      <c r="R40" s="1232"/>
      <c r="S40" s="1232"/>
      <c r="T40" s="1232"/>
      <c r="U40" s="1232"/>
      <c r="V40" s="1232"/>
      <c r="W40" s="1232"/>
      <c r="X40" s="1232"/>
      <c r="Y40" s="1232"/>
      <c r="Z40" s="1232"/>
      <c r="AA40" s="1232"/>
      <c r="AB40" s="1232"/>
      <c r="AC40" s="1232"/>
      <c r="AD40" s="1232"/>
      <c r="AE40" s="1232"/>
      <c r="AF40" s="1232"/>
      <c r="AG40" s="1232"/>
      <c r="AH40" s="1232"/>
    </row>
    <row r="41" spans="1:40" ht="14.25" customHeight="1">
      <c r="A41" s="523" t="s">
        <v>1342</v>
      </c>
      <c r="B41" s="522" t="s">
        <v>1343</v>
      </c>
      <c r="C41" s="1231" t="s">
        <v>1398</v>
      </c>
      <c r="D41" s="1232"/>
      <c r="E41" s="1232"/>
      <c r="F41" s="1232"/>
      <c r="G41" s="1232"/>
      <c r="H41" s="1232"/>
      <c r="I41" s="1232"/>
      <c r="J41" s="1232"/>
      <c r="K41" s="1232"/>
      <c r="L41" s="1232"/>
      <c r="M41" s="1232"/>
      <c r="N41" s="1232"/>
      <c r="O41" s="1232"/>
      <c r="P41" s="1232"/>
      <c r="Q41" s="1232"/>
      <c r="R41" s="1232"/>
      <c r="S41" s="1232"/>
      <c r="T41" s="1232"/>
      <c r="U41" s="1232"/>
      <c r="V41" s="1232"/>
      <c r="W41" s="1232"/>
      <c r="X41" s="1232"/>
      <c r="Y41" s="1232"/>
      <c r="Z41" s="1232"/>
      <c r="AA41" s="1232"/>
      <c r="AB41" s="1232"/>
      <c r="AC41" s="1232"/>
      <c r="AD41" s="1232"/>
      <c r="AE41" s="1232"/>
      <c r="AF41" s="1232"/>
      <c r="AG41" s="1232"/>
      <c r="AH41" s="1232"/>
    </row>
    <row r="42" spans="1:40" ht="14.25" customHeight="1">
      <c r="A42" s="523" t="s">
        <v>1342</v>
      </c>
      <c r="B42" s="522" t="s">
        <v>1344</v>
      </c>
      <c r="C42" s="1231" t="s">
        <v>1399</v>
      </c>
      <c r="D42" s="1232"/>
      <c r="E42" s="1232"/>
      <c r="F42" s="1232"/>
      <c r="G42" s="1232"/>
      <c r="H42" s="1232"/>
      <c r="I42" s="1232"/>
      <c r="J42" s="1232"/>
      <c r="K42" s="1232"/>
      <c r="L42" s="1232"/>
      <c r="M42" s="1232"/>
      <c r="N42" s="1232"/>
      <c r="O42" s="1232"/>
      <c r="P42" s="1232"/>
      <c r="Q42" s="1232"/>
      <c r="R42" s="1232"/>
      <c r="S42" s="1232"/>
      <c r="T42" s="1232"/>
      <c r="U42" s="1232"/>
      <c r="V42" s="1232"/>
      <c r="W42" s="1232"/>
      <c r="X42" s="1232"/>
      <c r="Y42" s="1232"/>
      <c r="Z42" s="1232"/>
      <c r="AA42" s="1232"/>
      <c r="AB42" s="1232"/>
      <c r="AC42" s="1232"/>
      <c r="AD42" s="1232"/>
      <c r="AE42" s="1232"/>
      <c r="AF42" s="1232"/>
      <c r="AG42" s="1232"/>
      <c r="AH42" s="1232"/>
    </row>
    <row r="43" spans="1:40" ht="14.25" customHeight="1">
      <c r="A43" s="523" t="s">
        <v>1342</v>
      </c>
      <c r="B43" s="522" t="s">
        <v>1345</v>
      </c>
      <c r="C43" s="1231" t="s">
        <v>1400</v>
      </c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</row>
    <row r="44" spans="1:40" ht="14.25" customHeight="1">
      <c r="A44" s="523" t="s">
        <v>1342</v>
      </c>
      <c r="B44" s="522" t="s">
        <v>1346</v>
      </c>
      <c r="C44" s="1231" t="s">
        <v>1401</v>
      </c>
      <c r="D44" s="1232"/>
      <c r="E44" s="1232"/>
      <c r="F44" s="1232"/>
      <c r="G44" s="1232"/>
      <c r="H44" s="1232"/>
      <c r="I44" s="1232"/>
      <c r="J44" s="1232"/>
      <c r="K44" s="1232"/>
      <c r="L44" s="1232"/>
      <c r="M44" s="1232"/>
      <c r="N44" s="1232"/>
      <c r="O44" s="1232"/>
      <c r="P44" s="1232"/>
      <c r="Q44" s="1232"/>
      <c r="R44" s="1232"/>
      <c r="S44" s="1232"/>
      <c r="T44" s="1232"/>
      <c r="U44" s="1232"/>
      <c r="V44" s="1232"/>
      <c r="W44" s="1232"/>
      <c r="X44" s="1232"/>
      <c r="Y44" s="1232"/>
      <c r="Z44" s="1232"/>
      <c r="AA44" s="1232"/>
      <c r="AB44" s="1232"/>
      <c r="AC44" s="1232"/>
      <c r="AD44" s="1232"/>
      <c r="AE44" s="1232"/>
      <c r="AF44" s="1232"/>
      <c r="AG44" s="1232"/>
      <c r="AH44" s="1232"/>
    </row>
    <row r="45" spans="1:40" ht="14.25" customHeight="1">
      <c r="A45" s="523" t="s">
        <v>1402</v>
      </c>
      <c r="B45" s="1231" t="s">
        <v>1444</v>
      </c>
      <c r="C45" s="1232"/>
      <c r="D45" s="1232"/>
      <c r="E45" s="1232"/>
      <c r="F45" s="1232"/>
      <c r="G45" s="1232"/>
      <c r="H45" s="1232"/>
      <c r="I45" s="1232"/>
      <c r="J45" s="1232"/>
      <c r="K45" s="1232"/>
      <c r="L45" s="1232"/>
      <c r="M45" s="1232"/>
      <c r="N45" s="1232"/>
      <c r="O45" s="1232"/>
      <c r="P45" s="1232"/>
      <c r="Q45" s="1232"/>
      <c r="R45" s="1232"/>
      <c r="S45" s="1232"/>
      <c r="T45" s="1232"/>
      <c r="U45" s="1232"/>
      <c r="V45" s="1232"/>
      <c r="W45" s="1232"/>
      <c r="X45" s="1232"/>
      <c r="Y45" s="1232"/>
      <c r="Z45" s="1232"/>
      <c r="AA45" s="1232"/>
      <c r="AB45" s="1232"/>
      <c r="AC45" s="1232"/>
      <c r="AD45" s="1232"/>
      <c r="AE45" s="1232"/>
      <c r="AF45" s="1232"/>
      <c r="AG45" s="1232"/>
      <c r="AH45" s="1232"/>
    </row>
    <row r="46" spans="1:40" ht="15.75">
      <c r="B46" s="675" t="s">
        <v>1445</v>
      </c>
    </row>
    <row r="47" spans="1:40" ht="14.25" customHeight="1">
      <c r="A47" s="1231" t="s">
        <v>1403</v>
      </c>
      <c r="B47" s="1232"/>
      <c r="C47" s="1232"/>
      <c r="D47" s="1232"/>
      <c r="E47" s="1232"/>
      <c r="F47" s="1232"/>
      <c r="G47" s="1232"/>
      <c r="H47" s="1232"/>
      <c r="I47" s="1232"/>
      <c r="J47" s="1232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1"/>
      <c r="AE47" s="521"/>
      <c r="AF47" s="521"/>
      <c r="AG47" s="521"/>
      <c r="AH47" s="521"/>
    </row>
  </sheetData>
  <mergeCells count="48">
    <mergeCell ref="C44:AH44"/>
    <mergeCell ref="B45:AH45"/>
    <mergeCell ref="A47:J47"/>
    <mergeCell ref="B40:AH40"/>
    <mergeCell ref="C41:AH41"/>
    <mergeCell ref="C42:AH42"/>
    <mergeCell ref="AI5:AI6"/>
    <mergeCell ref="AJ5:AJ6"/>
    <mergeCell ref="AK5:AK6"/>
    <mergeCell ref="AL5:AL6"/>
    <mergeCell ref="C43:AH43"/>
    <mergeCell ref="AB5:AB6"/>
    <mergeCell ref="AC5:AC6"/>
    <mergeCell ref="AD5:AD6"/>
    <mergeCell ref="AE5:AF5"/>
    <mergeCell ref="AG5:AG6"/>
    <mergeCell ref="AH5:AH6"/>
    <mergeCell ref="T5:T6"/>
    <mergeCell ref="U5:U6"/>
    <mergeCell ref="V5:V6"/>
    <mergeCell ref="W5:X5"/>
    <mergeCell ref="Z5:Z6"/>
    <mergeCell ref="J5:J6"/>
    <mergeCell ref="K5:K6"/>
    <mergeCell ref="L5:L6"/>
    <mergeCell ref="M5:M6"/>
    <mergeCell ref="AA5:AA6"/>
    <mergeCell ref="N5:N6"/>
    <mergeCell ref="O5:O6"/>
    <mergeCell ref="P5:P6"/>
    <mergeCell ref="Q5:Q6"/>
    <mergeCell ref="R5:R6"/>
    <mergeCell ref="B3:Y3"/>
    <mergeCell ref="Z3:AM3"/>
    <mergeCell ref="AN3:AN6"/>
    <mergeCell ref="B4:F4"/>
    <mergeCell ref="G4:Q4"/>
    <mergeCell ref="R4:X4"/>
    <mergeCell ref="Y4:Y6"/>
    <mergeCell ref="Z4:AA4"/>
    <mergeCell ref="AB4:AD4"/>
    <mergeCell ref="S5:S6"/>
    <mergeCell ref="AE4:AL4"/>
    <mergeCell ref="AM4:AM6"/>
    <mergeCell ref="B5:F5"/>
    <mergeCell ref="G5:G6"/>
    <mergeCell ref="H5:H6"/>
    <mergeCell ref="I5:I6"/>
  </mergeCells>
  <phoneticPr fontId="11" type="noConversion"/>
  <hyperlinks>
    <hyperlink ref="B46" r:id="rId1" xr:uid="{79555A00-49AB-4026-BDCA-7F98D75E92E6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7B0B-7F6D-4D31-AEFB-DDC9105F8ED4}">
  <sheetPr>
    <tabColor theme="1"/>
  </sheetPr>
  <dimension ref="A1:W42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defaultColWidth="9" defaultRowHeight="15"/>
  <cols>
    <col min="1" max="1" width="9" style="747"/>
    <col min="2" max="8" width="9.5" style="747" bestFit="1" customWidth="1"/>
    <col min="9" max="9" width="13" style="747" bestFit="1" customWidth="1"/>
    <col min="10" max="10" width="9.375" style="747" bestFit="1" customWidth="1"/>
    <col min="11" max="15" width="9.25" style="747" bestFit="1" customWidth="1"/>
    <col min="16" max="16" width="10.875" style="747" bestFit="1" customWidth="1"/>
    <col min="17" max="16384" width="9" style="747"/>
  </cols>
  <sheetData>
    <row r="1" spans="1:23" ht="23.25" thickTop="1">
      <c r="A1" s="754" t="s">
        <v>1638</v>
      </c>
      <c r="B1" s="755"/>
      <c r="C1" s="755"/>
      <c r="D1" s="755"/>
      <c r="E1" s="755"/>
      <c r="F1" s="755"/>
      <c r="G1" s="755"/>
      <c r="H1" s="756"/>
    </row>
    <row r="2" spans="1:23">
      <c r="A2" s="757" t="s">
        <v>1500</v>
      </c>
      <c r="B2" s="72"/>
      <c r="C2" s="72"/>
      <c r="D2" s="72"/>
      <c r="E2" s="72"/>
      <c r="F2" s="72"/>
      <c r="G2" s="72"/>
      <c r="H2" s="758"/>
      <c r="J2" s="1233" t="s">
        <v>1618</v>
      </c>
      <c r="K2" s="1233"/>
      <c r="L2" s="1233"/>
      <c r="M2" s="1233"/>
      <c r="N2" s="1233"/>
      <c r="O2" s="1233"/>
      <c r="P2" s="1186"/>
      <c r="Q2" s="1185" t="s">
        <v>1617</v>
      </c>
      <c r="R2" s="1185"/>
      <c r="S2" s="1185"/>
      <c r="T2" s="1185"/>
      <c r="U2" s="1185"/>
      <c r="V2" s="1185"/>
      <c r="W2" s="1185"/>
    </row>
    <row r="3" spans="1:23" ht="15.75" thickBot="1">
      <c r="A3" s="38" t="s">
        <v>0</v>
      </c>
      <c r="B3" s="72" t="s">
        <v>1494</v>
      </c>
      <c r="C3" s="72" t="s">
        <v>1497</v>
      </c>
      <c r="D3" s="72" t="s">
        <v>1498</v>
      </c>
      <c r="E3" s="72" t="s">
        <v>1492</v>
      </c>
      <c r="F3" s="72" t="s">
        <v>1499</v>
      </c>
      <c r="G3" s="72" t="s">
        <v>1496</v>
      </c>
      <c r="H3" s="758" t="s">
        <v>1490</v>
      </c>
      <c r="J3" s="72" t="s">
        <v>1494</v>
      </c>
      <c r="K3" s="72" t="s">
        <v>1497</v>
      </c>
      <c r="L3" s="72" t="s">
        <v>1498</v>
      </c>
      <c r="M3" s="72" t="s">
        <v>1492</v>
      </c>
      <c r="N3" s="72" t="s">
        <v>1499</v>
      </c>
      <c r="O3" s="72" t="s">
        <v>1496</v>
      </c>
      <c r="P3" s="900" t="s">
        <v>1490</v>
      </c>
      <c r="Q3" s="72" t="s">
        <v>1494</v>
      </c>
      <c r="R3" s="72" t="s">
        <v>1497</v>
      </c>
      <c r="S3" s="72" t="s">
        <v>1498</v>
      </c>
      <c r="T3" s="72" t="s">
        <v>1492</v>
      </c>
      <c r="U3" s="72" t="s">
        <v>1499</v>
      </c>
      <c r="V3" s="72" t="s">
        <v>1496</v>
      </c>
      <c r="W3" s="72" t="s">
        <v>1490</v>
      </c>
    </row>
    <row r="4" spans="1:23">
      <c r="A4" s="762">
        <v>1994</v>
      </c>
      <c r="B4" s="763"/>
      <c r="C4" s="763"/>
      <c r="D4" s="763"/>
      <c r="E4" s="763"/>
      <c r="F4" s="763"/>
      <c r="G4" s="763"/>
      <c r="H4" s="764"/>
      <c r="J4" s="72"/>
      <c r="K4" s="72"/>
      <c r="L4" s="72"/>
      <c r="M4" s="72"/>
      <c r="N4" s="72"/>
      <c r="O4" s="72"/>
      <c r="P4" s="900"/>
    </row>
    <row r="5" spans="1:23">
      <c r="A5" s="38">
        <v>1995</v>
      </c>
      <c r="B5" s="496"/>
      <c r="C5" s="496"/>
      <c r="D5" s="496"/>
      <c r="E5" s="496"/>
      <c r="F5" s="496"/>
      <c r="G5" s="496"/>
      <c r="H5" s="759"/>
      <c r="J5" s="72"/>
      <c r="K5" s="72"/>
      <c r="L5" s="72"/>
      <c r="M5" s="72"/>
      <c r="N5" s="72"/>
      <c r="O5" s="72"/>
      <c r="P5" s="900"/>
    </row>
    <row r="6" spans="1:23">
      <c r="A6" s="38">
        <v>1996</v>
      </c>
      <c r="B6" s="496"/>
      <c r="C6" s="496"/>
      <c r="D6" s="496"/>
      <c r="E6" s="496"/>
      <c r="F6" s="496"/>
      <c r="G6" s="496">
        <v>0.13726440000000001</v>
      </c>
      <c r="H6" s="759"/>
      <c r="J6" s="72"/>
      <c r="K6" s="72"/>
      <c r="L6" s="72"/>
      <c r="M6" s="72"/>
      <c r="N6" s="72"/>
      <c r="O6" s="72"/>
      <c r="P6" s="900"/>
    </row>
    <row r="7" spans="1:23">
      <c r="A7" s="38">
        <v>1997</v>
      </c>
      <c r="B7" s="496"/>
      <c r="C7" s="496"/>
      <c r="D7" s="496"/>
      <c r="E7" s="496"/>
      <c r="F7" s="496"/>
      <c r="G7" s="496"/>
      <c r="H7" s="759"/>
      <c r="J7" s="72"/>
      <c r="K7" s="72"/>
      <c r="L7" s="72"/>
      <c r="M7" s="72"/>
      <c r="N7" s="72"/>
      <c r="O7" s="72"/>
      <c r="P7" s="900"/>
    </row>
    <row r="8" spans="1:23">
      <c r="A8" s="38">
        <v>1998</v>
      </c>
      <c r="B8" s="496"/>
      <c r="C8" s="496"/>
      <c r="D8" s="496"/>
      <c r="E8" s="496"/>
      <c r="F8" s="496"/>
      <c r="G8" s="496"/>
      <c r="H8" s="759"/>
      <c r="J8" s="72"/>
      <c r="K8" s="72"/>
      <c r="L8" s="72"/>
      <c r="M8" s="72"/>
      <c r="N8" s="72"/>
      <c r="O8" s="72"/>
      <c r="P8" s="900"/>
    </row>
    <row r="9" spans="1:23">
      <c r="A9" s="38">
        <v>1999</v>
      </c>
      <c r="B9" s="496"/>
      <c r="C9" s="496"/>
      <c r="D9" s="496"/>
      <c r="E9" s="496"/>
      <c r="F9" s="496"/>
      <c r="G9" s="496">
        <v>0.22581499999999999</v>
      </c>
      <c r="H9" s="759"/>
      <c r="J9" s="72"/>
      <c r="K9" s="72"/>
      <c r="L9" s="72"/>
      <c r="M9" s="72"/>
      <c r="N9" s="72"/>
      <c r="O9" s="72"/>
      <c r="P9" s="900"/>
    </row>
    <row r="10" spans="1:23">
      <c r="A10" s="38">
        <v>2000</v>
      </c>
      <c r="B10" s="496"/>
      <c r="C10" s="496"/>
      <c r="D10" s="496"/>
      <c r="E10" s="496"/>
      <c r="F10" s="496"/>
      <c r="G10" s="496">
        <v>0.20066349999999999</v>
      </c>
      <c r="H10" s="759"/>
      <c r="J10" s="72"/>
      <c r="K10" s="72"/>
      <c r="L10" s="72"/>
      <c r="M10" s="72"/>
      <c r="N10" s="72"/>
      <c r="O10" s="72"/>
      <c r="P10" s="900"/>
    </row>
    <row r="11" spans="1:23">
      <c r="A11" s="38">
        <v>2001</v>
      </c>
      <c r="B11" s="496"/>
      <c r="C11" s="496"/>
      <c r="D11" s="496"/>
      <c r="E11" s="496"/>
      <c r="F11" s="496"/>
      <c r="G11" s="496">
        <v>0.1964274</v>
      </c>
      <c r="H11" s="759"/>
      <c r="J11" s="72"/>
      <c r="K11" s="72"/>
      <c r="L11" s="72"/>
      <c r="M11" s="72"/>
      <c r="N11" s="72"/>
      <c r="O11" s="72"/>
      <c r="P11" s="900"/>
    </row>
    <row r="12" spans="1:23">
      <c r="A12" s="38">
        <v>2002</v>
      </c>
      <c r="B12" s="496"/>
      <c r="C12" s="496"/>
      <c r="D12" s="496"/>
      <c r="E12" s="496"/>
      <c r="F12" s="496"/>
      <c r="G12" s="496">
        <v>0.15497</v>
      </c>
      <c r="H12" s="759"/>
      <c r="J12" s="72"/>
      <c r="K12" s="72"/>
      <c r="L12" s="72"/>
      <c r="M12" s="72"/>
      <c r="N12" s="72"/>
      <c r="O12" s="72"/>
      <c r="P12" s="900"/>
    </row>
    <row r="13" spans="1:23">
      <c r="A13" s="38">
        <v>2003</v>
      </c>
      <c r="B13" s="496"/>
      <c r="C13" s="496"/>
      <c r="D13" s="496"/>
      <c r="E13" s="496"/>
      <c r="F13" s="496"/>
      <c r="G13" s="496"/>
      <c r="H13" s="759"/>
      <c r="J13" s="72"/>
      <c r="K13" s="72"/>
      <c r="L13" s="72"/>
      <c r="M13" s="72"/>
      <c r="N13" s="72"/>
      <c r="O13" s="72"/>
      <c r="P13" s="900"/>
    </row>
    <row r="14" spans="1:23">
      <c r="A14" s="38">
        <v>2004</v>
      </c>
      <c r="B14" s="496"/>
      <c r="C14" s="496"/>
      <c r="D14" s="496"/>
      <c r="E14" s="496"/>
      <c r="F14" s="496"/>
      <c r="G14" s="496"/>
      <c r="H14" s="759"/>
      <c r="J14" s="72"/>
      <c r="K14" s="72"/>
      <c r="L14" s="72"/>
      <c r="M14" s="72"/>
      <c r="N14" s="72"/>
      <c r="O14" s="72"/>
      <c r="P14" s="900"/>
    </row>
    <row r="15" spans="1:23">
      <c r="A15" s="38">
        <v>2005</v>
      </c>
      <c r="B15" s="496"/>
      <c r="C15" s="496"/>
      <c r="D15" s="496"/>
      <c r="E15" s="496"/>
      <c r="F15" s="496"/>
      <c r="G15" s="496"/>
      <c r="H15" s="759"/>
      <c r="J15" s="72"/>
      <c r="K15" s="72"/>
      <c r="L15" s="72"/>
      <c r="M15" s="72"/>
      <c r="N15" s="72"/>
      <c r="O15" s="72"/>
      <c r="P15" s="900"/>
    </row>
    <row r="16" spans="1:23">
      <c r="A16" s="38">
        <v>2006</v>
      </c>
      <c r="B16" s="496"/>
      <c r="C16" s="496"/>
      <c r="D16" s="496"/>
      <c r="E16" s="496"/>
      <c r="F16" s="496"/>
      <c r="G16" s="496"/>
      <c r="H16" s="759"/>
      <c r="J16" s="72"/>
      <c r="K16" s="72"/>
      <c r="L16" s="72"/>
      <c r="M16" s="72"/>
      <c r="N16" s="72"/>
      <c r="O16" s="72"/>
      <c r="P16" s="900"/>
    </row>
    <row r="17" spans="1:23">
      <c r="A17" s="38">
        <v>2007</v>
      </c>
      <c r="B17" s="496"/>
      <c r="C17" s="496">
        <v>0.18922530000000001</v>
      </c>
      <c r="D17" s="496"/>
      <c r="E17" s="496"/>
      <c r="F17" s="496"/>
      <c r="G17" s="496"/>
      <c r="H17" s="759"/>
      <c r="J17" s="72"/>
      <c r="K17" s="72"/>
      <c r="L17" s="72"/>
      <c r="M17" s="72"/>
      <c r="N17" s="72"/>
      <c r="O17" s="72"/>
      <c r="P17" s="900"/>
    </row>
    <row r="18" spans="1:23">
      <c r="A18" s="38">
        <v>2008</v>
      </c>
      <c r="B18" s="496"/>
      <c r="C18" s="496"/>
      <c r="D18" s="496"/>
      <c r="E18" s="496"/>
      <c r="F18" s="496"/>
      <c r="G18" s="496"/>
      <c r="H18" s="759">
        <v>0.1255571</v>
      </c>
      <c r="J18" s="72"/>
      <c r="K18" s="72"/>
      <c r="L18" s="72"/>
      <c r="M18" s="72"/>
      <c r="N18" s="72"/>
      <c r="O18" s="72"/>
      <c r="P18" s="900"/>
    </row>
    <row r="19" spans="1:23">
      <c r="A19" s="38">
        <v>2009</v>
      </c>
      <c r="B19" s="496"/>
      <c r="C19" s="496">
        <v>0.11785470000000001</v>
      </c>
      <c r="D19" s="496"/>
      <c r="E19" s="496"/>
      <c r="F19" s="496"/>
      <c r="G19" s="496"/>
      <c r="H19" s="759"/>
      <c r="J19" s="72"/>
      <c r="K19" s="72"/>
      <c r="L19" s="72"/>
      <c r="M19" s="72"/>
      <c r="N19" s="72"/>
      <c r="O19" s="72"/>
      <c r="P19" s="900"/>
    </row>
    <row r="20" spans="1:23">
      <c r="A20" s="38">
        <v>2010</v>
      </c>
      <c r="B20" s="496"/>
      <c r="C20" s="496">
        <v>0.14405519999999999</v>
      </c>
      <c r="D20" s="496"/>
      <c r="E20" s="496"/>
      <c r="F20" s="496"/>
      <c r="G20" s="496"/>
      <c r="H20" s="759"/>
      <c r="J20" s="72"/>
      <c r="K20" s="72"/>
      <c r="L20" s="72"/>
      <c r="M20" s="72"/>
      <c r="N20" s="72"/>
      <c r="O20" s="72"/>
      <c r="P20" s="900"/>
    </row>
    <row r="21" spans="1:23">
      <c r="A21" s="38">
        <v>2011</v>
      </c>
      <c r="B21" s="496"/>
      <c r="C21" s="496">
        <v>0.18415039999999999</v>
      </c>
      <c r="D21" s="496"/>
      <c r="E21" s="496"/>
      <c r="F21" s="496"/>
      <c r="G21" s="496"/>
      <c r="H21" s="759"/>
      <c r="J21" s="72"/>
      <c r="K21" s="72"/>
      <c r="L21" s="72"/>
      <c r="M21" s="72"/>
      <c r="N21" s="72"/>
      <c r="O21" s="72"/>
      <c r="P21" s="900"/>
    </row>
    <row r="22" spans="1:23">
      <c r="A22" s="38">
        <v>2012</v>
      </c>
      <c r="B22" s="496"/>
      <c r="C22" s="496">
        <v>0.18033360000000001</v>
      </c>
      <c r="D22" s="496"/>
      <c r="E22" s="496"/>
      <c r="F22" s="496"/>
      <c r="G22" s="496"/>
      <c r="H22" s="759"/>
      <c r="J22" s="72"/>
      <c r="K22" s="72"/>
      <c r="L22" s="72"/>
      <c r="M22" s="72"/>
      <c r="N22" s="72"/>
      <c r="O22" s="72"/>
      <c r="P22" s="900"/>
    </row>
    <row r="23" spans="1:23">
      <c r="A23" s="38">
        <v>2013</v>
      </c>
      <c r="B23" s="496"/>
      <c r="C23" s="496">
        <v>0.15951419999999999</v>
      </c>
      <c r="D23" s="496"/>
      <c r="E23" s="496">
        <v>0.11640159999999999</v>
      </c>
      <c r="F23" s="496"/>
      <c r="G23" s="496">
        <v>9.1176699999999999E-2</v>
      </c>
      <c r="H23" s="759"/>
      <c r="J23" s="72"/>
      <c r="K23" s="72"/>
      <c r="L23" s="72"/>
      <c r="M23" s="72"/>
      <c r="N23" s="72"/>
      <c r="O23" s="72"/>
      <c r="P23" s="900"/>
    </row>
    <row r="24" spans="1:23">
      <c r="A24" s="38">
        <v>2014</v>
      </c>
      <c r="B24" s="496"/>
      <c r="C24" s="496">
        <v>0.16472709999999999</v>
      </c>
      <c r="D24" s="496">
        <v>4.63907E-2</v>
      </c>
      <c r="E24" s="496">
        <v>0.12802930000000001</v>
      </c>
      <c r="F24" s="496">
        <v>0.2202846</v>
      </c>
      <c r="G24" s="496">
        <v>0.1230567</v>
      </c>
      <c r="H24" s="759">
        <v>0.1498496</v>
      </c>
      <c r="J24" s="72"/>
      <c r="K24" s="72"/>
      <c r="L24" s="72"/>
      <c r="M24" s="72"/>
      <c r="N24" s="72"/>
      <c r="O24" s="72"/>
      <c r="P24" s="900"/>
    </row>
    <row r="25" spans="1:23">
      <c r="A25" s="38">
        <v>2015</v>
      </c>
      <c r="B25" s="496"/>
      <c r="C25" s="496">
        <v>0.18347169999999999</v>
      </c>
      <c r="D25" s="496">
        <v>6.6070900000000002E-2</v>
      </c>
      <c r="E25" s="496">
        <v>0.16161900000000001</v>
      </c>
      <c r="F25" s="496">
        <v>0.24059459999999999</v>
      </c>
      <c r="G25" s="496">
        <v>0.13113279999999999</v>
      </c>
      <c r="H25" s="759">
        <v>0.1579448</v>
      </c>
      <c r="J25" s="72"/>
      <c r="K25" s="72"/>
      <c r="L25" s="72"/>
      <c r="M25" s="72"/>
      <c r="N25" s="72"/>
      <c r="O25" s="72"/>
      <c r="P25" s="900"/>
    </row>
    <row r="26" spans="1:23">
      <c r="A26" s="38">
        <v>2016</v>
      </c>
      <c r="B26" s="496"/>
      <c r="C26" s="496">
        <v>0.15369389999999999</v>
      </c>
      <c r="D26" s="496">
        <v>5.80904E-2</v>
      </c>
      <c r="E26" s="496">
        <v>0.13623450000000001</v>
      </c>
      <c r="F26" s="496">
        <v>0.22324260000000001</v>
      </c>
      <c r="G26" s="496">
        <v>0.120599</v>
      </c>
      <c r="H26" s="759">
        <v>0.1427388</v>
      </c>
      <c r="J26" s="72"/>
      <c r="K26" s="72"/>
      <c r="L26" s="72"/>
      <c r="M26" s="72"/>
      <c r="N26" s="72"/>
      <c r="O26" s="72"/>
      <c r="P26" s="900"/>
    </row>
    <row r="27" spans="1:23">
      <c r="A27" s="38">
        <v>2017</v>
      </c>
      <c r="B27" s="496">
        <v>0.1988704</v>
      </c>
      <c r="C27" s="496">
        <v>0.1516603</v>
      </c>
      <c r="D27" s="496">
        <v>7.3459499999999997E-2</v>
      </c>
      <c r="E27" s="496">
        <v>0.15384999999999999</v>
      </c>
      <c r="F27" s="496">
        <v>0.21115639999999999</v>
      </c>
      <c r="G27" s="496">
        <v>0.12754850000000001</v>
      </c>
      <c r="H27" s="759">
        <v>0.1559429</v>
      </c>
      <c r="J27" s="72"/>
      <c r="K27" s="72"/>
      <c r="L27" s="72"/>
      <c r="M27" s="72"/>
      <c r="N27" s="72"/>
      <c r="O27" s="72"/>
      <c r="P27" s="900"/>
    </row>
    <row r="28" spans="1:23">
      <c r="A28" s="38">
        <v>2018</v>
      </c>
      <c r="B28" s="496"/>
      <c r="C28" s="496"/>
      <c r="D28" s="496"/>
      <c r="E28" s="496"/>
      <c r="F28" s="496"/>
      <c r="G28" s="496"/>
      <c r="H28" s="759"/>
      <c r="J28" s="72"/>
      <c r="K28" s="72"/>
      <c r="L28" s="72"/>
      <c r="M28" s="72"/>
      <c r="N28" s="72"/>
      <c r="O28" s="72"/>
      <c r="P28" s="900"/>
    </row>
    <row r="29" spans="1:23">
      <c r="A29" s="38">
        <v>2019</v>
      </c>
      <c r="B29" s="496"/>
      <c r="C29" s="496"/>
      <c r="D29" s="496"/>
      <c r="E29" s="496"/>
      <c r="F29" s="496"/>
      <c r="G29" s="496"/>
      <c r="H29" s="759"/>
      <c r="J29" s="72"/>
      <c r="K29" s="72"/>
      <c r="L29" s="72"/>
      <c r="M29" s="72"/>
      <c r="N29" s="72"/>
      <c r="O29" s="72"/>
      <c r="P29" s="900"/>
      <c r="R29" s="899"/>
      <c r="S29" s="899"/>
      <c r="T29" s="899"/>
      <c r="U29" s="899"/>
      <c r="V29" s="899"/>
      <c r="W29" s="899"/>
    </row>
    <row r="30" spans="1:23" ht="15.75" thickBot="1">
      <c r="A30" s="760">
        <v>2020</v>
      </c>
      <c r="B30" s="600">
        <f>J33/Q31</f>
        <v>0.16906951115790317</v>
      </c>
      <c r="C30" s="600">
        <f t="shared" ref="C30:H30" si="0">K33/R31</f>
        <v>0.13032794618805196</v>
      </c>
      <c r="D30" s="600">
        <f t="shared" si="0"/>
        <v>6.0015387202441102E-2</v>
      </c>
      <c r="E30" s="600">
        <f t="shared" si="0"/>
        <v>0.22220155168682487</v>
      </c>
      <c r="F30" s="600">
        <f t="shared" si="0"/>
        <v>0.19797223044882059</v>
      </c>
      <c r="G30" s="600">
        <f t="shared" si="0"/>
        <v>0.10339003657295714</v>
      </c>
      <c r="H30" s="761">
        <f t="shared" si="0"/>
        <v>0.15898276095434816</v>
      </c>
      <c r="J30" s="906">
        <v>3545732</v>
      </c>
      <c r="K30" s="906">
        <v>5487024</v>
      </c>
      <c r="L30" s="906">
        <v>4119569</v>
      </c>
      <c r="M30" s="906">
        <v>4805626</v>
      </c>
      <c r="N30" s="906">
        <v>7728740</v>
      </c>
      <c r="O30" s="906">
        <v>6879904</v>
      </c>
      <c r="P30" s="908">
        <v>246775024</v>
      </c>
      <c r="Q30" s="747">
        <v>187.280620398</v>
      </c>
      <c r="R30" s="747">
        <v>342.30810117300001</v>
      </c>
      <c r="S30" s="747">
        <v>374.60105932800002</v>
      </c>
      <c r="T30" s="747">
        <v>301.46287905100002</v>
      </c>
      <c r="U30" s="747">
        <v>447.66496456699997</v>
      </c>
      <c r="V30" s="747">
        <v>579.94780473800006</v>
      </c>
      <c r="W30" s="747">
        <v>18301.166026751998</v>
      </c>
    </row>
    <row r="31" spans="1:23" ht="15.75" thickTop="1">
      <c r="J31" s="909">
        <f>J30*101.13%</f>
        <v>3585798.7715999996</v>
      </c>
      <c r="K31" s="910">
        <f>K30*101.6%</f>
        <v>5574816.3839999996</v>
      </c>
      <c r="L31" s="910">
        <f>L30*100.79%</f>
        <v>4152113.5951</v>
      </c>
      <c r="M31" s="910">
        <f>M30*100.63%</f>
        <v>4835901.4437999995</v>
      </c>
      <c r="N31" s="910">
        <f>N30*100.74%</f>
        <v>7785932.675999999</v>
      </c>
      <c r="O31" s="910">
        <f>O30*100.79%</f>
        <v>6934255.2416000003</v>
      </c>
      <c r="P31" s="911">
        <f>P30*(1+0.59%)</f>
        <v>248230996.64160001</v>
      </c>
      <c r="Q31" s="747">
        <f>Q30*103.4%</f>
        <v>193.64816149153199</v>
      </c>
      <c r="R31" s="747">
        <f>R30*0.9763</f>
        <v>334.1953991751999</v>
      </c>
      <c r="S31" s="747">
        <f>S30*0.963</f>
        <v>360.74082013286403</v>
      </c>
      <c r="T31" s="747">
        <f>T30*0.9461</f>
        <v>285.21402987015114</v>
      </c>
      <c r="U31" s="747">
        <f>U30*0.9718</f>
        <v>435.04081256621055</v>
      </c>
      <c r="V31" s="747">
        <f>V30*0.97</f>
        <v>562.54937059586007</v>
      </c>
      <c r="W31" s="747">
        <f>W30*0.9649</f>
        <v>17658.795099213003</v>
      </c>
    </row>
    <row r="32" spans="1:23">
      <c r="I32" s="907" t="s">
        <v>1615</v>
      </c>
      <c r="J32" s="912">
        <f t="shared" ref="J32:P32" si="1">J31*0.0002%</f>
        <v>7.171597543199999</v>
      </c>
      <c r="K32" s="912">
        <f t="shared" si="1"/>
        <v>11.149632767999998</v>
      </c>
      <c r="L32" s="912">
        <f t="shared" si="1"/>
        <v>8.3042271901999989</v>
      </c>
      <c r="M32" s="912">
        <f t="shared" si="1"/>
        <v>9.6718028875999984</v>
      </c>
      <c r="N32" s="912">
        <f t="shared" si="1"/>
        <v>15.571865351999998</v>
      </c>
      <c r="O32" s="912">
        <f t="shared" si="1"/>
        <v>13.8685104832</v>
      </c>
      <c r="P32" s="913">
        <f t="shared" si="1"/>
        <v>496.4619932832</v>
      </c>
    </row>
    <row r="33" spans="9:23" ht="15.75" thickBot="1">
      <c r="I33" s="907" t="s">
        <v>1616</v>
      </c>
      <c r="J33" s="912">
        <f>'[16]2020'!$G$18</f>
        <v>32.74</v>
      </c>
      <c r="K33" s="912">
        <f>'[16]2020'!$G$1380</f>
        <v>43.555</v>
      </c>
      <c r="L33" s="912">
        <f>'[16]2020'!$G$1159</f>
        <v>21.649999999999995</v>
      </c>
      <c r="M33" s="912">
        <f>'[16]2020'!$G$1349</f>
        <v>63.375</v>
      </c>
      <c r="N33" s="912">
        <f>'[16]2020'!$G$1198</f>
        <v>86.126000000000005</v>
      </c>
      <c r="O33" s="912">
        <f>'[16]2020'!$G$1229</f>
        <v>58.161999999999992</v>
      </c>
      <c r="P33" s="913">
        <f>'[16]2020'!$G$519</f>
        <v>2807.4439999999954</v>
      </c>
    </row>
    <row r="34" spans="9:23" ht="15.75" thickBot="1">
      <c r="J34" s="905"/>
    </row>
    <row r="35" spans="9:23" ht="15.75" thickBot="1">
      <c r="J35" s="905"/>
    </row>
    <row r="36" spans="9:23" ht="15.75" thickBot="1">
      <c r="P36" s="905"/>
      <c r="Q36" s="905"/>
      <c r="R36" s="905"/>
      <c r="S36" s="905"/>
      <c r="T36" s="905"/>
      <c r="U36" s="905"/>
      <c r="V36" s="905"/>
      <c r="W36" s="905"/>
    </row>
    <row r="37" spans="9:23" ht="15.75" thickBot="1">
      <c r="P37" s="905"/>
    </row>
    <row r="38" spans="9:23" ht="15.75" thickBot="1">
      <c r="P38" s="905"/>
    </row>
    <row r="39" spans="9:23" ht="15.75" thickBot="1">
      <c r="P39" s="905"/>
    </row>
    <row r="40" spans="9:23" ht="15.75" thickBot="1">
      <c r="P40" s="905"/>
    </row>
    <row r="41" spans="9:23" ht="15.75" thickBot="1">
      <c r="P41" s="905"/>
    </row>
    <row r="42" spans="9:23" ht="15.75" thickBot="1">
      <c r="P42" s="905"/>
    </row>
  </sheetData>
  <mergeCells count="2">
    <mergeCell ref="J2:P2"/>
    <mergeCell ref="Q2:W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E484-85B8-44CA-8FF1-565750E139AD}">
  <sheetPr>
    <tabColor theme="1"/>
  </sheetPr>
  <dimension ref="A1:I39"/>
  <sheetViews>
    <sheetView workbookViewId="0">
      <selection activeCell="F10" sqref="F10"/>
    </sheetView>
  </sheetViews>
  <sheetFormatPr defaultRowHeight="14.25"/>
  <cols>
    <col min="8" max="8" width="21" bestFit="1" customWidth="1"/>
  </cols>
  <sheetData>
    <row r="1" spans="1:7" ht="23.25" thickTop="1">
      <c r="A1" s="754" t="s">
        <v>1624</v>
      </c>
      <c r="B1" s="755"/>
      <c r="C1" s="755"/>
      <c r="D1" s="755"/>
      <c r="E1" s="755"/>
      <c r="F1" s="756"/>
    </row>
    <row r="2" spans="1:7" ht="15">
      <c r="A2" s="757" t="s">
        <v>1500</v>
      </c>
      <c r="B2" s="72"/>
      <c r="C2" s="72"/>
      <c r="D2" s="72"/>
      <c r="E2" s="72"/>
      <c r="F2" s="758"/>
    </row>
    <row r="3" spans="1:7" ht="15.75" thickBot="1">
      <c r="A3" s="38" t="s">
        <v>0</v>
      </c>
      <c r="B3" s="72" t="s">
        <v>1514</v>
      </c>
      <c r="C3" s="72" t="s">
        <v>1512</v>
      </c>
      <c r="D3" s="72" t="s">
        <v>1515</v>
      </c>
      <c r="E3" s="72" t="s">
        <v>1518</v>
      </c>
      <c r="F3" s="758" t="s">
        <v>1519</v>
      </c>
    </row>
    <row r="4" spans="1:7" ht="15">
      <c r="A4" s="762">
        <v>1988</v>
      </c>
      <c r="B4" s="763"/>
      <c r="C4" s="763"/>
      <c r="D4" s="763"/>
      <c r="E4" s="763"/>
      <c r="F4" s="764"/>
    </row>
    <row r="5" spans="1:7" ht="15">
      <c r="A5" s="38">
        <v>1989</v>
      </c>
      <c r="B5" s="496">
        <v>2.7312300000000001E-2</v>
      </c>
      <c r="C5" s="496">
        <v>3.3864400000000003E-2</v>
      </c>
      <c r="D5" s="496"/>
      <c r="E5" s="496">
        <v>7.8461199999999995E-2</v>
      </c>
      <c r="F5" s="759"/>
    </row>
    <row r="6" spans="1:7" ht="15">
      <c r="A6" s="38">
        <v>1990</v>
      </c>
      <c r="B6" s="496">
        <v>2.9443299999999999E-2</v>
      </c>
      <c r="C6" s="496">
        <v>2.59624E-2</v>
      </c>
      <c r="D6" s="496"/>
      <c r="E6" s="496">
        <v>7.7043E-2</v>
      </c>
      <c r="F6" s="759"/>
    </row>
    <row r="7" spans="1:7" ht="15">
      <c r="A7" s="38">
        <v>1991</v>
      </c>
      <c r="B7" s="496">
        <v>2.95908E-2</v>
      </c>
      <c r="C7" s="496">
        <v>2.7961400000000001E-2</v>
      </c>
      <c r="D7" s="496"/>
      <c r="E7" s="496">
        <v>7.8157500000000005E-2</v>
      </c>
      <c r="F7" s="759"/>
    </row>
    <row r="8" spans="1:7" ht="15">
      <c r="A8" s="38">
        <v>1992</v>
      </c>
      <c r="B8" s="496">
        <v>3.1673899999999998E-2</v>
      </c>
      <c r="C8" s="496">
        <v>2.6632599999999999E-2</v>
      </c>
      <c r="D8" s="496"/>
      <c r="E8" s="496">
        <v>8.11664E-2</v>
      </c>
      <c r="F8" s="759"/>
    </row>
    <row r="9" spans="1:7" ht="15">
      <c r="A9" s="38">
        <v>1993</v>
      </c>
      <c r="B9" s="496">
        <v>3.5109399999999999E-2</v>
      </c>
      <c r="C9" s="496">
        <v>2.8535399999999999E-2</v>
      </c>
      <c r="D9" s="496"/>
      <c r="E9" s="496">
        <v>8.1658599999999998E-2</v>
      </c>
      <c r="F9" s="759"/>
    </row>
    <row r="10" spans="1:7" ht="15">
      <c r="A10" s="38">
        <v>1994</v>
      </c>
      <c r="B10" s="496">
        <v>3.4548799999999998E-2</v>
      </c>
      <c r="C10" s="496">
        <v>2.8926400000000001E-2</v>
      </c>
      <c r="D10" s="496"/>
      <c r="E10" s="496">
        <v>8.1075800000000003E-2</v>
      </c>
      <c r="F10" s="759"/>
      <c r="G10" s="774"/>
    </row>
    <row r="11" spans="1:7" ht="15">
      <c r="A11" s="38">
        <v>1995</v>
      </c>
      <c r="B11" s="496">
        <v>3.5600199999999999E-2</v>
      </c>
      <c r="C11" s="496">
        <v>2.87234E-2</v>
      </c>
      <c r="D11" s="496"/>
      <c r="E11" s="496">
        <v>8.7050299999999997E-2</v>
      </c>
      <c r="F11" s="759"/>
      <c r="G11" s="774"/>
    </row>
    <row r="12" spans="1:7" ht="15">
      <c r="A12" s="38">
        <v>1996</v>
      </c>
      <c r="B12" s="496">
        <v>3.8101900000000001E-2</v>
      </c>
      <c r="C12" s="496">
        <v>3.54545E-2</v>
      </c>
      <c r="D12" s="496">
        <v>3.9731200000000001E-2</v>
      </c>
      <c r="E12" s="496">
        <v>9.79878E-2</v>
      </c>
      <c r="F12" s="759"/>
      <c r="G12" s="774"/>
    </row>
    <row r="13" spans="1:7" ht="15">
      <c r="A13" s="38">
        <v>1997</v>
      </c>
      <c r="B13" s="496">
        <v>4.3078999999999999E-2</v>
      </c>
      <c r="C13" s="496">
        <v>4.2945400000000002E-2</v>
      </c>
      <c r="D13" s="496">
        <v>9.12911E-2</v>
      </c>
      <c r="E13" s="496">
        <v>0.1151667</v>
      </c>
      <c r="F13" s="759"/>
      <c r="G13" s="774"/>
    </row>
    <row r="14" spans="1:7" ht="15">
      <c r="A14" s="38">
        <v>1998</v>
      </c>
      <c r="B14" s="496">
        <v>4.7760400000000001E-2</v>
      </c>
      <c r="C14" s="496">
        <v>4.3674400000000002E-2</v>
      </c>
      <c r="D14" s="496">
        <v>0.12721060000000001</v>
      </c>
      <c r="E14" s="496">
        <v>0.13029479999999999</v>
      </c>
      <c r="F14" s="759"/>
      <c r="G14" s="774"/>
    </row>
    <row r="15" spans="1:7" ht="15">
      <c r="A15" s="38">
        <v>1999</v>
      </c>
      <c r="B15" s="496">
        <v>5.1580500000000001E-2</v>
      </c>
      <c r="C15" s="496">
        <v>4.88677E-2</v>
      </c>
      <c r="D15" s="496">
        <v>0.1501179</v>
      </c>
      <c r="E15" s="496">
        <v>0.14891799999999999</v>
      </c>
      <c r="F15" s="759"/>
      <c r="G15" s="774"/>
    </row>
    <row r="16" spans="1:7" ht="15">
      <c r="A16" s="38">
        <v>2000</v>
      </c>
      <c r="B16" s="496">
        <v>5.5576300000000002E-2</v>
      </c>
      <c r="C16" s="496">
        <v>5.1700599999999999E-2</v>
      </c>
      <c r="D16" s="496">
        <v>0.123514</v>
      </c>
      <c r="E16" s="496">
        <v>0.1781942</v>
      </c>
      <c r="F16" s="759"/>
      <c r="G16" s="774"/>
    </row>
    <row r="17" spans="1:9" ht="15">
      <c r="A17" s="38">
        <v>2001</v>
      </c>
      <c r="B17" s="496">
        <v>5.6213699999999998E-2</v>
      </c>
      <c r="C17" s="496">
        <v>6.3191700000000003E-2</v>
      </c>
      <c r="D17" s="496">
        <v>0.1611493</v>
      </c>
      <c r="E17" s="496">
        <v>0.14679780000000001</v>
      </c>
      <c r="F17" s="759"/>
      <c r="G17" s="774"/>
    </row>
    <row r="18" spans="1:9" ht="15">
      <c r="A18" s="38">
        <v>2002</v>
      </c>
      <c r="B18" s="496">
        <v>5.8585699999999998E-2</v>
      </c>
      <c r="C18" s="496">
        <v>5.7837699999999999E-2</v>
      </c>
      <c r="D18" s="496">
        <v>0.15793080000000001</v>
      </c>
      <c r="E18" s="496">
        <v>0.13555739999999999</v>
      </c>
      <c r="F18" s="759"/>
      <c r="G18" s="774"/>
    </row>
    <row r="19" spans="1:9" ht="15">
      <c r="A19" s="38">
        <v>2003</v>
      </c>
      <c r="B19" s="496">
        <v>6.7270300000000005E-2</v>
      </c>
      <c r="C19" s="496">
        <v>5.7984300000000003E-2</v>
      </c>
      <c r="D19" s="496">
        <v>0.20603750000000001</v>
      </c>
      <c r="E19" s="496">
        <v>0.139179</v>
      </c>
      <c r="F19" s="759"/>
      <c r="G19" s="774"/>
    </row>
    <row r="20" spans="1:9" ht="15">
      <c r="A20" s="38">
        <v>2004</v>
      </c>
      <c r="B20" s="496">
        <v>7.5116699999999995E-2</v>
      </c>
      <c r="C20" s="496">
        <v>5.7635199999999998E-2</v>
      </c>
      <c r="D20" s="496">
        <v>0.2292505</v>
      </c>
      <c r="E20" s="496">
        <v>0.14029610000000001</v>
      </c>
      <c r="F20" s="759"/>
      <c r="G20" s="774"/>
    </row>
    <row r="21" spans="1:9" ht="15">
      <c r="A21" s="38">
        <v>2005</v>
      </c>
      <c r="B21" s="496">
        <v>6.5539799999999995E-2</v>
      </c>
      <c r="C21" s="496">
        <v>4.9861799999999998E-2</v>
      </c>
      <c r="D21" s="496">
        <v>0.1980468</v>
      </c>
      <c r="E21" s="496">
        <v>0.14529</v>
      </c>
      <c r="F21" s="759"/>
      <c r="G21" s="774"/>
    </row>
    <row r="22" spans="1:9" ht="15">
      <c r="A22" s="38">
        <v>2006</v>
      </c>
      <c r="B22" s="496">
        <v>9.7514199999999995E-2</v>
      </c>
      <c r="C22" s="496">
        <v>5.3011700000000002E-2</v>
      </c>
      <c r="D22" s="496">
        <v>0.24702189999999999</v>
      </c>
      <c r="E22" s="496">
        <v>0.15242410000000001</v>
      </c>
      <c r="F22" s="759"/>
      <c r="G22" s="774"/>
    </row>
    <row r="23" spans="1:9" ht="15">
      <c r="A23" s="38">
        <v>2007</v>
      </c>
      <c r="B23" s="496">
        <v>0.14389179999999999</v>
      </c>
      <c r="C23" s="496">
        <v>5.2908799999999999E-2</v>
      </c>
      <c r="D23" s="496">
        <v>0.2815723</v>
      </c>
      <c r="E23" s="496">
        <v>0.19511220000000001</v>
      </c>
      <c r="F23" s="759"/>
      <c r="G23" s="774"/>
    </row>
    <row r="24" spans="1:9" ht="15">
      <c r="A24" s="38">
        <v>2008</v>
      </c>
      <c r="B24" s="496">
        <v>0.1233708</v>
      </c>
      <c r="C24" s="496">
        <v>4.7585599999999999E-2</v>
      </c>
      <c r="D24" s="496">
        <v>0.31678650000000003</v>
      </c>
      <c r="E24" s="496">
        <v>0.17929410000000001</v>
      </c>
      <c r="F24" s="759">
        <v>0.17929410000000001</v>
      </c>
      <c r="G24" s="774">
        <f>'AX8'!H18</f>
        <v>0.1255571</v>
      </c>
      <c r="H24" s="775">
        <f>1/(F24/G24)</f>
        <v>0.70028573165541985</v>
      </c>
      <c r="I24" s="776">
        <f>H24/0.2</f>
        <v>3.5014286582770993</v>
      </c>
    </row>
    <row r="25" spans="1:9" ht="15">
      <c r="A25" s="38">
        <v>2009</v>
      </c>
      <c r="B25" s="496">
        <v>0.14674880000000001</v>
      </c>
      <c r="C25" s="496">
        <v>4.30877E-2</v>
      </c>
      <c r="D25" s="496">
        <v>0.16092310000000001</v>
      </c>
      <c r="E25" s="496">
        <v>0.1284651</v>
      </c>
      <c r="F25" s="759"/>
      <c r="G25" s="774"/>
    </row>
    <row r="26" spans="1:9" ht="15">
      <c r="A26" s="38">
        <v>2010</v>
      </c>
      <c r="B26" s="496">
        <v>0.20377010000000001</v>
      </c>
      <c r="C26" s="496">
        <v>6.7025500000000002E-2</v>
      </c>
      <c r="D26" s="496">
        <v>0.247393</v>
      </c>
      <c r="E26" s="496">
        <v>8.9676400000000003E-2</v>
      </c>
      <c r="F26" s="759"/>
      <c r="G26" s="774"/>
    </row>
    <row r="27" spans="1:9" ht="15">
      <c r="A27" s="38">
        <v>2011</v>
      </c>
      <c r="B27" s="496">
        <v>0.21266260000000001</v>
      </c>
      <c r="C27" s="496">
        <v>6.6591600000000001E-2</v>
      </c>
      <c r="D27" s="496">
        <v>0.26647569999999998</v>
      </c>
      <c r="E27" s="496">
        <v>0.15411420000000001</v>
      </c>
      <c r="F27" s="759"/>
      <c r="G27" s="774"/>
    </row>
    <row r="28" spans="1:9" ht="15">
      <c r="A28" s="38">
        <v>2012</v>
      </c>
      <c r="B28" s="496">
        <v>0.1800398</v>
      </c>
      <c r="C28" s="496">
        <v>4.6404000000000001E-2</v>
      </c>
      <c r="D28" s="496">
        <v>0.2270402</v>
      </c>
      <c r="E28" s="496">
        <v>0.1510398</v>
      </c>
      <c r="F28" s="759"/>
      <c r="G28" s="774"/>
    </row>
    <row r="29" spans="1:9" ht="15">
      <c r="A29" s="38">
        <v>2013</v>
      </c>
      <c r="B29" s="496">
        <v>0.18862789999999999</v>
      </c>
      <c r="C29" s="496">
        <v>4.7643499999999998E-2</v>
      </c>
      <c r="D29" s="496">
        <v>0.24295620000000001</v>
      </c>
      <c r="E29" s="496">
        <v>0.17658799999999999</v>
      </c>
      <c r="F29" s="759"/>
      <c r="G29" s="774"/>
    </row>
    <row r="30" spans="1:9" ht="15">
      <c r="A30" s="38">
        <v>2014</v>
      </c>
      <c r="B30" s="496">
        <v>0.20347129999999999</v>
      </c>
      <c r="C30" s="496">
        <v>4.8794700000000003E-2</v>
      </c>
      <c r="D30" s="496">
        <v>0.26430320000000002</v>
      </c>
      <c r="E30" s="496">
        <v>0.1901766</v>
      </c>
      <c r="F30" s="759">
        <v>0.1901766</v>
      </c>
      <c r="G30" s="774">
        <f>'AX8'!H24</f>
        <v>0.1498496</v>
      </c>
      <c r="H30" s="775">
        <f>1/(F30/G30)</f>
        <v>0.7879497267276836</v>
      </c>
      <c r="I30" s="776">
        <f>H30/0.2</f>
        <v>3.939748633638418</v>
      </c>
    </row>
    <row r="31" spans="1:9" ht="15">
      <c r="A31" s="38">
        <v>2015</v>
      </c>
      <c r="B31" s="496">
        <v>0.28263329999999998</v>
      </c>
      <c r="C31" s="496"/>
      <c r="D31" s="496">
        <v>0.3600043</v>
      </c>
      <c r="E31" s="496">
        <v>0.2013442</v>
      </c>
      <c r="F31" s="759">
        <v>0.2013442</v>
      </c>
      <c r="G31" s="774">
        <f>'AX8'!H25</f>
        <v>0.1579448</v>
      </c>
      <c r="H31" s="775">
        <f>1/(F31/G31)</f>
        <v>0.7844517001234701</v>
      </c>
      <c r="I31" s="776">
        <f>H31/0.2</f>
        <v>3.9222585006173505</v>
      </c>
    </row>
    <row r="32" spans="1:9" ht="15">
      <c r="A32" s="38">
        <v>2016</v>
      </c>
      <c r="B32" s="496"/>
      <c r="C32" s="496"/>
      <c r="D32" s="496"/>
      <c r="E32" s="496">
        <v>0.19218479999999999</v>
      </c>
      <c r="F32" s="759">
        <v>0.19218479999999999</v>
      </c>
      <c r="G32" s="774">
        <f>'AX8'!H26</f>
        <v>0.1427388</v>
      </c>
      <c r="H32" s="775">
        <f>1/(F32/G32)</f>
        <v>0.74271638547897656</v>
      </c>
      <c r="I32" s="776">
        <f>H32/0.2</f>
        <v>3.7135819273948827</v>
      </c>
    </row>
    <row r="33" spans="1:9" ht="15">
      <c r="A33" s="38">
        <v>2017</v>
      </c>
      <c r="B33" s="496"/>
      <c r="C33" s="496"/>
      <c r="D33" s="496"/>
      <c r="E33" s="496">
        <v>0.22125</v>
      </c>
      <c r="F33" s="759">
        <v>0.22125</v>
      </c>
      <c r="G33" s="774">
        <f>'AX8'!H27</f>
        <v>0.1559429</v>
      </c>
      <c r="H33" s="775">
        <f>1/(F33/G33)</f>
        <v>0.7048266666666666</v>
      </c>
      <c r="I33" s="776">
        <f>H33/0.2</f>
        <v>3.5241333333333329</v>
      </c>
    </row>
    <row r="34" spans="1:9" ht="15">
      <c r="A34" s="38">
        <v>2018</v>
      </c>
      <c r="B34" s="496"/>
      <c r="C34" s="496"/>
      <c r="D34" s="496"/>
      <c r="E34" s="496">
        <v>0.2365419</v>
      </c>
      <c r="F34" s="759">
        <v>0.2365419</v>
      </c>
      <c r="G34" s="774"/>
    </row>
    <row r="35" spans="1:9" ht="15.75" thickBot="1">
      <c r="A35" s="760">
        <v>2019</v>
      </c>
      <c r="B35" s="600"/>
      <c r="C35" s="600"/>
      <c r="D35" s="600"/>
      <c r="E35" s="600">
        <v>0.2236812</v>
      </c>
      <c r="F35" s="761">
        <v>0.2236812</v>
      </c>
      <c r="G35" s="774"/>
    </row>
    <row r="36" spans="1:9" ht="15.75" thickTop="1">
      <c r="A36" s="38"/>
      <c r="B36" s="575"/>
      <c r="C36" s="575"/>
      <c r="D36" s="575"/>
      <c r="E36" s="575"/>
      <c r="F36" s="575"/>
    </row>
    <row r="37" spans="1:9" ht="15">
      <c r="A37" s="38"/>
      <c r="B37" s="575"/>
      <c r="C37" s="575"/>
      <c r="D37" s="575"/>
      <c r="E37" s="575"/>
      <c r="F37" s="575"/>
    </row>
    <row r="38" spans="1:9" ht="15">
      <c r="A38" s="38"/>
      <c r="B38" s="575"/>
      <c r="C38" s="575"/>
      <c r="D38" s="575"/>
      <c r="E38" s="575"/>
      <c r="F38" s="575"/>
    </row>
    <row r="39" spans="1:9" ht="15">
      <c r="A39" s="38"/>
    </row>
  </sheetData>
  <phoneticPr fontId="1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5EC9-DF64-43A6-9AA8-9A9F385ABC39}">
  <sheetPr>
    <tabColor theme="1"/>
  </sheetPr>
  <dimension ref="A1:EP54"/>
  <sheetViews>
    <sheetView topLeftCell="B1" zoomScale="115" zoomScaleNormal="115" workbookViewId="0">
      <pane xSplit="1" ySplit="9" topLeftCell="AX31" activePane="bottomRight" state="frozen"/>
      <selection activeCell="H34" sqref="H34"/>
      <selection pane="topRight" activeCell="H34" sqref="H34"/>
      <selection pane="bottomLeft" activeCell="H34" sqref="H34"/>
      <selection pane="bottomRight" activeCell="AV35" sqref="AV35"/>
    </sheetView>
  </sheetViews>
  <sheetFormatPr defaultColWidth="10.625" defaultRowHeight="15.75"/>
  <cols>
    <col min="1" max="3" width="10.625" style="4"/>
    <col min="4" max="4" width="10.625" style="53"/>
    <col min="5" max="7" width="10.625" style="47"/>
    <col min="8" max="9" width="10.625" style="5"/>
    <col min="10" max="10" width="12.25" style="5" bestFit="1" customWidth="1"/>
    <col min="11" max="11" width="10.625" style="5"/>
    <col min="12" max="12" width="10.625" style="47"/>
    <col min="13" max="14" width="10.625" style="5"/>
    <col min="15" max="15" width="9.125" style="47" customWidth="1"/>
    <col min="16" max="17" width="9.125" style="5" customWidth="1"/>
    <col min="18" max="18" width="9.125" style="47" customWidth="1"/>
    <col min="19" max="19" width="9.125" style="5" customWidth="1"/>
    <col min="20" max="20" width="9.125" style="784" customWidth="1"/>
    <col min="21" max="21" width="9.125" style="5" customWidth="1"/>
    <col min="22" max="37" width="10.625" style="4"/>
    <col min="38" max="38" width="13.875" style="4" customWidth="1"/>
    <col min="39" max="40" width="10.625" style="4"/>
    <col min="41" max="43" width="10.625" style="857"/>
    <col min="44" max="53" width="10.625" style="4"/>
    <col min="54" max="54" width="10.625" style="53"/>
    <col min="55" max="16384" width="10.625" style="4"/>
  </cols>
  <sheetData>
    <row r="1" spans="1:146" ht="32.25" customHeight="1">
      <c r="B1" s="86" t="s">
        <v>1623</v>
      </c>
      <c r="C1" s="77"/>
      <c r="D1" s="77"/>
      <c r="E1" s="77"/>
      <c r="F1" s="85"/>
      <c r="G1" s="85"/>
      <c r="H1" s="77"/>
      <c r="I1" s="77"/>
      <c r="J1" s="77"/>
      <c r="K1" s="77"/>
      <c r="L1" s="778"/>
      <c r="M1" s="77"/>
      <c r="N1" s="77"/>
      <c r="O1" s="778"/>
      <c r="P1" s="77"/>
      <c r="Q1" s="77"/>
      <c r="R1" s="778"/>
      <c r="S1" s="77"/>
      <c r="T1" s="785"/>
      <c r="U1" s="77"/>
    </row>
    <row r="2" spans="1:146" s="78" customFormat="1">
      <c r="B2" s="79"/>
      <c r="C2" s="79"/>
      <c r="D2" s="80"/>
      <c r="E2" s="81"/>
      <c r="F2" s="81"/>
      <c r="G2" s="81"/>
      <c r="H2" s="82"/>
      <c r="I2" s="82"/>
      <c r="J2" s="82"/>
      <c r="K2" s="82"/>
      <c r="L2" s="81"/>
      <c r="M2" s="82"/>
      <c r="N2" s="82"/>
      <c r="O2" s="81"/>
      <c r="P2" s="82"/>
      <c r="Q2" s="82"/>
      <c r="R2" s="81"/>
      <c r="S2" s="82"/>
      <c r="T2" s="786"/>
      <c r="U2" s="82"/>
      <c r="AO2" s="858"/>
      <c r="AP2" s="858"/>
      <c r="AQ2" s="858"/>
      <c r="BB2" s="818"/>
    </row>
    <row r="3" spans="1:146" s="8" customFormat="1">
      <c r="B3" s="32" t="s">
        <v>1018</v>
      </c>
      <c r="C3" s="76" t="s">
        <v>1552</v>
      </c>
      <c r="D3" s="48"/>
      <c r="E3" s="49"/>
      <c r="F3" s="49"/>
      <c r="G3" s="49"/>
      <c r="H3" s="30"/>
      <c r="I3" s="30"/>
      <c r="J3" s="30"/>
      <c r="K3" s="30"/>
      <c r="L3" s="779"/>
      <c r="M3" s="30"/>
      <c r="N3" s="30"/>
      <c r="O3" s="779"/>
      <c r="P3" s="30"/>
      <c r="Q3" s="30"/>
      <c r="R3" s="779"/>
      <c r="S3" s="30"/>
      <c r="T3" s="783"/>
      <c r="U3" s="30"/>
      <c r="AO3" s="859"/>
      <c r="AP3" s="859"/>
      <c r="AQ3" s="859"/>
      <c r="BB3" s="819"/>
    </row>
    <row r="4" spans="1:146">
      <c r="B4" s="26" t="s">
        <v>1017</v>
      </c>
      <c r="C4" s="1182" t="s">
        <v>1560</v>
      </c>
      <c r="D4" s="1182"/>
      <c r="E4" s="1182"/>
      <c r="F4" s="1182"/>
      <c r="G4" s="1182"/>
      <c r="H4" s="1234" t="s">
        <v>1561</v>
      </c>
      <c r="I4" s="1182"/>
      <c r="J4" s="1182"/>
      <c r="K4" s="1182"/>
      <c r="L4" s="1182"/>
      <c r="M4" s="1180" t="s">
        <v>1568</v>
      </c>
      <c r="N4" s="1179"/>
      <c r="O4" s="1179"/>
      <c r="P4" s="1179"/>
      <c r="Q4" s="1179"/>
      <c r="R4" s="1179"/>
      <c r="S4" s="1179"/>
      <c r="T4" s="1179"/>
      <c r="U4" s="1179"/>
      <c r="V4" s="1179"/>
      <c r="W4" s="1179"/>
      <c r="X4" s="1179"/>
      <c r="Y4" s="1179"/>
      <c r="Z4" s="1179"/>
      <c r="AA4" s="1179"/>
      <c r="AB4" s="1179"/>
      <c r="AC4" s="1179"/>
      <c r="AD4" s="1179"/>
      <c r="AE4" s="1179"/>
      <c r="AF4" s="1181"/>
      <c r="AG4" s="1180" t="s">
        <v>1593</v>
      </c>
      <c r="AH4" s="1179"/>
      <c r="AI4" s="1179"/>
      <c r="AJ4" s="1179"/>
      <c r="AK4" s="1179"/>
      <c r="AL4" s="1180" t="s">
        <v>1594</v>
      </c>
      <c r="AM4" s="1179"/>
      <c r="AN4" s="1179"/>
      <c r="AO4" s="1179"/>
      <c r="AP4" s="1179"/>
      <c r="AQ4" s="1181"/>
      <c r="AR4" s="1180" t="s">
        <v>1595</v>
      </c>
      <c r="AS4" s="1179"/>
      <c r="AT4" s="1179"/>
      <c r="AU4" s="1179"/>
      <c r="AV4" s="1181"/>
      <c r="AW4" s="1180" t="s">
        <v>1596</v>
      </c>
      <c r="AX4" s="1179"/>
      <c r="AY4" s="1179"/>
      <c r="AZ4" s="1179"/>
      <c r="BA4" s="1179"/>
      <c r="BB4" s="1179"/>
      <c r="BC4" s="1241" t="s">
        <v>1602</v>
      </c>
      <c r="BD4" s="1180" t="s">
        <v>1508</v>
      </c>
      <c r="BE4" s="1179"/>
      <c r="BF4" s="1179" t="s">
        <v>1607</v>
      </c>
      <c r="BG4" s="1179"/>
      <c r="BH4" s="1179" t="s">
        <v>1610</v>
      </c>
      <c r="BI4" s="1179"/>
      <c r="BJ4" s="1179" t="s">
        <v>1609</v>
      </c>
      <c r="BK4" s="1179"/>
      <c r="BL4" s="1179" t="s">
        <v>1512</v>
      </c>
      <c r="BM4" s="1179"/>
      <c r="BN4" s="1179" t="s">
        <v>1509</v>
      </c>
      <c r="BO4" s="1179"/>
      <c r="BP4" s="1179" t="s">
        <v>1515</v>
      </c>
      <c r="BQ4" s="1179"/>
      <c r="BR4" s="835"/>
      <c r="BS4" s="835"/>
      <c r="BT4" s="835"/>
      <c r="BU4" s="835"/>
      <c r="BV4" s="835"/>
      <c r="BW4" s="835"/>
      <c r="BX4" s="835"/>
      <c r="BY4" s="835"/>
      <c r="BZ4" s="835"/>
      <c r="CA4" s="835"/>
      <c r="CB4" s="835"/>
      <c r="CC4" s="835"/>
      <c r="CD4" s="835"/>
      <c r="CE4" s="835"/>
      <c r="CF4" s="835"/>
      <c r="CH4" s="835"/>
      <c r="CI4" s="835"/>
      <c r="CJ4" s="835"/>
      <c r="CK4" s="835"/>
      <c r="CL4" s="835"/>
      <c r="CM4" s="835"/>
      <c r="CN4" s="835"/>
      <c r="CO4" s="835"/>
      <c r="CP4" s="835"/>
      <c r="CQ4" s="835"/>
      <c r="CR4" s="835"/>
      <c r="CS4" s="835"/>
      <c r="CT4" s="835"/>
      <c r="CU4" s="835"/>
      <c r="CV4" s="835"/>
      <c r="CW4" s="835"/>
      <c r="CX4" s="835"/>
      <c r="CY4" s="835"/>
      <c r="CZ4" s="835"/>
      <c r="DB4" s="835"/>
      <c r="DC4" s="835"/>
      <c r="DD4" s="835"/>
      <c r="DE4" s="835"/>
      <c r="DF4" s="835"/>
      <c r="DG4" s="835"/>
      <c r="DH4" s="835"/>
      <c r="DI4" s="835"/>
      <c r="DJ4" s="835"/>
      <c r="DK4" s="835"/>
      <c r="DL4" s="835"/>
      <c r="DM4" s="835"/>
      <c r="DN4" s="835"/>
      <c r="DO4" s="835"/>
      <c r="DP4" s="835"/>
      <c r="DQ4" s="835"/>
      <c r="DR4" s="835"/>
      <c r="DS4" s="835"/>
      <c r="DT4" s="835"/>
      <c r="DV4" s="835"/>
      <c r="DW4" s="835"/>
      <c r="DX4" s="835"/>
      <c r="DY4" s="835"/>
      <c r="DZ4" s="835"/>
      <c r="EA4" s="835"/>
      <c r="EB4" s="835"/>
      <c r="EC4" s="835"/>
      <c r="ED4" s="835"/>
      <c r="EE4" s="835"/>
      <c r="EF4" s="835"/>
      <c r="EG4" s="835"/>
      <c r="EH4" s="835"/>
      <c r="EI4" s="835"/>
      <c r="EJ4" s="835"/>
      <c r="EK4" s="835"/>
      <c r="EL4" s="835"/>
      <c r="EM4" s="835"/>
      <c r="EN4" s="835"/>
      <c r="EO4" s="835"/>
      <c r="EP4" s="835"/>
    </row>
    <row r="5" spans="1:146" s="148" customFormat="1" ht="31.5">
      <c r="A5" s="128"/>
      <c r="B5" s="129" t="s">
        <v>1016</v>
      </c>
      <c r="C5" s="130" t="s">
        <v>1553</v>
      </c>
      <c r="D5" s="131" t="s">
        <v>1554</v>
      </c>
      <c r="E5" s="132" t="s">
        <v>1555</v>
      </c>
      <c r="F5" s="133" t="s">
        <v>1556</v>
      </c>
      <c r="G5" s="133" t="s">
        <v>1557</v>
      </c>
      <c r="H5" s="837" t="s">
        <v>1553</v>
      </c>
      <c r="I5" s="131" t="s">
        <v>1554</v>
      </c>
      <c r="J5" s="132" t="s">
        <v>1555</v>
      </c>
      <c r="K5" s="133" t="s">
        <v>1556</v>
      </c>
      <c r="L5" s="133" t="s">
        <v>1557</v>
      </c>
      <c r="M5" s="1235" t="s">
        <v>1553</v>
      </c>
      <c r="N5" s="1236"/>
      <c r="O5" s="1236"/>
      <c r="P5" s="1236"/>
      <c r="Q5" s="1237" t="s">
        <v>1554</v>
      </c>
      <c r="R5" s="1237"/>
      <c r="S5" s="1237"/>
      <c r="T5" s="1237"/>
      <c r="U5" s="1238" t="s">
        <v>1555</v>
      </c>
      <c r="V5" s="1238"/>
      <c r="W5" s="1238"/>
      <c r="X5" s="1238"/>
      <c r="Y5" s="1239" t="s">
        <v>1556</v>
      </c>
      <c r="Z5" s="1239"/>
      <c r="AA5" s="1239"/>
      <c r="AB5" s="1239"/>
      <c r="AC5" s="1239" t="s">
        <v>1557</v>
      </c>
      <c r="AD5" s="1239"/>
      <c r="AE5" s="1239"/>
      <c r="AF5" s="1240"/>
      <c r="AG5" s="837" t="s">
        <v>1553</v>
      </c>
      <c r="AH5" s="131" t="s">
        <v>1554</v>
      </c>
      <c r="AI5" s="132" t="s">
        <v>1555</v>
      </c>
      <c r="AJ5" s="133" t="s">
        <v>1556</v>
      </c>
      <c r="AK5" s="133" t="s">
        <v>1557</v>
      </c>
      <c r="AL5" s="861"/>
      <c r="AM5" s="133"/>
      <c r="AN5" s="133"/>
      <c r="AO5" s="1242" t="s">
        <v>1572</v>
      </c>
      <c r="AP5" s="1243"/>
      <c r="AQ5" s="1244"/>
      <c r="AR5" s="837" t="s">
        <v>1553</v>
      </c>
      <c r="AS5" s="131" t="s">
        <v>1554</v>
      </c>
      <c r="AT5" s="132" t="s">
        <v>1555</v>
      </c>
      <c r="AU5" s="133" t="s">
        <v>1556</v>
      </c>
      <c r="AV5" s="838" t="s">
        <v>1557</v>
      </c>
      <c r="AW5" s="837" t="s">
        <v>1553</v>
      </c>
      <c r="AX5" s="131" t="s">
        <v>1554</v>
      </c>
      <c r="AY5" s="132" t="s">
        <v>1555</v>
      </c>
      <c r="AZ5" s="133" t="s">
        <v>1556</v>
      </c>
      <c r="BA5" s="133" t="s">
        <v>1557</v>
      </c>
      <c r="BB5" s="139" t="s">
        <v>1263</v>
      </c>
      <c r="BC5" s="1241"/>
      <c r="BD5" s="880" t="s">
        <v>1605</v>
      </c>
      <c r="BE5" s="881" t="s">
        <v>1608</v>
      </c>
      <c r="BF5" s="881" t="s">
        <v>1606</v>
      </c>
      <c r="BG5" s="881" t="s">
        <v>1608</v>
      </c>
      <c r="BH5" s="881" t="s">
        <v>1606</v>
      </c>
      <c r="BI5" s="881" t="s">
        <v>1608</v>
      </c>
      <c r="BJ5" s="881" t="s">
        <v>1606</v>
      </c>
      <c r="BK5" s="881" t="s">
        <v>1608</v>
      </c>
      <c r="BL5" s="881" t="s">
        <v>1606</v>
      </c>
      <c r="BM5" s="881" t="s">
        <v>1608</v>
      </c>
      <c r="BN5" s="881" t="s">
        <v>1606</v>
      </c>
      <c r="BO5" s="881" t="s">
        <v>1608</v>
      </c>
      <c r="BP5" s="881" t="s">
        <v>1606</v>
      </c>
      <c r="BQ5" s="881" t="s">
        <v>1608</v>
      </c>
    </row>
    <row r="6" spans="1:146" s="148" customFormat="1">
      <c r="A6" s="128"/>
      <c r="B6" s="845" t="s">
        <v>1567</v>
      </c>
      <c r="C6" s="130"/>
      <c r="D6" s="131"/>
      <c r="E6" s="132"/>
      <c r="F6" s="133"/>
      <c r="G6" s="133"/>
      <c r="H6" s="837"/>
      <c r="I6" s="131"/>
      <c r="J6" s="132"/>
      <c r="K6" s="133"/>
      <c r="L6" s="133"/>
      <c r="M6" s="844" t="s">
        <v>1562</v>
      </c>
      <c r="N6" s="847" t="s">
        <v>1563</v>
      </c>
      <c r="O6" s="847" t="s">
        <v>1564</v>
      </c>
      <c r="P6" s="847" t="s">
        <v>1565</v>
      </c>
      <c r="Q6" s="847" t="s">
        <v>1562</v>
      </c>
      <c r="R6" s="847" t="s">
        <v>1563</v>
      </c>
      <c r="S6" s="847" t="s">
        <v>1564</v>
      </c>
      <c r="T6" s="847" t="s">
        <v>1565</v>
      </c>
      <c r="U6" s="847" t="s">
        <v>1562</v>
      </c>
      <c r="V6" s="847" t="s">
        <v>1563</v>
      </c>
      <c r="W6" s="847" t="s">
        <v>1564</v>
      </c>
      <c r="X6" s="847" t="s">
        <v>1565</v>
      </c>
      <c r="Y6" s="847" t="s">
        <v>1562</v>
      </c>
      <c r="Z6" s="847" t="s">
        <v>1563</v>
      </c>
      <c r="AA6" s="847" t="s">
        <v>1564</v>
      </c>
      <c r="AB6" s="847" t="s">
        <v>1565</v>
      </c>
      <c r="AC6" s="847" t="s">
        <v>1562</v>
      </c>
      <c r="AD6" s="847" t="s">
        <v>1563</v>
      </c>
      <c r="AE6" s="847" t="s">
        <v>1564</v>
      </c>
      <c r="AF6" s="842" t="s">
        <v>1565</v>
      </c>
      <c r="AG6" s="847"/>
      <c r="AH6" s="847"/>
      <c r="AI6" s="847"/>
      <c r="AJ6" s="847"/>
      <c r="AK6" s="847"/>
      <c r="AL6" s="862" t="s">
        <v>1569</v>
      </c>
      <c r="AM6" s="863" t="s">
        <v>1570</v>
      </c>
      <c r="AN6" s="863" t="s">
        <v>1571</v>
      </c>
      <c r="AO6" s="863" t="s">
        <v>1569</v>
      </c>
      <c r="AP6" s="863" t="s">
        <v>1570</v>
      </c>
      <c r="AQ6" s="864" t="s">
        <v>1571</v>
      </c>
      <c r="AR6" s="138"/>
      <c r="AS6" s="139"/>
      <c r="AT6" s="139"/>
      <c r="AU6" s="139"/>
      <c r="AV6" s="805"/>
      <c r="BB6" s="139"/>
      <c r="BC6" s="138"/>
      <c r="BD6" s="138"/>
      <c r="BE6" s="139"/>
    </row>
    <row r="7" spans="1:146" s="57" customFormat="1" ht="9.9499999999999993" customHeight="1">
      <c r="B7" s="58" t="s">
        <v>1013</v>
      </c>
      <c r="C7" s="52" t="s">
        <v>1558</v>
      </c>
      <c r="D7" s="52" t="s">
        <v>1558</v>
      </c>
      <c r="E7" s="52" t="s">
        <v>1558</v>
      </c>
      <c r="F7" s="52" t="s">
        <v>1558</v>
      </c>
      <c r="G7" s="52" t="s">
        <v>1558</v>
      </c>
      <c r="H7" s="62" t="s">
        <v>1558</v>
      </c>
      <c r="I7" s="52" t="s">
        <v>1558</v>
      </c>
      <c r="J7" s="52" t="s">
        <v>1558</v>
      </c>
      <c r="K7" s="52" t="s">
        <v>1558</v>
      </c>
      <c r="L7" s="52" t="s">
        <v>1558</v>
      </c>
      <c r="M7" s="872" t="s">
        <v>1573</v>
      </c>
      <c r="N7" s="848" t="s">
        <v>1574</v>
      </c>
      <c r="O7" s="848" t="s">
        <v>1575</v>
      </c>
      <c r="P7" s="848" t="s">
        <v>1576</v>
      </c>
      <c r="Q7" s="848" t="s">
        <v>1577</v>
      </c>
      <c r="R7" s="848" t="s">
        <v>1578</v>
      </c>
      <c r="S7" s="848" t="s">
        <v>1579</v>
      </c>
      <c r="T7" s="848" t="s">
        <v>1580</v>
      </c>
      <c r="U7" s="848" t="s">
        <v>1581</v>
      </c>
      <c r="V7" s="848" t="s">
        <v>1582</v>
      </c>
      <c r="W7" s="848" t="s">
        <v>1583</v>
      </c>
      <c r="X7" s="848" t="s">
        <v>1584</v>
      </c>
      <c r="Y7" s="848" t="s">
        <v>1585</v>
      </c>
      <c r="Z7" s="848" t="s">
        <v>1586</v>
      </c>
      <c r="AA7" s="848" t="s">
        <v>1587</v>
      </c>
      <c r="AB7" s="848" t="s">
        <v>1588</v>
      </c>
      <c r="AC7" s="848" t="s">
        <v>1589</v>
      </c>
      <c r="AD7" s="848" t="s">
        <v>1590</v>
      </c>
      <c r="AE7" s="848" t="s">
        <v>1591</v>
      </c>
      <c r="AF7" s="843" t="s">
        <v>1592</v>
      </c>
      <c r="AG7" s="848" t="s">
        <v>1573</v>
      </c>
      <c r="AH7" s="848" t="s">
        <v>1573</v>
      </c>
      <c r="AI7" s="848" t="s">
        <v>1574</v>
      </c>
      <c r="AJ7" s="848" t="s">
        <v>1575</v>
      </c>
      <c r="AK7" s="848" t="s">
        <v>1576</v>
      </c>
      <c r="AL7" s="852"/>
      <c r="AM7" s="846"/>
      <c r="AN7" s="846"/>
      <c r="AO7" s="865"/>
      <c r="AP7" s="865"/>
      <c r="AQ7" s="866"/>
      <c r="AR7" s="63" t="s">
        <v>1597</v>
      </c>
      <c r="AS7" s="64" t="s">
        <v>1597</v>
      </c>
      <c r="AT7" s="64" t="s">
        <v>1598</v>
      </c>
      <c r="AU7" s="64" t="s">
        <v>1599</v>
      </c>
      <c r="AV7" s="64" t="s">
        <v>1600</v>
      </c>
      <c r="AW7" s="57" t="s">
        <v>1601</v>
      </c>
      <c r="AX7" s="57" t="s">
        <v>1601</v>
      </c>
      <c r="AY7" s="57" t="s">
        <v>1601</v>
      </c>
      <c r="AZ7" s="57" t="s">
        <v>1601</v>
      </c>
      <c r="BA7" s="57" t="s">
        <v>1601</v>
      </c>
      <c r="BB7" s="57" t="s">
        <v>1601</v>
      </c>
      <c r="BC7" s="63" t="s">
        <v>1601</v>
      </c>
      <c r="BD7" s="63"/>
      <c r="BE7" s="64"/>
    </row>
    <row r="8" spans="1:146" s="16" customFormat="1" ht="9.9499999999999993" customHeight="1">
      <c r="B8" s="24" t="s">
        <v>1012</v>
      </c>
      <c r="C8" s="24" t="s">
        <v>1559</v>
      </c>
      <c r="D8" s="24" t="s">
        <v>1559</v>
      </c>
      <c r="E8" s="24" t="s">
        <v>1559</v>
      </c>
      <c r="F8" s="24" t="s">
        <v>1559</v>
      </c>
      <c r="G8" s="24" t="s">
        <v>1559</v>
      </c>
      <c r="H8" s="839" t="s">
        <v>1559</v>
      </c>
      <c r="I8" s="50" t="s">
        <v>1559</v>
      </c>
      <c r="J8" s="50" t="s">
        <v>1559</v>
      </c>
      <c r="K8" s="50" t="s">
        <v>1559</v>
      </c>
      <c r="L8" s="50" t="s">
        <v>1559</v>
      </c>
      <c r="M8" s="853"/>
      <c r="N8" s="840"/>
      <c r="O8" s="840"/>
      <c r="P8" s="840"/>
      <c r="Q8" s="840"/>
      <c r="R8" s="840"/>
      <c r="S8" s="840"/>
      <c r="T8" s="840"/>
      <c r="U8" s="840"/>
      <c r="V8" s="840"/>
      <c r="W8" s="840"/>
      <c r="X8" s="840"/>
      <c r="Y8" s="840"/>
      <c r="Z8" s="840"/>
      <c r="AA8" s="840"/>
      <c r="AB8" s="840"/>
      <c r="AC8" s="840"/>
      <c r="AD8" s="840"/>
      <c r="AE8" s="840"/>
      <c r="AF8" s="841"/>
      <c r="AG8" s="840"/>
      <c r="AH8" s="840"/>
      <c r="AI8" s="840"/>
      <c r="AJ8" s="840"/>
      <c r="AK8" s="840"/>
      <c r="AL8" s="853"/>
      <c r="AM8" s="840"/>
      <c r="AN8" s="840"/>
      <c r="AO8" s="34"/>
      <c r="AP8" s="867"/>
      <c r="AQ8" s="868"/>
      <c r="AR8" s="66"/>
      <c r="AS8" s="67"/>
      <c r="AT8" s="67"/>
      <c r="AU8" s="67"/>
      <c r="AV8" s="68"/>
      <c r="BB8" s="67"/>
      <c r="BC8" s="57" t="s">
        <v>1603</v>
      </c>
      <c r="BD8" s="66"/>
      <c r="BE8" s="67"/>
      <c r="BF8" s="16" t="s">
        <v>1612</v>
      </c>
      <c r="BH8" s="16" t="s">
        <v>1613</v>
      </c>
      <c r="BJ8" s="16" t="s">
        <v>1612</v>
      </c>
      <c r="BL8" s="16" t="s">
        <v>1612</v>
      </c>
      <c r="BN8" s="16" t="s">
        <v>1612</v>
      </c>
      <c r="BP8" s="16" t="s">
        <v>1611</v>
      </c>
    </row>
    <row r="9" spans="1:146" s="16" customFormat="1" ht="9.9499999999999993" customHeight="1">
      <c r="B9" s="24" t="s">
        <v>1010</v>
      </c>
      <c r="C9" s="50"/>
      <c r="D9" s="50"/>
      <c r="E9" s="52"/>
      <c r="F9" s="52"/>
      <c r="G9" s="52"/>
      <c r="H9" s="22"/>
      <c r="I9" s="51"/>
      <c r="J9" s="51"/>
      <c r="K9" s="51"/>
      <c r="L9" s="51"/>
      <c r="M9" s="844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8"/>
      <c r="AG9" s="67"/>
      <c r="AH9" s="67"/>
      <c r="AI9" s="67"/>
      <c r="AJ9" s="67"/>
      <c r="AK9" s="67"/>
      <c r="AL9" s="66"/>
      <c r="AM9" s="67"/>
      <c r="AN9" s="67"/>
      <c r="AO9" s="34"/>
      <c r="AP9" s="867"/>
      <c r="AQ9" s="868"/>
      <c r="AR9" s="66"/>
      <c r="AS9" s="67"/>
      <c r="AT9" s="67"/>
      <c r="AU9" s="67"/>
      <c r="AV9" s="68"/>
      <c r="BB9" s="67"/>
      <c r="BC9" s="879" t="s">
        <v>1604</v>
      </c>
      <c r="BD9" s="66"/>
      <c r="BE9" s="67"/>
    </row>
    <row r="10" spans="1:146" s="9" customFormat="1" ht="12.75">
      <c r="B10" s="15">
        <v>1981</v>
      </c>
      <c r="C10" s="34"/>
      <c r="D10" s="34"/>
      <c r="E10" s="34"/>
      <c r="F10" s="54"/>
      <c r="G10" s="631"/>
      <c r="H10" s="13"/>
      <c r="I10" s="54"/>
      <c r="J10" s="34"/>
      <c r="K10" s="34"/>
      <c r="L10" s="34"/>
      <c r="M10" s="854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45"/>
      <c r="AC10" s="45"/>
      <c r="AD10" s="45"/>
      <c r="AE10" s="45"/>
      <c r="AF10" s="15"/>
      <c r="AG10" s="45"/>
      <c r="AH10" s="45"/>
      <c r="AI10" s="45"/>
      <c r="AJ10" s="45"/>
      <c r="AK10" s="45"/>
      <c r="AL10" s="69"/>
      <c r="AM10" s="45"/>
      <c r="AN10" s="45"/>
      <c r="AO10" s="34"/>
      <c r="AP10" s="867"/>
      <c r="AQ10" s="868"/>
      <c r="AR10" s="69"/>
      <c r="AS10" s="45"/>
      <c r="AT10" s="45"/>
      <c r="AU10" s="45"/>
      <c r="AV10" s="15"/>
      <c r="BB10" s="45"/>
      <c r="BC10" s="69"/>
      <c r="BD10" s="69"/>
      <c r="BE10" s="45"/>
      <c r="BF10" s="716">
        <v>1.26</v>
      </c>
      <c r="BG10" s="716">
        <v>0.36</v>
      </c>
      <c r="BH10" s="716">
        <v>0.33</v>
      </c>
      <c r="BI10" s="716">
        <v>0.26</v>
      </c>
      <c r="BJ10" s="716">
        <v>1.61</v>
      </c>
      <c r="BK10" s="716">
        <v>0.35</v>
      </c>
      <c r="BL10" s="716">
        <v>1.29</v>
      </c>
      <c r="BM10" s="716">
        <v>0.4</v>
      </c>
      <c r="BN10" s="716">
        <v>1.18</v>
      </c>
      <c r="BO10" s="716">
        <v>0.38</v>
      </c>
    </row>
    <row r="11" spans="1:146" s="9" customFormat="1" ht="12.75">
      <c r="B11" s="15">
        <v>1982</v>
      </c>
      <c r="C11" s="34"/>
      <c r="D11" s="34"/>
      <c r="E11" s="34"/>
      <c r="F11" s="54"/>
      <c r="G11" s="631"/>
      <c r="H11" s="13"/>
      <c r="I11" s="54"/>
      <c r="J11" s="34"/>
      <c r="K11" s="34"/>
      <c r="L11" s="34"/>
      <c r="M11" s="854"/>
      <c r="N11" s="849"/>
      <c r="O11" s="849"/>
      <c r="P11" s="849"/>
      <c r="Q11" s="849"/>
      <c r="R11" s="849"/>
      <c r="S11" s="849"/>
      <c r="T11" s="849"/>
      <c r="U11" s="849"/>
      <c r="V11" s="849"/>
      <c r="W11" s="849"/>
      <c r="X11" s="849"/>
      <c r="Y11" s="849"/>
      <c r="Z11" s="849"/>
      <c r="AA11" s="849"/>
      <c r="AB11" s="45"/>
      <c r="AC11" s="45"/>
      <c r="AD11" s="45"/>
      <c r="AE11" s="45"/>
      <c r="AF11" s="15"/>
      <c r="AG11" s="45"/>
      <c r="AH11" s="45"/>
      <c r="AI11" s="45"/>
      <c r="AJ11" s="45"/>
      <c r="AK11" s="45"/>
      <c r="AL11" s="69"/>
      <c r="AM11" s="45"/>
      <c r="AN11" s="45"/>
      <c r="AO11" s="867"/>
      <c r="AP11" s="867"/>
      <c r="AQ11" s="868"/>
      <c r="AR11" s="69"/>
      <c r="AS11" s="45"/>
      <c r="AT11" s="45"/>
      <c r="AU11" s="45"/>
      <c r="AV11" s="15"/>
      <c r="BB11" s="45"/>
      <c r="BC11" s="69"/>
      <c r="BD11" s="69"/>
      <c r="BE11" s="45"/>
      <c r="BF11" s="716">
        <v>1.31</v>
      </c>
      <c r="BG11" s="716">
        <v>0.36</v>
      </c>
      <c r="BH11" s="716">
        <v>0.38</v>
      </c>
      <c r="BI11" s="716">
        <v>0.26</v>
      </c>
      <c r="BJ11" s="716">
        <v>1.66</v>
      </c>
      <c r="BK11" s="716">
        <v>0.35</v>
      </c>
      <c r="BL11" s="716">
        <v>1.29</v>
      </c>
      <c r="BM11" s="716">
        <v>0.41</v>
      </c>
      <c r="BN11" s="716">
        <v>1.18</v>
      </c>
      <c r="BO11" s="716">
        <v>0.38</v>
      </c>
    </row>
    <row r="12" spans="1:146" s="9" customFormat="1" ht="12.75">
      <c r="B12" s="15">
        <v>1983</v>
      </c>
      <c r="C12" s="34"/>
      <c r="D12" s="34"/>
      <c r="E12" s="34"/>
      <c r="F12" s="54"/>
      <c r="G12" s="631"/>
      <c r="H12" s="13"/>
      <c r="I12" s="54"/>
      <c r="J12" s="34"/>
      <c r="K12" s="34"/>
      <c r="L12" s="34"/>
      <c r="M12" s="854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  <c r="AA12" s="849"/>
      <c r="AB12" s="45"/>
      <c r="AC12" s="45"/>
      <c r="AD12" s="45"/>
      <c r="AE12" s="45"/>
      <c r="AF12" s="15"/>
      <c r="AG12" s="45"/>
      <c r="AH12" s="45"/>
      <c r="AI12" s="45"/>
      <c r="AJ12" s="45"/>
      <c r="AK12" s="45"/>
      <c r="AL12" s="69"/>
      <c r="AM12" s="45"/>
      <c r="AN12" s="45"/>
      <c r="AO12" s="867"/>
      <c r="AP12" s="867"/>
      <c r="AQ12" s="868"/>
      <c r="AR12" s="69"/>
      <c r="AS12" s="45"/>
      <c r="AT12" s="45"/>
      <c r="AU12" s="45"/>
      <c r="AV12" s="15"/>
      <c r="BB12" s="45"/>
      <c r="BC12" s="876"/>
      <c r="BF12" s="716">
        <v>1.26</v>
      </c>
      <c r="BG12" s="716">
        <v>0.35</v>
      </c>
      <c r="BH12" s="716">
        <v>0.42</v>
      </c>
      <c r="BI12" s="716">
        <v>0.26</v>
      </c>
      <c r="BJ12" s="716">
        <v>1.66</v>
      </c>
      <c r="BK12" s="716">
        <v>0.34</v>
      </c>
      <c r="BL12" s="716">
        <v>1.29</v>
      </c>
      <c r="BM12" s="716">
        <v>0.41</v>
      </c>
      <c r="BN12" s="716">
        <v>1.19</v>
      </c>
      <c r="BO12" s="716">
        <v>0.37</v>
      </c>
    </row>
    <row r="13" spans="1:146" s="9" customFormat="1" ht="12.75">
      <c r="B13" s="15">
        <v>1984</v>
      </c>
      <c r="C13" s="34"/>
      <c r="D13" s="34"/>
      <c r="E13" s="34"/>
      <c r="F13" s="54"/>
      <c r="G13" s="631"/>
      <c r="H13" s="13"/>
      <c r="I13" s="54"/>
      <c r="J13" s="34"/>
      <c r="K13" s="34"/>
      <c r="L13" s="34"/>
      <c r="M13" s="854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45"/>
      <c r="AC13" s="45"/>
      <c r="AD13" s="45"/>
      <c r="AE13" s="45"/>
      <c r="AF13" s="15"/>
      <c r="AG13" s="45"/>
      <c r="AH13" s="45"/>
      <c r="AI13" s="45"/>
      <c r="AJ13" s="45"/>
      <c r="AK13" s="45"/>
      <c r="AL13" s="69"/>
      <c r="AM13" s="45"/>
      <c r="AN13" s="45"/>
      <c r="AO13" s="867"/>
      <c r="AP13" s="867"/>
      <c r="AQ13" s="868"/>
      <c r="AR13" s="69"/>
      <c r="AS13" s="45"/>
      <c r="AT13" s="45"/>
      <c r="AU13" s="45"/>
      <c r="AV13" s="15"/>
      <c r="BB13" s="45"/>
      <c r="BC13" s="876"/>
      <c r="BF13" s="716">
        <v>1.2</v>
      </c>
      <c r="BG13" s="716">
        <v>0.35</v>
      </c>
      <c r="BH13" s="716">
        <v>0.44</v>
      </c>
      <c r="BI13" s="716">
        <v>0.28000000000000003</v>
      </c>
      <c r="BJ13" s="716">
        <v>1.58</v>
      </c>
      <c r="BK13" s="716">
        <v>0.32</v>
      </c>
      <c r="BL13" s="716">
        <v>1.28</v>
      </c>
      <c r="BM13" s="716">
        <v>0.41</v>
      </c>
      <c r="BN13" s="716">
        <v>1.23</v>
      </c>
      <c r="BO13" s="716">
        <v>0.37</v>
      </c>
    </row>
    <row r="14" spans="1:146" s="9" customFormat="1" ht="12.75">
      <c r="B14" s="15">
        <v>1985</v>
      </c>
      <c r="C14" s="125">
        <v>247055</v>
      </c>
      <c r="D14" s="125">
        <v>242030</v>
      </c>
      <c r="E14" s="125">
        <v>55605</v>
      </c>
      <c r="F14" s="125">
        <v>30920</v>
      </c>
      <c r="G14" s="833">
        <v>16555</v>
      </c>
      <c r="H14" s="836">
        <v>19930</v>
      </c>
      <c r="I14" s="125">
        <v>6325</v>
      </c>
      <c r="J14" s="125">
        <v>1660</v>
      </c>
      <c r="K14" s="125">
        <v>1440</v>
      </c>
      <c r="L14" s="125">
        <v>520</v>
      </c>
      <c r="M14" s="855">
        <v>9134</v>
      </c>
      <c r="N14" s="851">
        <v>8968</v>
      </c>
      <c r="O14" s="851">
        <v>8944</v>
      </c>
      <c r="P14" s="851">
        <v>7635</v>
      </c>
      <c r="Q14" s="851">
        <v>9166</v>
      </c>
      <c r="R14" s="851">
        <v>7046</v>
      </c>
      <c r="S14" s="851">
        <v>7841</v>
      </c>
      <c r="T14" s="851">
        <v>6889</v>
      </c>
      <c r="U14" s="851">
        <v>9760</v>
      </c>
      <c r="V14" s="851">
        <v>8451</v>
      </c>
      <c r="W14" s="851">
        <v>9426</v>
      </c>
      <c r="X14" s="851">
        <v>7686</v>
      </c>
      <c r="Y14" s="851">
        <v>10982</v>
      </c>
      <c r="Z14" s="851">
        <v>9431</v>
      </c>
      <c r="AA14" s="851">
        <v>10272</v>
      </c>
      <c r="AB14" s="851">
        <v>7772</v>
      </c>
      <c r="AC14" s="851">
        <v>12080</v>
      </c>
      <c r="AD14" s="851">
        <v>11386</v>
      </c>
      <c r="AE14" s="850">
        <v>7471</v>
      </c>
      <c r="AF14" s="856">
        <v>6534</v>
      </c>
      <c r="AG14" s="850">
        <f>AL14*M14+AM14*(N14+O14)/2+AN14*P14</f>
        <v>8364.584473995892</v>
      </c>
      <c r="AH14" s="850">
        <f>AL14*Q14+AM14*(R14+S14)/2+AN14*T14</f>
        <v>7539.6969535689122</v>
      </c>
      <c r="AI14" s="850">
        <f>AL14*U14+AM14*(V14+W14)/2+AN14*X14</f>
        <v>8514.1970959955615</v>
      </c>
      <c r="AJ14" s="850">
        <f>AL14*Y14+AM14*(Z14+AA14)/2+AN14*AB14</f>
        <v>9098.2452062187967</v>
      </c>
      <c r="AK14" s="850">
        <f>AL14*AC14+AM14*(AD14+AE14)/2+AN14*AF14</f>
        <v>8605.3570186354027</v>
      </c>
      <c r="AL14" s="826">
        <f t="shared" ref="AL14:AL25" si="0">AL15</f>
        <v>0.20903734576693003</v>
      </c>
      <c r="AM14" s="860">
        <f t="shared" ref="AM14:AM25" si="1">AM15</f>
        <v>0.31509272724546861</v>
      </c>
      <c r="AN14" s="860">
        <f t="shared" ref="AN14:AN25" si="2">AN15</f>
        <v>0.47586992698760139</v>
      </c>
      <c r="AO14" s="867"/>
      <c r="AP14" s="867"/>
      <c r="AQ14" s="868"/>
      <c r="AR14" s="873">
        <v>30</v>
      </c>
      <c r="AS14" s="874">
        <f>(40+70)/2</f>
        <v>55</v>
      </c>
      <c r="AT14" s="874">
        <f>(70+100)/2</f>
        <v>85</v>
      </c>
      <c r="AU14" s="874">
        <f>(100+160)/2</f>
        <v>130</v>
      </c>
      <c r="AV14" s="875">
        <f>(160+220)/2</f>
        <v>190</v>
      </c>
      <c r="AW14" s="10">
        <f>AR14*AG14*C14/1000/1000</f>
        <v>61995.372516691648</v>
      </c>
      <c r="AX14" s="10">
        <f>AS14*AH14*D14/1000/1000</f>
        <v>100365.80695197561</v>
      </c>
      <c r="AY14" s="10">
        <f>AT14*AI14*E14/1000/1000</f>
        <v>40241.714009440824</v>
      </c>
      <c r="AZ14" s="10">
        <f>AU14*AJ14*F14/1000/1000</f>
        <v>36571.306430917073</v>
      </c>
      <c r="BA14" s="10">
        <f>AV14*AK14*G14/1000/1000</f>
        <v>27067.72023426673</v>
      </c>
      <c r="BB14" s="34">
        <f t="shared" ref="BB14:BB48" si="3">SUM(AW14:BA14)</f>
        <v>266241.92014329188</v>
      </c>
      <c r="BC14" s="877">
        <f t="shared" ref="BC14:BC23" si="4">BC15/1.1</f>
        <v>115812.2972300385</v>
      </c>
      <c r="BD14" s="161">
        <f>(BB14-BC14)/'AX1'!N34/1000</f>
        <v>0.68309129592844253</v>
      </c>
      <c r="BE14" s="161"/>
      <c r="BF14" s="716">
        <v>1.24</v>
      </c>
      <c r="BG14" s="716">
        <v>0.36</v>
      </c>
      <c r="BH14" s="716">
        <v>0.45</v>
      </c>
      <c r="BI14" s="716">
        <v>0.28999999999999998</v>
      </c>
      <c r="BJ14" s="716">
        <v>1.53</v>
      </c>
      <c r="BK14" s="716">
        <v>0.32</v>
      </c>
      <c r="BL14" s="716">
        <v>1.26</v>
      </c>
      <c r="BM14" s="716">
        <v>0.4</v>
      </c>
      <c r="BN14" s="716">
        <v>1.29</v>
      </c>
      <c r="BO14" s="716">
        <v>0.38</v>
      </c>
    </row>
    <row r="15" spans="1:146" s="9" customFormat="1" ht="12.75">
      <c r="B15" s="15">
        <v>1986</v>
      </c>
      <c r="C15" s="125">
        <v>263945</v>
      </c>
      <c r="D15" s="125">
        <v>253355</v>
      </c>
      <c r="E15" s="125">
        <v>57965</v>
      </c>
      <c r="F15" s="125">
        <v>32435</v>
      </c>
      <c r="G15" s="833">
        <v>17375</v>
      </c>
      <c r="H15" s="836">
        <v>17185</v>
      </c>
      <c r="I15" s="125">
        <v>11875</v>
      </c>
      <c r="J15" s="125">
        <v>2495</v>
      </c>
      <c r="K15" s="125">
        <v>1645</v>
      </c>
      <c r="L15" s="125">
        <v>905</v>
      </c>
      <c r="M15" s="855">
        <v>10975</v>
      </c>
      <c r="N15" s="851">
        <v>10837</v>
      </c>
      <c r="O15" s="851">
        <v>10896</v>
      </c>
      <c r="P15" s="851">
        <v>9454</v>
      </c>
      <c r="Q15" s="851">
        <v>10868</v>
      </c>
      <c r="R15" s="851">
        <v>8187</v>
      </c>
      <c r="S15" s="851">
        <v>9573</v>
      </c>
      <c r="T15" s="851">
        <v>8663</v>
      </c>
      <c r="U15" s="851">
        <v>11631</v>
      </c>
      <c r="V15" s="851">
        <v>10182</v>
      </c>
      <c r="W15" s="851">
        <v>11212</v>
      </c>
      <c r="X15" s="851">
        <v>10092</v>
      </c>
      <c r="Y15" s="851">
        <v>12209</v>
      </c>
      <c r="Z15" s="851">
        <v>11373</v>
      </c>
      <c r="AA15" s="851">
        <v>12029</v>
      </c>
      <c r="AB15" s="851">
        <v>9741</v>
      </c>
      <c r="AC15" s="851">
        <v>13708</v>
      </c>
      <c r="AD15" s="851">
        <v>10369</v>
      </c>
      <c r="AE15" s="850">
        <v>13194</v>
      </c>
      <c r="AF15" s="856">
        <v>8284</v>
      </c>
      <c r="AG15" s="850">
        <f t="shared" ref="AG15:AG25" si="5">AL15*M15+AM15*(N15+O15)/2+AN15*P15</f>
        <v>10217.014280145726</v>
      </c>
      <c r="AH15" s="850">
        <f t="shared" ref="AH15:AH25" si="6">AL15*Q15+AM15*(R15+S15)/2+AN15*T15</f>
        <v>9192.302469228347</v>
      </c>
      <c r="AI15" s="850">
        <f t="shared" ref="AI15:AI25" si="7">AL15*U15+AM15*(V15+W15)/2+AN15*X15</f>
        <v>10604.339575118815</v>
      </c>
      <c r="AJ15" s="850">
        <f t="shared" ref="AJ15:AJ25" si="8">AL15*Y15+AM15*(Z15+AA15)/2+AN15*AB15</f>
        <v>10874.485914753903</v>
      </c>
      <c r="AK15" s="850">
        <f t="shared" ref="AK15:AK25" si="9">AL15*AC15+AM15*(AD15+AE15)/2+AN15*AF15</f>
        <v>10519.855376980855</v>
      </c>
      <c r="AL15" s="826">
        <f t="shared" si="0"/>
        <v>0.20903734576693003</v>
      </c>
      <c r="AM15" s="860">
        <f t="shared" si="1"/>
        <v>0.31509272724546861</v>
      </c>
      <c r="AN15" s="860">
        <f t="shared" si="2"/>
        <v>0.47586992698760139</v>
      </c>
      <c r="AO15" s="867"/>
      <c r="AP15" s="867"/>
      <c r="AQ15" s="868"/>
      <c r="AR15" s="873">
        <v>31</v>
      </c>
      <c r="AS15" s="874">
        <f t="shared" ref="AS15:AS48" si="10">(40+70)/2</f>
        <v>55</v>
      </c>
      <c r="AT15" s="874">
        <f t="shared" ref="AT15:AT48" si="11">(70+100)/2</f>
        <v>85</v>
      </c>
      <c r="AU15" s="874">
        <f t="shared" ref="AU15:AU48" si="12">(100+160)/2</f>
        <v>130</v>
      </c>
      <c r="AV15" s="875">
        <f t="shared" ref="AV15:AV48" si="13">(160+220)/2</f>
        <v>190</v>
      </c>
      <c r="AW15" s="10">
        <f t="shared" ref="AW15:AW33" si="14">AR15*AG15*C15/1000/1000</f>
        <v>83598.624859364951</v>
      </c>
      <c r="AX15" s="10">
        <f t="shared" ref="AX15:AX34" si="15">AS15*AH15*D15/1000/1000</f>
        <v>128090.36856502412</v>
      </c>
      <c r="AY15" s="10">
        <f t="shared" ref="AY15:AY34" si="16">AT15*AI15*E15/1000/1000</f>
        <v>52247.846195099781</v>
      </c>
      <c r="AZ15" s="10">
        <f t="shared" ref="AZ15:AZ34" si="17">AU15*AJ15*F15/1000/1000</f>
        <v>45852.813583855568</v>
      </c>
      <c r="BA15" s="10">
        <f t="shared" ref="BA15:BA34" si="18">AV15*AK15*G15/1000/1000</f>
        <v>34728.672563258049</v>
      </c>
      <c r="BB15" s="34">
        <f t="shared" si="3"/>
        <v>344518.32576660247</v>
      </c>
      <c r="BC15" s="877">
        <f t="shared" si="4"/>
        <v>127393.52695304235</v>
      </c>
      <c r="BD15" s="161">
        <f>(BB15-BC15)/'AX1'!N35/1000</f>
        <v>0.83878730764151033</v>
      </c>
      <c r="BE15" s="161"/>
      <c r="BF15" s="716">
        <v>1.29</v>
      </c>
      <c r="BG15" s="716">
        <v>0.36</v>
      </c>
      <c r="BH15" s="716">
        <v>0.51</v>
      </c>
      <c r="BI15" s="716">
        <v>0.31</v>
      </c>
      <c r="BJ15" s="716">
        <v>1.7</v>
      </c>
      <c r="BK15" s="716">
        <v>0.32</v>
      </c>
      <c r="BL15" s="716">
        <v>1.26</v>
      </c>
      <c r="BM15" s="716">
        <v>0.4</v>
      </c>
      <c r="BN15" s="716">
        <v>1.38</v>
      </c>
      <c r="BO15" s="716">
        <v>0.38</v>
      </c>
    </row>
    <row r="16" spans="1:146" s="9" customFormat="1" ht="12.75">
      <c r="B16" s="15">
        <v>1987</v>
      </c>
      <c r="C16" s="125">
        <v>274725</v>
      </c>
      <c r="D16" s="125">
        <v>270935</v>
      </c>
      <c r="E16" s="125">
        <v>60700</v>
      </c>
      <c r="F16" s="125">
        <v>33650</v>
      </c>
      <c r="G16" s="833">
        <v>17835</v>
      </c>
      <c r="H16" s="836">
        <v>10990</v>
      </c>
      <c r="I16" s="125">
        <v>18230</v>
      </c>
      <c r="J16" s="125">
        <v>3140</v>
      </c>
      <c r="K16" s="125">
        <v>1465</v>
      </c>
      <c r="L16" s="125">
        <v>550</v>
      </c>
      <c r="M16" s="855">
        <v>13940</v>
      </c>
      <c r="N16" s="851">
        <v>13852</v>
      </c>
      <c r="O16" s="851">
        <v>13641</v>
      </c>
      <c r="P16" s="851">
        <v>12112</v>
      </c>
      <c r="Q16" s="851">
        <v>13911</v>
      </c>
      <c r="R16" s="851">
        <v>10906</v>
      </c>
      <c r="S16" s="851">
        <v>11890</v>
      </c>
      <c r="T16" s="851">
        <v>11472</v>
      </c>
      <c r="U16" s="851">
        <v>14714</v>
      </c>
      <c r="V16" s="851">
        <v>13107</v>
      </c>
      <c r="W16" s="851">
        <v>13856</v>
      </c>
      <c r="X16" s="851">
        <v>12315</v>
      </c>
      <c r="Y16" s="851">
        <v>15655</v>
      </c>
      <c r="Z16" s="851">
        <v>13646</v>
      </c>
      <c r="AA16" s="851">
        <v>15338</v>
      </c>
      <c r="AB16" s="851">
        <v>12147</v>
      </c>
      <c r="AC16" s="851">
        <v>17163</v>
      </c>
      <c r="AD16" s="851">
        <v>17628</v>
      </c>
      <c r="AE16" s="850">
        <v>17004</v>
      </c>
      <c r="AF16" s="856">
        <v>11124</v>
      </c>
      <c r="AG16" s="850">
        <f t="shared" si="5"/>
        <v>13009.139330744667</v>
      </c>
      <c r="AH16" s="850">
        <f t="shared" si="6"/>
        <v>11958.52522450938</v>
      </c>
      <c r="AI16" s="850">
        <f t="shared" si="7"/>
        <v>13184.036258826703</v>
      </c>
      <c r="AJ16" s="850">
        <f t="shared" si="8"/>
        <v>13619.195454341014</v>
      </c>
      <c r="AK16" s="850">
        <f t="shared" si="9"/>
        <v>14337.430698190432</v>
      </c>
      <c r="AL16" s="826">
        <f t="shared" si="0"/>
        <v>0.20903734576693003</v>
      </c>
      <c r="AM16" s="860">
        <f t="shared" si="1"/>
        <v>0.31509272724546861</v>
      </c>
      <c r="AN16" s="860">
        <f t="shared" si="2"/>
        <v>0.47586992698760139</v>
      </c>
      <c r="AO16" s="867"/>
      <c r="AP16" s="867"/>
      <c r="AQ16" s="868"/>
      <c r="AR16" s="873">
        <v>32</v>
      </c>
      <c r="AS16" s="874">
        <f t="shared" si="10"/>
        <v>55</v>
      </c>
      <c r="AT16" s="874">
        <f t="shared" si="11"/>
        <v>85</v>
      </c>
      <c r="AU16" s="874">
        <f t="shared" si="12"/>
        <v>130</v>
      </c>
      <c r="AV16" s="875">
        <f t="shared" si="13"/>
        <v>190</v>
      </c>
      <c r="AW16" s="10">
        <f t="shared" si="14"/>
        <v>114365.94568444251</v>
      </c>
      <c r="AX16" s="10">
        <f t="shared" si="15"/>
        <v>178199.0667436347</v>
      </c>
      <c r="AY16" s="10">
        <f t="shared" si="16"/>
        <v>68023.035077416382</v>
      </c>
      <c r="AZ16" s="10">
        <f t="shared" si="17"/>
        <v>59577.170515014761</v>
      </c>
      <c r="BA16" s="10">
        <f t="shared" si="18"/>
        <v>48584.534535423001</v>
      </c>
      <c r="BB16" s="34">
        <f t="shared" si="3"/>
        <v>468749.75255593139</v>
      </c>
      <c r="BC16" s="877">
        <f t="shared" si="4"/>
        <v>140132.8796483466</v>
      </c>
      <c r="BD16" s="161">
        <f>(BB16-BC16)/'AX1'!N36/1000</f>
        <v>1.0144293642544371</v>
      </c>
      <c r="BE16" s="161"/>
      <c r="BF16" s="716">
        <v>1.29</v>
      </c>
      <c r="BG16" s="716">
        <v>0.35</v>
      </c>
      <c r="BH16" s="716">
        <v>0.51</v>
      </c>
      <c r="BI16" s="716">
        <v>0.3</v>
      </c>
      <c r="BJ16" s="716">
        <v>2.11</v>
      </c>
      <c r="BK16" s="716">
        <v>0.35</v>
      </c>
      <c r="BL16" s="716">
        <v>1.29</v>
      </c>
      <c r="BM16" s="716">
        <v>0.4</v>
      </c>
      <c r="BN16" s="716">
        <v>1.5</v>
      </c>
      <c r="BO16" s="716">
        <v>0.4</v>
      </c>
    </row>
    <row r="17" spans="2:69" s="9" customFormat="1" ht="12.75">
      <c r="B17" s="15">
        <v>1988</v>
      </c>
      <c r="C17" s="125">
        <v>285635</v>
      </c>
      <c r="D17" s="125">
        <v>287215</v>
      </c>
      <c r="E17" s="125">
        <v>64240</v>
      </c>
      <c r="F17" s="125">
        <v>35995</v>
      </c>
      <c r="G17" s="833">
        <v>18740</v>
      </c>
      <c r="H17" s="836">
        <v>10880</v>
      </c>
      <c r="I17" s="125">
        <v>16630</v>
      </c>
      <c r="J17" s="125">
        <v>3805</v>
      </c>
      <c r="K17" s="125">
        <v>2375</v>
      </c>
      <c r="L17" s="125">
        <v>780</v>
      </c>
      <c r="M17" s="855">
        <v>18076</v>
      </c>
      <c r="N17" s="851">
        <v>17698</v>
      </c>
      <c r="O17" s="851">
        <v>16729</v>
      </c>
      <c r="P17" s="851">
        <v>14379</v>
      </c>
      <c r="Q17" s="851">
        <v>18343</v>
      </c>
      <c r="R17" s="851">
        <v>14670</v>
      </c>
      <c r="S17" s="851">
        <v>15149</v>
      </c>
      <c r="T17" s="851">
        <v>14102</v>
      </c>
      <c r="U17" s="851">
        <v>18949</v>
      </c>
      <c r="V17" s="851">
        <v>17278</v>
      </c>
      <c r="W17" s="851">
        <v>17286</v>
      </c>
      <c r="X17" s="851">
        <v>14150</v>
      </c>
      <c r="Y17" s="851">
        <v>20089</v>
      </c>
      <c r="Z17" s="851">
        <v>17054</v>
      </c>
      <c r="AA17" s="851">
        <v>18914</v>
      </c>
      <c r="AB17" s="851">
        <v>14790</v>
      </c>
      <c r="AC17" s="851">
        <v>21751</v>
      </c>
      <c r="AD17" s="851">
        <v>20823</v>
      </c>
      <c r="AE17" s="850">
        <v>21226</v>
      </c>
      <c r="AF17" s="856">
        <v>12827</v>
      </c>
      <c r="AG17" s="850">
        <f t="shared" si="5"/>
        <v>16044.941402677621</v>
      </c>
      <c r="AH17" s="850">
        <f t="shared" si="6"/>
        <v>15242.964760648267</v>
      </c>
      <c r="AI17" s="850">
        <f t="shared" si="7"/>
        <v>16140.040644068305</v>
      </c>
      <c r="AJ17" s="850">
        <f t="shared" si="8"/>
        <v>16904.095066040991</v>
      </c>
      <c r="AK17" s="850">
        <f t="shared" si="9"/>
        <v>17275.421905218813</v>
      </c>
      <c r="AL17" s="826">
        <f t="shared" si="0"/>
        <v>0.20903734576693003</v>
      </c>
      <c r="AM17" s="860">
        <f t="shared" si="1"/>
        <v>0.31509272724546861</v>
      </c>
      <c r="AN17" s="860">
        <f t="shared" si="2"/>
        <v>0.47586992698760139</v>
      </c>
      <c r="AO17" s="867"/>
      <c r="AP17" s="867"/>
      <c r="AQ17" s="868"/>
      <c r="AR17" s="873">
        <v>33</v>
      </c>
      <c r="AS17" s="874">
        <f t="shared" si="10"/>
        <v>55</v>
      </c>
      <c r="AT17" s="874">
        <f t="shared" si="11"/>
        <v>85</v>
      </c>
      <c r="AU17" s="874">
        <f t="shared" si="12"/>
        <v>130</v>
      </c>
      <c r="AV17" s="875">
        <f t="shared" si="13"/>
        <v>190</v>
      </c>
      <c r="AW17" s="10">
        <f t="shared" si="14"/>
        <v>151238.89563927616</v>
      </c>
      <c r="AX17" s="10">
        <f t="shared" si="15"/>
        <v>240790.44680512755</v>
      </c>
      <c r="AY17" s="10">
        <f t="shared" si="16"/>
        <v>88131.077932870583</v>
      </c>
      <c r="AZ17" s="10">
        <f t="shared" si="17"/>
        <v>79100.177247278916</v>
      </c>
      <c r="BA17" s="10">
        <f t="shared" si="18"/>
        <v>61510.8672357221</v>
      </c>
      <c r="BB17" s="34">
        <f t="shared" si="3"/>
        <v>620771.46486027527</v>
      </c>
      <c r="BC17" s="877">
        <f t="shared" si="4"/>
        <v>154146.16761318126</v>
      </c>
      <c r="BD17" s="161">
        <f>(BB17-BC17)/'AX1'!N37/1000</f>
        <v>1.2039624053612967</v>
      </c>
      <c r="BE17" s="161"/>
      <c r="BF17" s="716">
        <v>1.26</v>
      </c>
      <c r="BG17" s="716">
        <v>0.35</v>
      </c>
      <c r="BH17" s="716">
        <v>0.49</v>
      </c>
      <c r="BI17" s="716">
        <v>0.3</v>
      </c>
      <c r="BJ17" s="716">
        <v>2.33</v>
      </c>
      <c r="BK17" s="716">
        <v>0.36</v>
      </c>
      <c r="BL17" s="716">
        <v>1.3</v>
      </c>
      <c r="BM17" s="716">
        <v>0.4</v>
      </c>
      <c r="BN17" s="716">
        <v>1.77</v>
      </c>
      <c r="BO17" s="716">
        <v>0.44</v>
      </c>
    </row>
    <row r="18" spans="2:69" s="9" customFormat="1" ht="12.75">
      <c r="B18" s="15">
        <v>1989</v>
      </c>
      <c r="C18" s="125">
        <v>291975</v>
      </c>
      <c r="D18" s="125">
        <v>308350</v>
      </c>
      <c r="E18" s="125">
        <v>68265</v>
      </c>
      <c r="F18" s="125">
        <v>37510</v>
      </c>
      <c r="G18" s="833">
        <v>19540</v>
      </c>
      <c r="H18" s="836">
        <v>6930</v>
      </c>
      <c r="I18" s="125">
        <v>22315</v>
      </c>
      <c r="J18" s="125">
        <v>4565</v>
      </c>
      <c r="K18" s="125">
        <v>1790</v>
      </c>
      <c r="L18" s="125">
        <v>885</v>
      </c>
      <c r="M18" s="855">
        <v>20775</v>
      </c>
      <c r="N18" s="851">
        <v>19590</v>
      </c>
      <c r="O18" s="851">
        <v>18497</v>
      </c>
      <c r="P18" s="851">
        <v>15909</v>
      </c>
      <c r="Q18" s="851">
        <v>20976</v>
      </c>
      <c r="R18" s="851">
        <v>16347</v>
      </c>
      <c r="S18" s="851">
        <v>16435</v>
      </c>
      <c r="T18" s="851">
        <v>15650</v>
      </c>
      <c r="U18" s="851">
        <v>20698</v>
      </c>
      <c r="V18" s="851">
        <v>19079</v>
      </c>
      <c r="W18" s="851">
        <v>19420</v>
      </c>
      <c r="X18" s="851">
        <v>12666</v>
      </c>
      <c r="Y18" s="851">
        <v>20514</v>
      </c>
      <c r="Z18" s="851">
        <v>18087</v>
      </c>
      <c r="AA18" s="851">
        <v>20118</v>
      </c>
      <c r="AB18" s="851">
        <v>15498</v>
      </c>
      <c r="AC18" s="851">
        <v>20174</v>
      </c>
      <c r="AD18" s="851">
        <v>24425</v>
      </c>
      <c r="AE18" s="850">
        <v>19459</v>
      </c>
      <c r="AF18" s="856">
        <v>15038</v>
      </c>
      <c r="AG18" s="850">
        <f t="shared" si="5"/>
        <v>17913.833878052807</v>
      </c>
      <c r="AH18" s="850">
        <f t="shared" si="6"/>
        <v>16996.81661444356</v>
      </c>
      <c r="AI18" s="850">
        <f t="shared" si="7"/>
        <v>16419.400931020526</v>
      </c>
      <c r="AJ18" s="850">
        <f t="shared" si="8"/>
        <v>17682.28306172321</v>
      </c>
      <c r="AK18" s="850">
        <f t="shared" si="9"/>
        <v>18287.015996761671</v>
      </c>
      <c r="AL18" s="826">
        <f t="shared" si="0"/>
        <v>0.20903734576693003</v>
      </c>
      <c r="AM18" s="860">
        <f t="shared" si="1"/>
        <v>0.31509272724546861</v>
      </c>
      <c r="AN18" s="860">
        <f t="shared" si="2"/>
        <v>0.47586992698760139</v>
      </c>
      <c r="AO18" s="867"/>
      <c r="AP18" s="867"/>
      <c r="AQ18" s="868"/>
      <c r="AR18" s="873">
        <v>34</v>
      </c>
      <c r="AS18" s="874">
        <f t="shared" si="10"/>
        <v>55</v>
      </c>
      <c r="AT18" s="874">
        <f t="shared" si="11"/>
        <v>85</v>
      </c>
      <c r="AU18" s="874">
        <f t="shared" si="12"/>
        <v>130</v>
      </c>
      <c r="AV18" s="875">
        <f t="shared" si="13"/>
        <v>190</v>
      </c>
      <c r="AW18" s="10">
        <f t="shared" si="14"/>
        <v>177833.31598251194</v>
      </c>
      <c r="AX18" s="10">
        <f t="shared" si="15"/>
        <v>288253.26216850197</v>
      </c>
      <c r="AY18" s="10">
        <f t="shared" si="16"/>
        <v>95273.984387269869</v>
      </c>
      <c r="AZ18" s="10">
        <f t="shared" si="17"/>
        <v>86224.116893880884</v>
      </c>
      <c r="BA18" s="10">
        <f t="shared" si="18"/>
        <v>67892.375589577394</v>
      </c>
      <c r="BB18" s="34">
        <f t="shared" si="3"/>
        <v>715477.05502174201</v>
      </c>
      <c r="BC18" s="877">
        <f t="shared" si="4"/>
        <v>169560.7843744994</v>
      </c>
      <c r="BD18" s="161">
        <f>(BB18-BC18)/'AX1'!N38/1000</f>
        <v>1.2474398213044138</v>
      </c>
      <c r="BE18" s="161"/>
      <c r="BF18" s="716">
        <v>1.26</v>
      </c>
      <c r="BG18" s="716">
        <v>0.34</v>
      </c>
      <c r="BH18" s="716">
        <v>0.53</v>
      </c>
      <c r="BI18" s="716">
        <v>0.3</v>
      </c>
      <c r="BJ18" s="716">
        <v>2.4500000000000002</v>
      </c>
      <c r="BK18" s="716">
        <v>0.35</v>
      </c>
      <c r="BL18" s="716">
        <v>1.33</v>
      </c>
      <c r="BM18" s="716">
        <v>0.39</v>
      </c>
      <c r="BN18" s="716">
        <v>1.94</v>
      </c>
      <c r="BO18" s="716">
        <v>0.45</v>
      </c>
    </row>
    <row r="19" spans="2:69" s="9" customFormat="1" ht="12.75">
      <c r="B19" s="15">
        <v>1990</v>
      </c>
      <c r="C19" s="125">
        <v>298450</v>
      </c>
      <c r="D19" s="125">
        <v>324440</v>
      </c>
      <c r="E19" s="125">
        <v>70670</v>
      </c>
      <c r="F19" s="125">
        <v>38710</v>
      </c>
      <c r="G19" s="833">
        <v>19900</v>
      </c>
      <c r="H19" s="836">
        <v>7200</v>
      </c>
      <c r="I19" s="125">
        <v>17525</v>
      </c>
      <c r="J19" s="125">
        <v>2695</v>
      </c>
      <c r="K19" s="125">
        <v>1425</v>
      </c>
      <c r="L19" s="125">
        <v>555</v>
      </c>
      <c r="M19" s="855">
        <v>27917</v>
      </c>
      <c r="N19" s="851">
        <v>25422</v>
      </c>
      <c r="O19" s="851">
        <v>24391</v>
      </c>
      <c r="P19" s="851">
        <v>23145</v>
      </c>
      <c r="Q19" s="851">
        <v>28755</v>
      </c>
      <c r="R19" s="851">
        <v>21926</v>
      </c>
      <c r="S19" s="851">
        <v>22818</v>
      </c>
      <c r="T19" s="851">
        <v>22454</v>
      </c>
      <c r="U19" s="851">
        <v>28505</v>
      </c>
      <c r="V19" s="851">
        <v>25486</v>
      </c>
      <c r="W19" s="851">
        <v>24902</v>
      </c>
      <c r="X19" s="851">
        <v>19100</v>
      </c>
      <c r="Y19" s="851">
        <v>27100</v>
      </c>
      <c r="Z19" s="851">
        <v>22185</v>
      </c>
      <c r="AA19" s="851">
        <v>26156</v>
      </c>
      <c r="AB19" s="851">
        <v>20863</v>
      </c>
      <c r="AC19" s="851">
        <v>25490</v>
      </c>
      <c r="AD19" s="851">
        <v>28536</v>
      </c>
      <c r="AE19" s="850">
        <v>24767</v>
      </c>
      <c r="AF19" s="856">
        <v>19910</v>
      </c>
      <c r="AG19" s="850">
        <f t="shared" si="5"/>
        <v>24697.562053042682</v>
      </c>
      <c r="AH19" s="850">
        <f t="shared" si="6"/>
        <v>23745.306712043301</v>
      </c>
      <c r="AI19" s="850">
        <f t="shared" si="7"/>
        <v>22986.171316771863</v>
      </c>
      <c r="AJ19" s="850">
        <f t="shared" si="8"/>
        <v>23208.935120912727</v>
      </c>
      <c r="AK19" s="850">
        <f t="shared" si="9"/>
        <v>23200.626010104796</v>
      </c>
      <c r="AL19" s="826">
        <f t="shared" si="0"/>
        <v>0.20903734576693003</v>
      </c>
      <c r="AM19" s="860">
        <f t="shared" si="1"/>
        <v>0.31509272724546861</v>
      </c>
      <c r="AN19" s="860">
        <f t="shared" si="2"/>
        <v>0.47586992698760139</v>
      </c>
      <c r="AO19" s="867"/>
      <c r="AP19" s="867"/>
      <c r="AQ19" s="868"/>
      <c r="AR19" s="873">
        <v>35</v>
      </c>
      <c r="AS19" s="874">
        <f t="shared" si="10"/>
        <v>55</v>
      </c>
      <c r="AT19" s="874">
        <f t="shared" si="11"/>
        <v>85</v>
      </c>
      <c r="AU19" s="874">
        <f t="shared" si="12"/>
        <v>130</v>
      </c>
      <c r="AV19" s="875">
        <f t="shared" si="13"/>
        <v>190</v>
      </c>
      <c r="AW19" s="10">
        <f t="shared" si="14"/>
        <v>257984.55881557064</v>
      </c>
      <c r="AX19" s="10">
        <f t="shared" si="15"/>
        <v>423716.00203104311</v>
      </c>
      <c r="AY19" s="10">
        <f t="shared" si="16"/>
        <v>138076.78179128273</v>
      </c>
      <c r="AZ19" s="10">
        <f t="shared" si="17"/>
        <v>116794.32420896912</v>
      </c>
      <c r="BA19" s="10">
        <f t="shared" si="18"/>
        <v>87721.566944206221</v>
      </c>
      <c r="BB19" s="34">
        <f t="shared" si="3"/>
        <v>1024293.2337910718</v>
      </c>
      <c r="BC19" s="877">
        <f t="shared" si="4"/>
        <v>186516.86281194937</v>
      </c>
      <c r="BD19" s="161">
        <f>(BB19-BC19)/'AX1'!N39/1000</f>
        <v>1.7084132338077069</v>
      </c>
      <c r="BE19" s="161"/>
      <c r="BF19" s="716">
        <v>1.23</v>
      </c>
      <c r="BG19" s="716">
        <v>0.33</v>
      </c>
      <c r="BH19" s="716">
        <v>0.57999999999999996</v>
      </c>
      <c r="BI19" s="716">
        <v>0.3</v>
      </c>
      <c r="BJ19" s="716">
        <v>2.54</v>
      </c>
      <c r="BK19" s="716">
        <v>0.36</v>
      </c>
      <c r="BL19" s="716">
        <v>1.37</v>
      </c>
      <c r="BM19" s="716">
        <v>0.4</v>
      </c>
      <c r="BN19" s="716">
        <v>1.81</v>
      </c>
      <c r="BO19" s="716">
        <v>0.42</v>
      </c>
      <c r="BP19" s="716"/>
      <c r="BQ19" s="716"/>
    </row>
    <row r="20" spans="2:69" s="9" customFormat="1" ht="12.75">
      <c r="B20" s="15">
        <v>1991</v>
      </c>
      <c r="C20" s="125">
        <v>304490</v>
      </c>
      <c r="D20" s="125">
        <v>342830</v>
      </c>
      <c r="E20" s="125">
        <v>75380</v>
      </c>
      <c r="F20" s="125">
        <v>39795</v>
      </c>
      <c r="G20" s="833">
        <v>20550</v>
      </c>
      <c r="H20" s="836">
        <v>4665</v>
      </c>
      <c r="I20" s="125">
        <v>23600</v>
      </c>
      <c r="J20" s="125">
        <v>3380</v>
      </c>
      <c r="K20" s="125">
        <v>1155</v>
      </c>
      <c r="L20" s="125">
        <v>580</v>
      </c>
      <c r="M20" s="855">
        <v>38930</v>
      </c>
      <c r="N20" s="851">
        <v>34552</v>
      </c>
      <c r="O20" s="851">
        <v>32696</v>
      </c>
      <c r="P20" s="851">
        <v>32881</v>
      </c>
      <c r="Q20" s="851">
        <v>41152</v>
      </c>
      <c r="R20" s="851">
        <v>30676</v>
      </c>
      <c r="S20" s="851">
        <v>30624</v>
      </c>
      <c r="T20" s="851">
        <v>32539</v>
      </c>
      <c r="U20" s="851">
        <v>44019</v>
      </c>
      <c r="V20" s="851">
        <v>35934</v>
      </c>
      <c r="W20" s="851">
        <v>36137</v>
      </c>
      <c r="X20" s="851">
        <v>30623</v>
      </c>
      <c r="Y20" s="851">
        <v>42941</v>
      </c>
      <c r="Z20" s="851">
        <v>33326</v>
      </c>
      <c r="AA20" s="851">
        <v>38485</v>
      </c>
      <c r="AB20" s="851">
        <v>34200</v>
      </c>
      <c r="AC20" s="851">
        <v>40902</v>
      </c>
      <c r="AD20" s="851">
        <v>41588</v>
      </c>
      <c r="AE20" s="850">
        <v>40137</v>
      </c>
      <c r="AF20" s="856">
        <v>30146</v>
      </c>
      <c r="AG20" s="850">
        <f t="shared" si="5"/>
        <v>34379.580800887547</v>
      </c>
      <c r="AH20" s="850">
        <f t="shared" si="6"/>
        <v>33744.228497323878</v>
      </c>
      <c r="AI20" s="850">
        <f t="shared" si="7"/>
        <v>35128.703670109899</v>
      </c>
      <c r="AJ20" s="850">
        <f t="shared" si="8"/>
        <v>36564.586085665884</v>
      </c>
      <c r="AK20" s="850">
        <f t="shared" si="9"/>
        <v>35771.096902595164</v>
      </c>
      <c r="AL20" s="826">
        <f t="shared" si="0"/>
        <v>0.20903734576693003</v>
      </c>
      <c r="AM20" s="860">
        <f t="shared" si="1"/>
        <v>0.31509272724546861</v>
      </c>
      <c r="AN20" s="860">
        <f t="shared" si="2"/>
        <v>0.47586992698760139</v>
      </c>
      <c r="AO20" s="867"/>
      <c r="AP20" s="867"/>
      <c r="AQ20" s="868"/>
      <c r="AR20" s="873">
        <v>36</v>
      </c>
      <c r="AS20" s="874">
        <f t="shared" si="10"/>
        <v>55</v>
      </c>
      <c r="AT20" s="874">
        <f t="shared" si="11"/>
        <v>85</v>
      </c>
      <c r="AU20" s="874">
        <f t="shared" si="12"/>
        <v>130</v>
      </c>
      <c r="AV20" s="875">
        <f t="shared" si="13"/>
        <v>190</v>
      </c>
      <c r="AW20" s="10">
        <f t="shared" si="14"/>
        <v>376856.58809024096</v>
      </c>
      <c r="AX20" s="10">
        <f t="shared" si="15"/>
        <v>636269.36206556496</v>
      </c>
      <c r="AY20" s="10">
        <f t="shared" si="16"/>
        <v>225080.14302549514</v>
      </c>
      <c r="AZ20" s="10">
        <f t="shared" si="17"/>
        <v>189161.4014262796</v>
      </c>
      <c r="BA20" s="10">
        <f t="shared" si="18"/>
        <v>139668.2478561828</v>
      </c>
      <c r="BB20" s="34">
        <f t="shared" si="3"/>
        <v>1567035.7424637636</v>
      </c>
      <c r="BC20" s="877">
        <f t="shared" si="4"/>
        <v>205168.54909314431</v>
      </c>
      <c r="BD20" s="161">
        <f>(BB20-BC20)/'AX1'!N40/1000</f>
        <v>2.4602072901764829</v>
      </c>
      <c r="BE20" s="161"/>
      <c r="BF20" s="716">
        <v>1.19</v>
      </c>
      <c r="BG20" s="716">
        <v>0.31</v>
      </c>
      <c r="BH20" s="716">
        <v>0.61</v>
      </c>
      <c r="BI20" s="716">
        <v>0.32</v>
      </c>
      <c r="BJ20" s="716">
        <v>2.38</v>
      </c>
      <c r="BK20" s="716">
        <v>0.36</v>
      </c>
      <c r="BL20" s="716">
        <v>1.39</v>
      </c>
      <c r="BM20" s="716">
        <v>0.41</v>
      </c>
      <c r="BN20" s="716">
        <v>1.64</v>
      </c>
      <c r="BO20" s="716">
        <v>0.39</v>
      </c>
    </row>
    <row r="21" spans="2:69" s="9" customFormat="1" ht="12.75">
      <c r="B21" s="15">
        <v>1992</v>
      </c>
      <c r="C21" s="125">
        <v>312293</v>
      </c>
      <c r="D21" s="125">
        <v>354346</v>
      </c>
      <c r="E21" s="125">
        <v>77419</v>
      </c>
      <c r="F21" s="125">
        <v>40339</v>
      </c>
      <c r="G21" s="833">
        <v>20676</v>
      </c>
      <c r="H21" s="836">
        <v>8557</v>
      </c>
      <c r="I21" s="125">
        <v>14267</v>
      </c>
      <c r="J21" s="125">
        <v>2318</v>
      </c>
      <c r="K21" s="125">
        <v>713</v>
      </c>
      <c r="L21" s="125">
        <v>367</v>
      </c>
      <c r="M21" s="855">
        <v>42905</v>
      </c>
      <c r="N21" s="851">
        <v>37770</v>
      </c>
      <c r="O21" s="851">
        <v>36605</v>
      </c>
      <c r="P21" s="851">
        <v>36019</v>
      </c>
      <c r="Q21" s="851">
        <v>48154</v>
      </c>
      <c r="R21" s="851">
        <v>36473</v>
      </c>
      <c r="S21" s="851">
        <v>39405</v>
      </c>
      <c r="T21" s="851">
        <v>37002</v>
      </c>
      <c r="U21" s="851">
        <v>52781</v>
      </c>
      <c r="V21" s="851">
        <v>44805</v>
      </c>
      <c r="W21" s="851">
        <v>43343</v>
      </c>
      <c r="X21" s="851">
        <v>34669</v>
      </c>
      <c r="Y21" s="851">
        <v>53242</v>
      </c>
      <c r="Z21" s="851">
        <v>39920</v>
      </c>
      <c r="AA21" s="851">
        <v>45297</v>
      </c>
      <c r="AB21" s="851">
        <v>41822</v>
      </c>
      <c r="AC21" s="851">
        <v>52759</v>
      </c>
      <c r="AD21" s="851">
        <v>49305</v>
      </c>
      <c r="AE21" s="850">
        <v>50831</v>
      </c>
      <c r="AF21" s="856">
        <v>40966</v>
      </c>
      <c r="AG21" s="850">
        <f t="shared" si="5"/>
        <v>37826.617014737414</v>
      </c>
      <c r="AH21" s="850">
        <f t="shared" si="6"/>
        <v>39628.426365421808</v>
      </c>
      <c r="AI21" s="850">
        <f t="shared" si="7"/>
        <v>41418.531506274274</v>
      </c>
      <c r="AJ21" s="850">
        <f t="shared" si="8"/>
        <v>44457.026918636904</v>
      </c>
      <c r="AK21" s="850">
        <f t="shared" si="9"/>
        <v>46299.151422017661</v>
      </c>
      <c r="AL21" s="826">
        <f t="shared" si="0"/>
        <v>0.20903734576693003</v>
      </c>
      <c r="AM21" s="860">
        <f t="shared" si="1"/>
        <v>0.31509272724546861</v>
      </c>
      <c r="AN21" s="860">
        <f t="shared" si="2"/>
        <v>0.47586992698760139</v>
      </c>
      <c r="AO21" s="867"/>
      <c r="AP21" s="867"/>
      <c r="AQ21" s="868"/>
      <c r="AR21" s="873">
        <v>37</v>
      </c>
      <c r="AS21" s="874">
        <f t="shared" si="10"/>
        <v>55</v>
      </c>
      <c r="AT21" s="874">
        <f t="shared" si="11"/>
        <v>85</v>
      </c>
      <c r="AU21" s="874">
        <f t="shared" si="12"/>
        <v>130</v>
      </c>
      <c r="AV21" s="875">
        <f t="shared" si="13"/>
        <v>190</v>
      </c>
      <c r="AW21" s="10">
        <f t="shared" si="14"/>
        <v>437080.54517318547</v>
      </c>
      <c r="AX21" s="10">
        <f t="shared" si="15"/>
        <v>772319.59028849658</v>
      </c>
      <c r="AY21" s="10">
        <f t="shared" si="16"/>
        <v>272559.40970816108</v>
      </c>
      <c r="AZ21" s="10">
        <f t="shared" si="17"/>
        <v>233135.76115321624</v>
      </c>
      <c r="BA21" s="10">
        <f t="shared" si="18"/>
        <v>181883.43841231108</v>
      </c>
      <c r="BB21" s="34">
        <f t="shared" si="3"/>
        <v>1896978.7447353704</v>
      </c>
      <c r="BC21" s="877">
        <f t="shared" si="4"/>
        <v>225685.40400245876</v>
      </c>
      <c r="BD21" s="161">
        <f>(BB21-BC21)/'AX1'!N41/1000</f>
        <v>2.6053042090201988</v>
      </c>
      <c r="BE21" s="161"/>
      <c r="BF21" s="716">
        <v>1.1299999999999999</v>
      </c>
      <c r="BG21" s="716">
        <v>0.3</v>
      </c>
      <c r="BH21" s="716">
        <v>0.66</v>
      </c>
      <c r="BI21" s="716">
        <v>0.32</v>
      </c>
      <c r="BJ21" s="716">
        <v>2.13</v>
      </c>
      <c r="BK21" s="716">
        <v>0.34</v>
      </c>
      <c r="BL21" s="716">
        <v>1.36</v>
      </c>
      <c r="BM21" s="716">
        <v>0.4</v>
      </c>
      <c r="BN21" s="716">
        <v>1.46</v>
      </c>
      <c r="BO21" s="716">
        <v>0.36</v>
      </c>
    </row>
    <row r="22" spans="2:69" s="9" customFormat="1" ht="12.75">
      <c r="B22" s="15">
        <v>1993</v>
      </c>
      <c r="C22" s="125">
        <v>320003</v>
      </c>
      <c r="D22" s="125">
        <v>368856</v>
      </c>
      <c r="E22" s="125">
        <v>80073</v>
      </c>
      <c r="F22" s="125">
        <v>40824</v>
      </c>
      <c r="G22" s="833">
        <v>20811</v>
      </c>
      <c r="H22" s="836">
        <v>8056</v>
      </c>
      <c r="I22" s="125">
        <v>15663</v>
      </c>
      <c r="J22" s="125">
        <v>2975</v>
      </c>
      <c r="K22" s="125">
        <v>737</v>
      </c>
      <c r="L22" s="125">
        <v>242</v>
      </c>
      <c r="M22" s="855">
        <v>52209</v>
      </c>
      <c r="N22" s="851">
        <v>42682</v>
      </c>
      <c r="O22" s="851">
        <v>41775</v>
      </c>
      <c r="P22" s="851">
        <v>41203</v>
      </c>
      <c r="Q22" s="851">
        <v>62044</v>
      </c>
      <c r="R22" s="851">
        <v>42067</v>
      </c>
      <c r="S22" s="851">
        <v>48388</v>
      </c>
      <c r="T22" s="851">
        <v>42189</v>
      </c>
      <c r="U22" s="851">
        <v>72028</v>
      </c>
      <c r="V22" s="851">
        <v>54335</v>
      </c>
      <c r="W22" s="851">
        <v>51973</v>
      </c>
      <c r="X22" s="851">
        <v>42908</v>
      </c>
      <c r="Y22" s="851">
        <v>74627</v>
      </c>
      <c r="Z22" s="851">
        <v>47392</v>
      </c>
      <c r="AA22" s="851">
        <v>61870</v>
      </c>
      <c r="AB22" s="851">
        <v>53548</v>
      </c>
      <c r="AC22" s="851">
        <v>82911</v>
      </c>
      <c r="AD22" s="851">
        <v>63661</v>
      </c>
      <c r="AE22" s="850">
        <v>69898</v>
      </c>
      <c r="AF22" s="856">
        <v>59010</v>
      </c>
      <c r="AG22" s="850">
        <f t="shared" si="5"/>
        <v>43826.792619301064</v>
      </c>
      <c r="AH22" s="850">
        <f t="shared" si="6"/>
        <v>47296.845751937755</v>
      </c>
      <c r="AI22" s="850">
        <f t="shared" si="7"/>
        <v>52223.607592090077</v>
      </c>
      <c r="AJ22" s="850">
        <f t="shared" si="8"/>
        <v>58295.543635027963</v>
      </c>
      <c r="AK22" s="850">
        <f t="shared" si="9"/>
        <v>66454.314545509071</v>
      </c>
      <c r="AL22" s="826">
        <f t="shared" si="0"/>
        <v>0.20903734576693003</v>
      </c>
      <c r="AM22" s="860">
        <f t="shared" si="1"/>
        <v>0.31509272724546861</v>
      </c>
      <c r="AN22" s="860">
        <f t="shared" si="2"/>
        <v>0.47586992698760139</v>
      </c>
      <c r="AO22" s="867"/>
      <c r="AP22" s="867"/>
      <c r="AQ22" s="868"/>
      <c r="AR22" s="873">
        <v>38</v>
      </c>
      <c r="AS22" s="874">
        <f t="shared" si="10"/>
        <v>55</v>
      </c>
      <c r="AT22" s="874">
        <f t="shared" si="11"/>
        <v>85</v>
      </c>
      <c r="AU22" s="874">
        <f t="shared" si="12"/>
        <v>130</v>
      </c>
      <c r="AV22" s="875">
        <f t="shared" si="13"/>
        <v>190</v>
      </c>
      <c r="AW22" s="10">
        <f t="shared" si="14"/>
        <v>532938.7945050596</v>
      </c>
      <c r="AX22" s="10">
        <f t="shared" si="15"/>
        <v>959514.89351722144</v>
      </c>
      <c r="AY22" s="10">
        <f t="shared" si="16"/>
        <v>355444.57911132136</v>
      </c>
      <c r="AZ22" s="10">
        <f t="shared" si="17"/>
        <v>309381.44553632959</v>
      </c>
      <c r="BA22" s="10">
        <f t="shared" si="18"/>
        <v>262766.34060125198</v>
      </c>
      <c r="BB22" s="34">
        <f t="shared" si="3"/>
        <v>2420046.0532711837</v>
      </c>
      <c r="BC22" s="877">
        <f t="shared" si="4"/>
        <v>248253.94440270466</v>
      </c>
      <c r="BD22" s="161">
        <f>(BB22-BC22)/'AX1'!N42/1000</f>
        <v>2.9700845489980967</v>
      </c>
      <c r="BE22" s="161"/>
      <c r="BF22" s="716">
        <v>1.1000000000000001</v>
      </c>
      <c r="BG22" s="716">
        <v>0.28999999999999998</v>
      </c>
      <c r="BH22" s="716">
        <v>0.77</v>
      </c>
      <c r="BI22" s="716">
        <v>0.33</v>
      </c>
      <c r="BJ22" s="716">
        <v>1.96</v>
      </c>
      <c r="BK22" s="716">
        <v>0.32</v>
      </c>
      <c r="BL22" s="716">
        <v>1.34</v>
      </c>
      <c r="BM22" s="716">
        <v>0.39</v>
      </c>
      <c r="BN22" s="716">
        <v>1.31</v>
      </c>
      <c r="BO22" s="716">
        <v>0.31</v>
      </c>
    </row>
    <row r="23" spans="2:69" s="9" customFormat="1" ht="12.75">
      <c r="B23" s="15">
        <v>1994</v>
      </c>
      <c r="C23" s="125">
        <v>331410</v>
      </c>
      <c r="D23" s="125">
        <v>387931</v>
      </c>
      <c r="E23" s="125">
        <v>81977</v>
      </c>
      <c r="F23" s="125">
        <v>42543</v>
      </c>
      <c r="G23" s="833">
        <v>20782</v>
      </c>
      <c r="H23" s="836">
        <v>9493</v>
      </c>
      <c r="I23" s="125">
        <v>18649</v>
      </c>
      <c r="J23" s="125">
        <v>4033</v>
      </c>
      <c r="K23" s="125">
        <v>1719</v>
      </c>
      <c r="L23" s="125">
        <v>279</v>
      </c>
      <c r="M23" s="855">
        <v>49324</v>
      </c>
      <c r="N23" s="851">
        <v>41369</v>
      </c>
      <c r="O23" s="851">
        <v>39629</v>
      </c>
      <c r="P23" s="851">
        <v>38883</v>
      </c>
      <c r="Q23" s="851">
        <v>56066</v>
      </c>
      <c r="R23" s="851">
        <v>39609</v>
      </c>
      <c r="S23" s="851">
        <v>46166</v>
      </c>
      <c r="T23" s="851">
        <v>39424</v>
      </c>
      <c r="U23" s="851">
        <v>63740</v>
      </c>
      <c r="V23" s="851">
        <v>49584</v>
      </c>
      <c r="W23" s="851">
        <v>48274</v>
      </c>
      <c r="X23" s="851">
        <v>39713</v>
      </c>
      <c r="Y23" s="851">
        <v>67433</v>
      </c>
      <c r="Z23" s="851">
        <v>47376</v>
      </c>
      <c r="AA23" s="851">
        <v>56909</v>
      </c>
      <c r="AB23" s="851">
        <v>47929</v>
      </c>
      <c r="AC23" s="851">
        <v>74031</v>
      </c>
      <c r="AD23" s="851">
        <v>65824</v>
      </c>
      <c r="AE23" s="850">
        <v>62785</v>
      </c>
      <c r="AF23" s="856">
        <v>53362</v>
      </c>
      <c r="AG23" s="850">
        <f t="shared" si="5"/>
        <v>41574.748774381194</v>
      </c>
      <c r="AH23" s="850">
        <f t="shared" si="6"/>
        <v>43994.123169067934</v>
      </c>
      <c r="AI23" s="850">
        <f t="shared" si="7"/>
        <v>47639.434881036272</v>
      </c>
      <c r="AJ23" s="850">
        <f t="shared" si="8"/>
        <v>53333.707598086985</v>
      </c>
      <c r="AK23" s="850">
        <f t="shared" si="9"/>
        <v>61130.495067540221</v>
      </c>
      <c r="AL23" s="826">
        <f t="shared" si="0"/>
        <v>0.20903734576693003</v>
      </c>
      <c r="AM23" s="860">
        <f t="shared" si="1"/>
        <v>0.31509272724546861</v>
      </c>
      <c r="AN23" s="860">
        <f t="shared" si="2"/>
        <v>0.47586992698760139</v>
      </c>
      <c r="AO23" s="867"/>
      <c r="AP23" s="867"/>
      <c r="AQ23" s="868"/>
      <c r="AR23" s="873">
        <v>39</v>
      </c>
      <c r="AS23" s="874">
        <f t="shared" si="10"/>
        <v>55</v>
      </c>
      <c r="AT23" s="874">
        <f t="shared" si="11"/>
        <v>85</v>
      </c>
      <c r="AU23" s="874">
        <f t="shared" si="12"/>
        <v>130</v>
      </c>
      <c r="AV23" s="875">
        <f t="shared" si="13"/>
        <v>190</v>
      </c>
      <c r="AW23" s="10">
        <f t="shared" si="14"/>
        <v>537353.21216138906</v>
      </c>
      <c r="AX23" s="10">
        <f t="shared" si="15"/>
        <v>938667.63073048322</v>
      </c>
      <c r="AY23" s="10">
        <f t="shared" si="16"/>
        <v>331953.72602563043</v>
      </c>
      <c r="AZ23" s="10">
        <f t="shared" si="17"/>
        <v>294966.86990490387</v>
      </c>
      <c r="BA23" s="10">
        <f t="shared" si="18"/>
        <v>241378.65021378797</v>
      </c>
      <c r="BB23" s="34">
        <f t="shared" si="3"/>
        <v>2344320.0890361946</v>
      </c>
      <c r="BC23" s="877">
        <f t="shared" si="4"/>
        <v>273079.33884297515</v>
      </c>
      <c r="BD23" s="161">
        <f>(BB23-BC23)/'AX1'!N43/1000</f>
        <v>2.4695375361852836</v>
      </c>
      <c r="BE23" s="161"/>
      <c r="BF23" s="716">
        <v>1.06</v>
      </c>
      <c r="BG23" s="716">
        <v>0.28999999999999998</v>
      </c>
      <c r="BH23" s="716">
        <v>0.79</v>
      </c>
      <c r="BI23" s="716">
        <v>0.35</v>
      </c>
      <c r="BJ23" s="716">
        <v>1.86</v>
      </c>
      <c r="BK23" s="716">
        <v>0.31</v>
      </c>
      <c r="BL23" s="716">
        <v>1.33</v>
      </c>
      <c r="BM23" s="716">
        <v>0.39</v>
      </c>
      <c r="BN23" s="716">
        <v>1.21</v>
      </c>
      <c r="BO23" s="716">
        <v>0.28999999999999998</v>
      </c>
    </row>
    <row r="24" spans="2:69" s="9" customFormat="1" ht="12.75">
      <c r="B24" s="15">
        <v>1995</v>
      </c>
      <c r="C24" s="125">
        <v>335008</v>
      </c>
      <c r="D24" s="125">
        <v>399768</v>
      </c>
      <c r="E24" s="125">
        <v>85802</v>
      </c>
      <c r="F24" s="125">
        <v>44200</v>
      </c>
      <c r="G24" s="833">
        <v>20899</v>
      </c>
      <c r="H24" s="836">
        <v>4096</v>
      </c>
      <c r="I24" s="125">
        <v>12690</v>
      </c>
      <c r="J24" s="125">
        <v>3877</v>
      </c>
      <c r="K24" s="125">
        <v>1589</v>
      </c>
      <c r="L24" s="125">
        <v>369</v>
      </c>
      <c r="M24" s="855">
        <v>52369</v>
      </c>
      <c r="N24" s="851">
        <v>43721</v>
      </c>
      <c r="O24" s="851">
        <v>43193</v>
      </c>
      <c r="P24" s="851">
        <v>41713</v>
      </c>
      <c r="Q24" s="851">
        <v>62125</v>
      </c>
      <c r="R24" s="851">
        <v>42836</v>
      </c>
      <c r="S24" s="851">
        <v>52297</v>
      </c>
      <c r="T24" s="851">
        <v>43230</v>
      </c>
      <c r="U24" s="851">
        <v>74573</v>
      </c>
      <c r="V24" s="851">
        <v>55321</v>
      </c>
      <c r="W24" s="851">
        <v>54927</v>
      </c>
      <c r="X24" s="851">
        <v>46601</v>
      </c>
      <c r="Y24" s="851">
        <v>82364</v>
      </c>
      <c r="Z24" s="851">
        <v>52923</v>
      </c>
      <c r="AA24" s="851">
        <v>60582</v>
      </c>
      <c r="AB24" s="851">
        <v>54889</v>
      </c>
      <c r="AC24" s="851">
        <v>93657</v>
      </c>
      <c r="AD24" s="851">
        <v>74247</v>
      </c>
      <c r="AE24" s="850">
        <v>80924</v>
      </c>
      <c r="AF24" s="856">
        <v>58670</v>
      </c>
      <c r="AG24" s="850">
        <f t="shared" si="5"/>
        <v>44490.0236728085</v>
      </c>
      <c r="AH24" s="850">
        <f t="shared" si="6"/>
        <v>48546.16025996612</v>
      </c>
      <c r="AI24" s="850">
        <f t="shared" si="7"/>
        <v>55133.727950105698</v>
      </c>
      <c r="AJ24" s="850">
        <f t="shared" si="8"/>
        <v>61219.476372168334</v>
      </c>
      <c r="AK24" s="850">
        <f t="shared" si="9"/>
        <v>71943.726098559244</v>
      </c>
      <c r="AL24" s="826">
        <f t="shared" si="0"/>
        <v>0.20903734576693003</v>
      </c>
      <c r="AM24" s="860">
        <f t="shared" si="1"/>
        <v>0.31509272724546861</v>
      </c>
      <c r="AN24" s="860">
        <f t="shared" si="2"/>
        <v>0.47586992698760139</v>
      </c>
      <c r="AO24" s="867"/>
      <c r="AP24" s="867"/>
      <c r="AQ24" s="868"/>
      <c r="AR24" s="873">
        <v>40</v>
      </c>
      <c r="AS24" s="874">
        <f t="shared" si="10"/>
        <v>55</v>
      </c>
      <c r="AT24" s="874">
        <f t="shared" si="11"/>
        <v>85</v>
      </c>
      <c r="AU24" s="874">
        <f t="shared" si="12"/>
        <v>130</v>
      </c>
      <c r="AV24" s="875">
        <f t="shared" si="13"/>
        <v>190</v>
      </c>
      <c r="AW24" s="10">
        <f t="shared" si="14"/>
        <v>596180.55402320914</v>
      </c>
      <c r="AX24" s="10">
        <f t="shared" si="15"/>
        <v>1067396.0767143376</v>
      </c>
      <c r="AY24" s="10">
        <f t="shared" si="16"/>
        <v>402099.65067387233</v>
      </c>
      <c r="AZ24" s="10">
        <f t="shared" si="17"/>
        <v>351767.11123447923</v>
      </c>
      <c r="BA24" s="10">
        <f t="shared" si="18"/>
        <v>285674.86702942004</v>
      </c>
      <c r="BB24" s="34">
        <f t="shared" si="3"/>
        <v>2703118.2596753184</v>
      </c>
      <c r="BC24" s="877">
        <f>BC25/1.1</f>
        <v>300387.27272727271</v>
      </c>
      <c r="BD24" s="161">
        <f>(BB24-BC24)/'AX1'!N44/1000</f>
        <v>2.6496634687945604</v>
      </c>
      <c r="BE24" s="161"/>
      <c r="BF24" s="716">
        <v>1.05</v>
      </c>
      <c r="BG24" s="716">
        <v>0.28000000000000003</v>
      </c>
      <c r="BH24" s="716">
        <v>0.83</v>
      </c>
      <c r="BI24" s="716">
        <v>0.36</v>
      </c>
      <c r="BJ24" s="716">
        <v>1.73</v>
      </c>
      <c r="BK24" s="716">
        <v>0.28999999999999998</v>
      </c>
      <c r="BL24" s="716">
        <v>1.32</v>
      </c>
      <c r="BM24" s="716">
        <v>0.4</v>
      </c>
      <c r="BN24" s="716">
        <v>1.1100000000000001</v>
      </c>
      <c r="BO24" s="716">
        <v>0.27</v>
      </c>
      <c r="BP24" s="716">
        <v>1.44</v>
      </c>
      <c r="BQ24" s="716">
        <v>0.64</v>
      </c>
    </row>
    <row r="25" spans="2:69" s="9" customFormat="1" ht="12.75">
      <c r="B25" s="15">
        <v>1996</v>
      </c>
      <c r="C25" s="125">
        <v>340594</v>
      </c>
      <c r="D25" s="125">
        <v>412440</v>
      </c>
      <c r="E25" s="125">
        <v>91144</v>
      </c>
      <c r="F25" s="125">
        <v>45623</v>
      </c>
      <c r="G25" s="833">
        <v>21439</v>
      </c>
      <c r="H25" s="836">
        <v>2552</v>
      </c>
      <c r="I25" s="125">
        <v>10500</v>
      </c>
      <c r="J25" s="125">
        <v>5112</v>
      </c>
      <c r="K25" s="125">
        <v>1194</v>
      </c>
      <c r="L25" s="125">
        <v>517</v>
      </c>
      <c r="M25" s="855">
        <v>69206</v>
      </c>
      <c r="N25" s="851">
        <v>56544</v>
      </c>
      <c r="O25" s="851">
        <v>57460</v>
      </c>
      <c r="P25" s="851">
        <v>59323</v>
      </c>
      <c r="Q25" s="851">
        <v>83159</v>
      </c>
      <c r="R25" s="851">
        <v>54523</v>
      </c>
      <c r="S25" s="851">
        <v>69868</v>
      </c>
      <c r="T25" s="851">
        <v>59899</v>
      </c>
      <c r="U25" s="851">
        <v>104021</v>
      </c>
      <c r="V25" s="851">
        <v>77485</v>
      </c>
      <c r="W25" s="851">
        <v>81436</v>
      </c>
      <c r="X25" s="851">
        <v>72566</v>
      </c>
      <c r="Y25" s="851">
        <v>115082</v>
      </c>
      <c r="Z25" s="851">
        <v>79841</v>
      </c>
      <c r="AA25" s="851">
        <v>84798</v>
      </c>
      <c r="AB25" s="851">
        <v>79521</v>
      </c>
      <c r="AC25" s="851">
        <v>135544</v>
      </c>
      <c r="AD25" s="851">
        <v>128516</v>
      </c>
      <c r="AE25" s="850">
        <v>122631</v>
      </c>
      <c r="AF25" s="856">
        <v>80549</v>
      </c>
      <c r="AG25" s="850">
        <f t="shared" si="5"/>
        <v>60657.585868277834</v>
      </c>
      <c r="AH25" s="850">
        <f t="shared" si="6"/>
        <v>65484.81911065802</v>
      </c>
      <c r="AI25" s="850">
        <f t="shared" si="7"/>
        <v>81313.676519092667</v>
      </c>
      <c r="AJ25" s="850">
        <f t="shared" si="8"/>
        <v>87836.36405001425</v>
      </c>
      <c r="AK25" s="850">
        <f t="shared" si="9"/>
        <v>106231.90132831591</v>
      </c>
      <c r="AL25" s="826">
        <f t="shared" si="0"/>
        <v>0.20903734576693003</v>
      </c>
      <c r="AM25" s="860">
        <f t="shared" si="1"/>
        <v>0.31509272724546861</v>
      </c>
      <c r="AN25" s="860">
        <f t="shared" si="2"/>
        <v>0.47586992698760139</v>
      </c>
      <c r="AO25" s="867"/>
      <c r="AP25" s="867"/>
      <c r="AQ25" s="868"/>
      <c r="AR25" s="873">
        <v>41</v>
      </c>
      <c r="AS25" s="874">
        <f t="shared" si="10"/>
        <v>55</v>
      </c>
      <c r="AT25" s="874">
        <f t="shared" si="11"/>
        <v>85</v>
      </c>
      <c r="AU25" s="874">
        <f t="shared" si="12"/>
        <v>130</v>
      </c>
      <c r="AV25" s="875">
        <f t="shared" si="13"/>
        <v>190</v>
      </c>
      <c r="AW25" s="10">
        <f t="shared" si="14"/>
        <v>847044.0018500291</v>
      </c>
      <c r="AX25" s="10">
        <f t="shared" si="15"/>
        <v>1485470.7336699888</v>
      </c>
      <c r="AY25" s="10">
        <f t="shared" si="16"/>
        <v>629956.5672757756</v>
      </c>
      <c r="AZ25" s="10">
        <f t="shared" si="17"/>
        <v>520956.59681699402</v>
      </c>
      <c r="BA25" s="10">
        <f t="shared" si="18"/>
        <v>432726.08918977535</v>
      </c>
      <c r="BB25" s="34">
        <f t="shared" si="3"/>
        <v>3916153.9888025625</v>
      </c>
      <c r="BC25" s="878">
        <v>330426</v>
      </c>
      <c r="BD25" s="161">
        <f>(BB25-BC25)/'AX1'!N45/1000</f>
        <v>3.6307127461178861</v>
      </c>
      <c r="BE25" s="161"/>
      <c r="BF25" s="716">
        <v>1.03</v>
      </c>
      <c r="BG25" s="716">
        <v>0.26</v>
      </c>
      <c r="BH25" s="716">
        <v>0.93</v>
      </c>
      <c r="BI25" s="716">
        <v>0.38</v>
      </c>
      <c r="BJ25" s="716">
        <v>1.62</v>
      </c>
      <c r="BK25" s="716">
        <v>0.28000000000000003</v>
      </c>
      <c r="BL25" s="716">
        <v>1.31</v>
      </c>
      <c r="BM25" s="716">
        <v>0.39</v>
      </c>
      <c r="BN25" s="716">
        <v>1.0900000000000001</v>
      </c>
      <c r="BO25" s="716">
        <v>0.27</v>
      </c>
      <c r="BP25" s="716">
        <v>1.48</v>
      </c>
      <c r="BQ25" s="716">
        <v>0.62</v>
      </c>
    </row>
    <row r="26" spans="2:69" s="9" customFormat="1" ht="12.75">
      <c r="B26" s="15">
        <v>1997</v>
      </c>
      <c r="C26" s="125">
        <v>347926</v>
      </c>
      <c r="D26" s="125">
        <v>428911</v>
      </c>
      <c r="E26" s="125">
        <v>93496</v>
      </c>
      <c r="F26" s="125">
        <v>47646</v>
      </c>
      <c r="G26" s="833">
        <v>22149</v>
      </c>
      <c r="H26" s="836">
        <v>1278</v>
      </c>
      <c r="I26" s="125">
        <v>13692</v>
      </c>
      <c r="J26" s="125">
        <v>2449</v>
      </c>
      <c r="K26" s="125">
        <v>488</v>
      </c>
      <c r="L26" s="125">
        <v>295</v>
      </c>
      <c r="M26" s="855">
        <v>50687</v>
      </c>
      <c r="N26" s="851">
        <v>42155</v>
      </c>
      <c r="O26" s="851">
        <v>41422</v>
      </c>
      <c r="P26" s="851">
        <v>42063</v>
      </c>
      <c r="Q26" s="851">
        <v>57203</v>
      </c>
      <c r="R26" s="851">
        <v>40880</v>
      </c>
      <c r="S26" s="851">
        <v>47876</v>
      </c>
      <c r="T26" s="851">
        <v>40935</v>
      </c>
      <c r="U26" s="851">
        <v>71676</v>
      </c>
      <c r="V26" s="851">
        <v>61639</v>
      </c>
      <c r="W26" s="851">
        <v>51428</v>
      </c>
      <c r="X26" s="851">
        <v>49259</v>
      </c>
      <c r="Y26" s="851">
        <v>77009</v>
      </c>
      <c r="Z26" s="851">
        <v>71109</v>
      </c>
      <c r="AA26" s="851">
        <v>59678</v>
      </c>
      <c r="AB26" s="851">
        <v>51977</v>
      </c>
      <c r="AC26" s="851">
        <v>88213</v>
      </c>
      <c r="AD26" s="851">
        <v>96633</v>
      </c>
      <c r="AE26" s="850">
        <v>79249</v>
      </c>
      <c r="AF26" s="856">
        <v>56499</v>
      </c>
      <c r="AG26" s="850">
        <f>AL26*M26+AM26*N26+AN26*P26</f>
        <v>43894.726600800583</v>
      </c>
      <c r="AH26" s="850">
        <f>AL26*Q26+AM26*R26+AN26*T26</f>
        <v>44318.289440937915</v>
      </c>
      <c r="AI26" s="850">
        <f>AL26*U26+AM26*V26+AN26*X26</f>
        <v>57845.838143356166</v>
      </c>
      <c r="AJ26" s="850">
        <f>AL26*Y26+AM26*Z26+AN26*AB26</f>
        <v>63237.976896898101</v>
      </c>
      <c r="AK26" s="850">
        <f>AL26*AC26+AM26*AD26+AN26*AF26</f>
        <v>75774.341898922052</v>
      </c>
      <c r="AL26" s="826">
        <f>AL27</f>
        <v>0.20903734576693003</v>
      </c>
      <c r="AM26" s="860">
        <f>AM27</f>
        <v>0.31509272724546861</v>
      </c>
      <c r="AN26" s="860">
        <f>AN27</f>
        <v>0.47586992698760139</v>
      </c>
      <c r="AO26" s="867"/>
      <c r="AP26" s="867"/>
      <c r="AQ26" s="868"/>
      <c r="AR26" s="873">
        <v>42</v>
      </c>
      <c r="AS26" s="874">
        <f t="shared" si="10"/>
        <v>55</v>
      </c>
      <c r="AT26" s="874">
        <f t="shared" si="11"/>
        <v>85</v>
      </c>
      <c r="AU26" s="874">
        <f t="shared" si="12"/>
        <v>130</v>
      </c>
      <c r="AV26" s="875">
        <f t="shared" si="13"/>
        <v>190</v>
      </c>
      <c r="AW26" s="10">
        <f t="shared" si="14"/>
        <v>641428.8991870262</v>
      </c>
      <c r="AX26" s="10">
        <f t="shared" si="15"/>
        <v>1045473.1013321168</v>
      </c>
      <c r="AY26" s="10">
        <f t="shared" si="16"/>
        <v>459710.13105935435</v>
      </c>
      <c r="AZ26" s="10">
        <f t="shared" si="17"/>
        <v>391694.76413984888</v>
      </c>
      <c r="BA26" s="10">
        <f t="shared" si="18"/>
        <v>318881.92075665266</v>
      </c>
      <c r="BB26" s="34">
        <f>SUM(AW26:BA26)</f>
        <v>2857188.8164749984</v>
      </c>
      <c r="BC26" s="878">
        <v>425469</v>
      </c>
      <c r="BD26" s="161">
        <f>(BB26-BC26)/'AX1'!N46/1000</f>
        <v>2.2260249029035513</v>
      </c>
      <c r="BE26" s="161"/>
      <c r="BF26" s="716">
        <v>1.01</v>
      </c>
      <c r="BG26" s="716">
        <v>0.25</v>
      </c>
      <c r="BH26" s="716">
        <v>1.1399999999999999</v>
      </c>
      <c r="BI26" s="716">
        <v>0.41</v>
      </c>
      <c r="BJ26" s="716">
        <v>1.58</v>
      </c>
      <c r="BK26" s="716">
        <v>0.27</v>
      </c>
      <c r="BL26" s="716">
        <v>1.29</v>
      </c>
      <c r="BM26" s="716">
        <v>0.38</v>
      </c>
      <c r="BN26" s="716">
        <v>1.1299999999999999</v>
      </c>
      <c r="BO26" s="716">
        <v>0.26</v>
      </c>
      <c r="BP26" s="716">
        <v>1.51</v>
      </c>
      <c r="BQ26" s="716">
        <v>0.57999999999999996</v>
      </c>
    </row>
    <row r="27" spans="2:69" s="9" customFormat="1" ht="12.75">
      <c r="B27" s="15">
        <v>1998</v>
      </c>
      <c r="C27" s="125">
        <v>348187</v>
      </c>
      <c r="D27" s="125">
        <v>446920</v>
      </c>
      <c r="E27" s="125">
        <v>96750</v>
      </c>
      <c r="F27" s="125">
        <v>48573</v>
      </c>
      <c r="G27" s="833">
        <v>22826</v>
      </c>
      <c r="H27" s="836">
        <v>1249</v>
      </c>
      <c r="I27" s="125">
        <v>15987</v>
      </c>
      <c r="J27" s="125">
        <v>3037</v>
      </c>
      <c r="K27" s="125">
        <v>1454</v>
      </c>
      <c r="L27" s="125">
        <v>551</v>
      </c>
      <c r="M27" s="855">
        <v>41861</v>
      </c>
      <c r="N27" s="851">
        <v>35471</v>
      </c>
      <c r="O27" s="851"/>
      <c r="P27" s="851">
        <v>35735</v>
      </c>
      <c r="Q27" s="851">
        <v>49287</v>
      </c>
      <c r="R27" s="851">
        <v>37095</v>
      </c>
      <c r="S27" s="34"/>
      <c r="T27" s="34">
        <v>35042</v>
      </c>
      <c r="U27" s="34">
        <v>60751</v>
      </c>
      <c r="V27" s="34">
        <v>43952</v>
      </c>
      <c r="W27" s="851"/>
      <c r="X27" s="34">
        <v>41192</v>
      </c>
      <c r="Y27" s="34">
        <v>65659</v>
      </c>
      <c r="Z27" s="34">
        <v>50325</v>
      </c>
      <c r="AA27" s="851"/>
      <c r="AB27" s="34">
        <v>47353</v>
      </c>
      <c r="AC27" s="34">
        <v>77537</v>
      </c>
      <c r="AD27" s="34">
        <v>71226</v>
      </c>
      <c r="AE27" s="45"/>
      <c r="AF27" s="15">
        <v>47514</v>
      </c>
      <c r="AG27" s="850">
        <f t="shared" ref="AG27:AG48" si="19">AL27*M27+AM27*N27+AN27*P27</f>
        <v>36932.378300175405</v>
      </c>
      <c r="AH27" s="850">
        <f t="shared" ref="AH27:AH48" si="20">AL27*Q27+AM27*R27+AN27*T27</f>
        <v>38666.622359484871</v>
      </c>
      <c r="AI27" s="850">
        <f t="shared" ref="AI27:AI48" si="21">AL27*U27+AM27*V27+AN27*X27</f>
        <v>46150.217373052874</v>
      </c>
      <c r="AJ27" s="850">
        <f t="shared" ref="AJ27:AJ48" si="22">AL27*Y27+AM27*Z27+AN27*AB27</f>
        <v>52116.093236982953</v>
      </c>
      <c r="AK27" s="850">
        <f t="shared" ref="AK27:AK48" si="23">AL27*AC27+AM27*AD27+AN27*AF27</f>
        <v>61261.406980405096</v>
      </c>
      <c r="AL27" s="807">
        <f>AO27/SUM($AO27:$AQ27)</f>
        <v>0.20903734576693003</v>
      </c>
      <c r="AM27" s="780">
        <f>AP27/SUM($AO27:$AQ27)</f>
        <v>0.31509272724546861</v>
      </c>
      <c r="AN27" s="780">
        <f>AQ27/SUM($AO27:$AQ27)</f>
        <v>0.47586992698760139</v>
      </c>
      <c r="AO27" s="867">
        <v>1394300</v>
      </c>
      <c r="AP27" s="867">
        <v>2101700</v>
      </c>
      <c r="AQ27" s="868">
        <v>3174100</v>
      </c>
      <c r="AR27" s="873">
        <v>43</v>
      </c>
      <c r="AS27" s="874">
        <f t="shared" si="10"/>
        <v>55</v>
      </c>
      <c r="AT27" s="874">
        <f t="shared" si="11"/>
        <v>85</v>
      </c>
      <c r="AU27" s="874">
        <f t="shared" si="12"/>
        <v>130</v>
      </c>
      <c r="AV27" s="875">
        <f t="shared" si="13"/>
        <v>190</v>
      </c>
      <c r="AW27" s="10">
        <f t="shared" si="14"/>
        <v>552953.08213773649</v>
      </c>
      <c r="AX27" s="10">
        <f t="shared" si="15"/>
        <v>950448.77756955393</v>
      </c>
      <c r="AY27" s="10">
        <f t="shared" si="16"/>
        <v>379527.85012164357</v>
      </c>
      <c r="AZ27" s="10">
        <f t="shared" si="17"/>
        <v>329086.54958399647</v>
      </c>
      <c r="BA27" s="10">
        <f t="shared" si="18"/>
        <v>265687.04638959805</v>
      </c>
      <c r="BB27" s="34">
        <f t="shared" si="3"/>
        <v>2477703.3058025283</v>
      </c>
      <c r="BC27" s="878">
        <v>459338</v>
      </c>
      <c r="BD27" s="161">
        <f>(BB27-BC27)/'AX1'!N47/1000</f>
        <v>1.9353887788677357</v>
      </c>
      <c r="BE27" s="161"/>
      <c r="BF27" s="716">
        <v>1.03</v>
      </c>
      <c r="BG27" s="716">
        <v>0.24</v>
      </c>
      <c r="BH27" s="716">
        <v>1.33</v>
      </c>
      <c r="BI27" s="716">
        <v>0.43</v>
      </c>
      <c r="BJ27" s="716">
        <v>1.59</v>
      </c>
      <c r="BK27" s="716">
        <v>0.27</v>
      </c>
      <c r="BL27" s="716">
        <v>1.27</v>
      </c>
      <c r="BM27" s="716">
        <v>0.37</v>
      </c>
      <c r="BN27" s="716">
        <v>1.22</v>
      </c>
      <c r="BO27" s="716">
        <v>0.27</v>
      </c>
      <c r="BP27" s="716">
        <v>1.72</v>
      </c>
      <c r="BQ27" s="716">
        <v>0.6</v>
      </c>
    </row>
    <row r="28" spans="2:69" s="9" customFormat="1" ht="12.75">
      <c r="B28" s="15">
        <v>1999</v>
      </c>
      <c r="C28" s="125">
        <v>354000</v>
      </c>
      <c r="D28" s="125">
        <v>468513</v>
      </c>
      <c r="E28" s="125">
        <v>102180</v>
      </c>
      <c r="F28" s="125">
        <v>49586</v>
      </c>
      <c r="G28" s="833">
        <v>23354</v>
      </c>
      <c r="H28" s="836">
        <v>7271</v>
      </c>
      <c r="I28" s="125">
        <v>20982</v>
      </c>
      <c r="J28" s="125">
        <v>5451</v>
      </c>
      <c r="K28" s="125">
        <v>1188</v>
      </c>
      <c r="L28" s="125">
        <v>430</v>
      </c>
      <c r="M28" s="13">
        <v>35975</v>
      </c>
      <c r="N28" s="34">
        <v>30990</v>
      </c>
      <c r="O28" s="34"/>
      <c r="P28" s="34">
        <v>31444</v>
      </c>
      <c r="Q28" s="34">
        <v>43656</v>
      </c>
      <c r="R28" s="34">
        <v>31711</v>
      </c>
      <c r="S28" s="34"/>
      <c r="T28" s="34">
        <v>31358</v>
      </c>
      <c r="U28" s="34">
        <v>54957</v>
      </c>
      <c r="V28" s="34">
        <v>38515</v>
      </c>
      <c r="W28" s="34"/>
      <c r="X28" s="34">
        <v>37324</v>
      </c>
      <c r="Y28" s="34">
        <v>63194</v>
      </c>
      <c r="Z28" s="34">
        <v>46639</v>
      </c>
      <c r="AA28" s="34"/>
      <c r="AB28" s="34">
        <v>41389</v>
      </c>
      <c r="AC28" s="34">
        <v>80222</v>
      </c>
      <c r="AD28" s="34">
        <v>70992</v>
      </c>
      <c r="AE28" s="45"/>
      <c r="AF28" s="15">
        <v>44589</v>
      </c>
      <c r="AG28" s="850">
        <f t="shared" si="19"/>
        <v>32246.170562376839</v>
      </c>
      <c r="AH28" s="850">
        <f t="shared" si="20"/>
        <v>34023.672972563283</v>
      </c>
      <c r="AI28" s="850">
        <f t="shared" si="21"/>
        <v>41357.08312869486</v>
      </c>
      <c r="AJ28" s="850">
        <f t="shared" si="22"/>
        <v>47540.112323783542</v>
      </c>
      <c r="AK28" s="850">
        <f t="shared" si="23"/>
        <v>60132.574442928613</v>
      </c>
      <c r="AL28" s="807">
        <f t="shared" ref="AL28:AL34" si="24">AO28/SUM($AO28:$AQ28)</f>
        <v>0.20791268758526604</v>
      </c>
      <c r="AM28" s="780">
        <f t="shared" ref="AM28:AM34" si="25">AP28/SUM($AO28:$AQ28)</f>
        <v>0.30810974685463088</v>
      </c>
      <c r="AN28" s="780">
        <f t="shared" ref="AN28:AN34" si="26">AQ28/SUM($AO28:$AQ28)</f>
        <v>0.48397756556010307</v>
      </c>
      <c r="AO28" s="869">
        <v>1371600</v>
      </c>
      <c r="AP28" s="869">
        <v>2032600</v>
      </c>
      <c r="AQ28" s="870">
        <v>3192800</v>
      </c>
      <c r="AR28" s="873">
        <v>44</v>
      </c>
      <c r="AS28" s="874">
        <f t="shared" si="10"/>
        <v>55</v>
      </c>
      <c r="AT28" s="874">
        <f t="shared" si="11"/>
        <v>85</v>
      </c>
      <c r="AU28" s="874">
        <f t="shared" si="12"/>
        <v>130</v>
      </c>
      <c r="AV28" s="875">
        <f t="shared" si="13"/>
        <v>190</v>
      </c>
      <c r="AW28" s="10">
        <f t="shared" si="14"/>
        <v>502266.35267958161</v>
      </c>
      <c r="AX28" s="10">
        <f t="shared" si="15"/>
        <v>876729.32024669973</v>
      </c>
      <c r="AY28" s="10">
        <f t="shared" si="16"/>
        <v>359198.67409765354</v>
      </c>
      <c r="AZ28" s="10">
        <f t="shared" si="17"/>
        <v>306452.12125932699</v>
      </c>
      <c r="BA28" s="10">
        <f t="shared" si="18"/>
        <v>266823.86727262946</v>
      </c>
      <c r="BB28" s="34">
        <f t="shared" si="3"/>
        <v>2311470.3355558915</v>
      </c>
      <c r="BC28" s="878">
        <v>478244</v>
      </c>
      <c r="BD28" s="161">
        <f>(BB28-BC28)/'AX1'!N48/1000</f>
        <v>1.7906304949734952</v>
      </c>
      <c r="BE28" s="161"/>
      <c r="BF28" s="716">
        <v>1.05</v>
      </c>
      <c r="BG28" s="716">
        <v>0.23</v>
      </c>
      <c r="BH28" s="716">
        <v>1.46</v>
      </c>
      <c r="BI28" s="716">
        <v>0.44</v>
      </c>
      <c r="BJ28" s="716">
        <v>1.56</v>
      </c>
      <c r="BK28" s="716">
        <v>0.26</v>
      </c>
      <c r="BL28" s="716">
        <v>1.33</v>
      </c>
      <c r="BM28" s="716">
        <v>0.37</v>
      </c>
      <c r="BN28" s="716">
        <v>1.39</v>
      </c>
      <c r="BO28" s="716">
        <v>0.28000000000000003</v>
      </c>
      <c r="BP28" s="716">
        <v>1.54</v>
      </c>
      <c r="BQ28" s="716">
        <v>0.6</v>
      </c>
    </row>
    <row r="29" spans="2:69" s="9" customFormat="1" ht="12.75">
      <c r="B29" s="15">
        <v>2000</v>
      </c>
      <c r="C29" s="125">
        <v>358723</v>
      </c>
      <c r="D29" s="125">
        <v>483877</v>
      </c>
      <c r="E29" s="125">
        <v>107699</v>
      </c>
      <c r="F29" s="125">
        <v>52082</v>
      </c>
      <c r="G29" s="833">
        <v>23724</v>
      </c>
      <c r="H29" s="836">
        <v>2683</v>
      </c>
      <c r="I29" s="125">
        <v>14753</v>
      </c>
      <c r="J29" s="125">
        <v>6025</v>
      </c>
      <c r="K29" s="125">
        <v>1998</v>
      </c>
      <c r="L29" s="125">
        <v>331</v>
      </c>
      <c r="M29" s="13">
        <v>31922</v>
      </c>
      <c r="N29" s="34">
        <v>26560</v>
      </c>
      <c r="O29" s="34"/>
      <c r="P29" s="34">
        <v>27883</v>
      </c>
      <c r="Q29" s="34">
        <v>38783</v>
      </c>
      <c r="R29" s="34">
        <v>28317</v>
      </c>
      <c r="S29" s="34"/>
      <c r="T29" s="34">
        <v>27841</v>
      </c>
      <c r="U29" s="34">
        <v>49358</v>
      </c>
      <c r="V29" s="34">
        <v>33792</v>
      </c>
      <c r="W29" s="34"/>
      <c r="X29" s="34">
        <v>32685</v>
      </c>
      <c r="Y29" s="34">
        <v>56904</v>
      </c>
      <c r="Z29" s="34">
        <v>40968</v>
      </c>
      <c r="AA29" s="34"/>
      <c r="AB29" s="34">
        <v>34812</v>
      </c>
      <c r="AC29" s="34">
        <v>70312</v>
      </c>
      <c r="AD29" s="34">
        <v>58686</v>
      </c>
      <c r="AE29" s="45"/>
      <c r="AF29" s="15">
        <v>35676</v>
      </c>
      <c r="AG29" s="850">
        <f t="shared" si="19"/>
        <v>28295.996635525247</v>
      </c>
      <c r="AH29" s="850">
        <f t="shared" si="20"/>
        <v>30202.797590795759</v>
      </c>
      <c r="AI29" s="850">
        <f t="shared" si="21"/>
        <v>36400.665925681154</v>
      </c>
      <c r="AJ29" s="850">
        <f t="shared" si="22"/>
        <v>41170.859082579831</v>
      </c>
      <c r="AK29" s="850">
        <f t="shared" si="23"/>
        <v>49735.023160803867</v>
      </c>
      <c r="AL29" s="807">
        <f t="shared" si="24"/>
        <v>0.20252936405419208</v>
      </c>
      <c r="AM29" s="780">
        <f t="shared" si="25"/>
        <v>0.30613716242602662</v>
      </c>
      <c r="AN29" s="780">
        <f t="shared" si="26"/>
        <v>0.49133347351978129</v>
      </c>
      <c r="AO29" s="869">
        <v>1348400</v>
      </c>
      <c r="AP29" s="869">
        <v>2038200</v>
      </c>
      <c r="AQ29" s="870">
        <v>3271200</v>
      </c>
      <c r="AR29" s="873">
        <v>45</v>
      </c>
      <c r="AS29" s="874">
        <f t="shared" si="10"/>
        <v>55</v>
      </c>
      <c r="AT29" s="874">
        <f t="shared" si="11"/>
        <v>85</v>
      </c>
      <c r="AU29" s="874">
        <f t="shared" si="12"/>
        <v>130</v>
      </c>
      <c r="AV29" s="875">
        <f t="shared" si="13"/>
        <v>190</v>
      </c>
      <c r="AW29" s="10">
        <f t="shared" si="14"/>
        <v>456769.11604884855</v>
      </c>
      <c r="AX29" s="10">
        <f t="shared" si="15"/>
        <v>803794.1499412813</v>
      </c>
      <c r="AY29" s="10">
        <f t="shared" si="16"/>
        <v>333226.80216004443</v>
      </c>
      <c r="AZ29" s="10">
        <f t="shared" si="17"/>
        <v>278753.88875605993</v>
      </c>
      <c r="BA29" s="10">
        <f t="shared" si="18"/>
        <v>224183.60099871308</v>
      </c>
      <c r="BB29" s="34">
        <f t="shared" si="3"/>
        <v>2096727.5579049475</v>
      </c>
      <c r="BC29" s="878">
        <v>483827</v>
      </c>
      <c r="BD29" s="161">
        <f>(BB29-BC29)/'AX1'!N49/1000</f>
        <v>1.466693102783071</v>
      </c>
      <c r="BE29" s="161"/>
      <c r="BF29" s="716">
        <v>1.1100000000000001</v>
      </c>
      <c r="BG29" s="716">
        <v>0.25</v>
      </c>
      <c r="BH29" s="716">
        <v>1.62</v>
      </c>
      <c r="BI29" s="716">
        <v>0.45</v>
      </c>
      <c r="BJ29" s="716">
        <v>1.49</v>
      </c>
      <c r="BK29" s="716">
        <v>0.25</v>
      </c>
      <c r="BL29" s="716">
        <v>1.43</v>
      </c>
      <c r="BM29" s="716">
        <v>0.38</v>
      </c>
      <c r="BN29" s="716">
        <v>1.54</v>
      </c>
      <c r="BO29" s="716">
        <v>0.3</v>
      </c>
      <c r="BP29" s="716">
        <v>1.27</v>
      </c>
      <c r="BQ29" s="716">
        <v>0.54</v>
      </c>
    </row>
    <row r="30" spans="2:69" s="9" customFormat="1" ht="12.75">
      <c r="B30" s="15">
        <v>2001</v>
      </c>
      <c r="C30" s="125">
        <v>361243</v>
      </c>
      <c r="D30" s="125">
        <v>501137</v>
      </c>
      <c r="E30" s="125">
        <v>110624</v>
      </c>
      <c r="F30" s="125">
        <v>53646</v>
      </c>
      <c r="G30" s="833">
        <v>24112</v>
      </c>
      <c r="H30" s="836">
        <v>3257</v>
      </c>
      <c r="I30" s="125">
        <v>16475</v>
      </c>
      <c r="J30" s="125">
        <v>4320</v>
      </c>
      <c r="K30" s="125">
        <v>1810</v>
      </c>
      <c r="L30" s="125">
        <v>400</v>
      </c>
      <c r="M30" s="13">
        <v>29012</v>
      </c>
      <c r="N30" s="34">
        <v>23324</v>
      </c>
      <c r="O30" s="34"/>
      <c r="P30" s="34">
        <v>24455</v>
      </c>
      <c r="Q30" s="34">
        <v>34177</v>
      </c>
      <c r="R30" s="34">
        <v>24722</v>
      </c>
      <c r="S30" s="34"/>
      <c r="T30" s="34">
        <v>24646</v>
      </c>
      <c r="U30" s="34">
        <v>42116</v>
      </c>
      <c r="V30" s="34">
        <v>30654</v>
      </c>
      <c r="W30" s="34"/>
      <c r="X30" s="34">
        <v>29522</v>
      </c>
      <c r="Y30" s="34">
        <v>51801</v>
      </c>
      <c r="Z30" s="34">
        <v>37582</v>
      </c>
      <c r="AA30" s="34"/>
      <c r="AB30" s="34">
        <v>31953</v>
      </c>
      <c r="AC30" s="34">
        <v>65725</v>
      </c>
      <c r="AD30" s="34">
        <v>49840</v>
      </c>
      <c r="AE30" s="45"/>
      <c r="AF30" s="15">
        <v>35326</v>
      </c>
      <c r="AG30" s="850">
        <f t="shared" si="19"/>
        <v>25014.392531849029</v>
      </c>
      <c r="AH30" s="850">
        <f t="shared" si="20"/>
        <v>26551.052967615193</v>
      </c>
      <c r="AI30" s="850">
        <f t="shared" si="21"/>
        <v>32349.868585545901</v>
      </c>
      <c r="AJ30" s="850">
        <f t="shared" si="22"/>
        <v>37567.325842362188</v>
      </c>
      <c r="AK30" s="850">
        <f t="shared" si="23"/>
        <v>45698.999032622931</v>
      </c>
      <c r="AL30" s="807">
        <f t="shared" si="24"/>
        <v>0.19747886653172997</v>
      </c>
      <c r="AM30" s="780">
        <f t="shared" si="25"/>
        <v>0.30107750922728899</v>
      </c>
      <c r="AN30" s="780">
        <f t="shared" si="26"/>
        <v>0.5014436242409811</v>
      </c>
      <c r="AO30" s="869">
        <v>1326900</v>
      </c>
      <c r="AP30" s="869">
        <v>2023000</v>
      </c>
      <c r="AQ30" s="870">
        <v>3369300</v>
      </c>
      <c r="AR30" s="873">
        <v>46</v>
      </c>
      <c r="AS30" s="874">
        <f t="shared" si="10"/>
        <v>55</v>
      </c>
      <c r="AT30" s="874">
        <f t="shared" si="11"/>
        <v>85</v>
      </c>
      <c r="AU30" s="874">
        <f t="shared" si="12"/>
        <v>130</v>
      </c>
      <c r="AV30" s="875">
        <f t="shared" si="13"/>
        <v>190</v>
      </c>
      <c r="AW30" s="10">
        <f t="shared" si="14"/>
        <v>415668.61326360598</v>
      </c>
      <c r="AX30" s="10">
        <f t="shared" si="15"/>
        <v>731814.32670674752</v>
      </c>
      <c r="AY30" s="10">
        <f t="shared" si="16"/>
        <v>304187.10830463155</v>
      </c>
      <c r="AZ30" s="10">
        <f t="shared" si="17"/>
        <v>261993.77907811708</v>
      </c>
      <c r="BA30" s="10">
        <f t="shared" si="18"/>
        <v>209359.91028817478</v>
      </c>
      <c r="BB30" s="34">
        <f t="shared" si="3"/>
        <v>1923023.737641277</v>
      </c>
      <c r="BC30" s="878">
        <v>528518</v>
      </c>
      <c r="BD30" s="161">
        <f>(BB30-BC30)/'AX1'!N50/1000</f>
        <v>1.263507606991094</v>
      </c>
      <c r="BE30" s="161"/>
      <c r="BF30" s="716">
        <v>1.21</v>
      </c>
      <c r="BG30" s="716">
        <v>0.28000000000000003</v>
      </c>
      <c r="BH30" s="716">
        <v>1.69</v>
      </c>
      <c r="BI30" s="716">
        <v>0.47</v>
      </c>
      <c r="BJ30" s="716">
        <v>1.43</v>
      </c>
      <c r="BK30" s="716">
        <v>0.24</v>
      </c>
      <c r="BL30" s="716">
        <v>1.56</v>
      </c>
      <c r="BM30" s="716">
        <v>0.41</v>
      </c>
      <c r="BN30" s="716">
        <v>1.62</v>
      </c>
      <c r="BO30" s="716">
        <v>0.33</v>
      </c>
      <c r="BP30" s="716">
        <v>1.29</v>
      </c>
      <c r="BQ30" s="716">
        <v>0.53</v>
      </c>
    </row>
    <row r="31" spans="2:69" s="9" customFormat="1" ht="12.75">
      <c r="B31" s="15">
        <v>2002</v>
      </c>
      <c r="C31" s="125">
        <v>367870</v>
      </c>
      <c r="D31" s="125">
        <v>526741</v>
      </c>
      <c r="E31" s="125">
        <v>118417</v>
      </c>
      <c r="F31" s="125">
        <v>55351</v>
      </c>
      <c r="G31" s="833">
        <v>25068</v>
      </c>
      <c r="H31" s="836">
        <v>4733</v>
      </c>
      <c r="I31" s="125">
        <v>19984</v>
      </c>
      <c r="J31" s="125">
        <v>7251</v>
      </c>
      <c r="K31" s="125">
        <v>1289</v>
      </c>
      <c r="L31" s="125">
        <v>778</v>
      </c>
      <c r="M31" s="13">
        <v>25746</v>
      </c>
      <c r="N31" s="34">
        <v>20867</v>
      </c>
      <c r="O31" s="34"/>
      <c r="P31" s="34">
        <v>20843</v>
      </c>
      <c r="Q31" s="34">
        <v>30497</v>
      </c>
      <c r="R31" s="34">
        <v>22020</v>
      </c>
      <c r="S31" s="34"/>
      <c r="T31" s="34">
        <v>21317</v>
      </c>
      <c r="U31" s="34">
        <v>40375</v>
      </c>
      <c r="V31" s="34">
        <v>28143</v>
      </c>
      <c r="W31" s="34"/>
      <c r="X31" s="34">
        <v>26743</v>
      </c>
      <c r="Y31" s="34">
        <v>48352</v>
      </c>
      <c r="Z31" s="34">
        <v>34204</v>
      </c>
      <c r="AA31" s="34"/>
      <c r="AB31" s="34">
        <v>30500</v>
      </c>
      <c r="AC31" s="34">
        <v>66281</v>
      </c>
      <c r="AD31" s="34">
        <v>55400</v>
      </c>
      <c r="AE31" s="45"/>
      <c r="AF31" s="15">
        <v>34461</v>
      </c>
      <c r="AG31" s="850">
        <f t="shared" si="19"/>
        <v>21787.494898109646</v>
      </c>
      <c r="AH31" s="850">
        <f t="shared" si="20"/>
        <v>23282.038706538086</v>
      </c>
      <c r="AI31" s="850">
        <f t="shared" si="21"/>
        <v>29767.416526585861</v>
      </c>
      <c r="AJ31" s="850">
        <f t="shared" si="22"/>
        <v>35019.636969536106</v>
      </c>
      <c r="AK31" s="850">
        <f t="shared" si="23"/>
        <v>46801.014966528062</v>
      </c>
      <c r="AL31" s="807">
        <f t="shared" si="24"/>
        <v>0.19117343478132648</v>
      </c>
      <c r="AM31" s="780">
        <f t="shared" si="25"/>
        <v>0.29881447403344247</v>
      </c>
      <c r="AN31" s="780">
        <f t="shared" si="26"/>
        <v>0.51001209118523105</v>
      </c>
      <c r="AO31" s="869">
        <v>1296500</v>
      </c>
      <c r="AP31" s="869">
        <v>2026500</v>
      </c>
      <c r="AQ31" s="870">
        <v>3458800</v>
      </c>
      <c r="AR31" s="873">
        <v>47</v>
      </c>
      <c r="AS31" s="874">
        <f t="shared" si="10"/>
        <v>55</v>
      </c>
      <c r="AT31" s="874">
        <f t="shared" si="11"/>
        <v>85</v>
      </c>
      <c r="AU31" s="874">
        <f t="shared" si="12"/>
        <v>130</v>
      </c>
      <c r="AV31" s="875">
        <f t="shared" si="13"/>
        <v>190</v>
      </c>
      <c r="AW31" s="10">
        <f t="shared" si="14"/>
        <v>376703.39016387693</v>
      </c>
      <c r="AX31" s="10">
        <f t="shared" si="15"/>
        <v>674498.23926763178</v>
      </c>
      <c r="AY31" s="10">
        <f t="shared" si="16"/>
        <v>299622.29384044104</v>
      </c>
      <c r="AZ31" s="10">
        <f t="shared" si="17"/>
        <v>251988.35036710309</v>
      </c>
      <c r="BA31" s="10">
        <f t="shared" si="18"/>
        <v>222909.49020437582</v>
      </c>
      <c r="BB31" s="34">
        <f t="shared" si="3"/>
        <v>1825721.7638434288</v>
      </c>
      <c r="BC31" s="878">
        <v>533730</v>
      </c>
      <c r="BD31" s="161">
        <f>(BB31-BC31)/'AX1'!N51/1000</f>
        <v>1.2183947394226631</v>
      </c>
      <c r="BE31" s="161"/>
      <c r="BF31" s="716">
        <v>1.27</v>
      </c>
      <c r="BG31" s="716">
        <v>0.3</v>
      </c>
      <c r="BH31" s="716">
        <v>1.8</v>
      </c>
      <c r="BI31" s="716">
        <v>0.48</v>
      </c>
      <c r="BJ31" s="716">
        <v>1.36</v>
      </c>
      <c r="BK31" s="716">
        <v>0.23</v>
      </c>
      <c r="BL31" s="716">
        <v>1.73</v>
      </c>
      <c r="BM31" s="716">
        <v>0.43</v>
      </c>
      <c r="BN31" s="716">
        <v>1.77</v>
      </c>
      <c r="BO31" s="716">
        <v>0.38</v>
      </c>
      <c r="BP31" s="716">
        <v>1.48</v>
      </c>
      <c r="BQ31" s="716">
        <v>0.53</v>
      </c>
    </row>
    <row r="32" spans="2:69" s="9" customFormat="1" ht="12.75">
      <c r="B32" s="15">
        <v>2003</v>
      </c>
      <c r="C32" s="125">
        <v>343639</v>
      </c>
      <c r="D32" s="125">
        <v>478438</v>
      </c>
      <c r="E32" s="125">
        <v>112931</v>
      </c>
      <c r="F32" s="125">
        <v>51185</v>
      </c>
      <c r="G32" s="833">
        <v>21782</v>
      </c>
      <c r="H32" s="836">
        <v>4738</v>
      </c>
      <c r="I32" s="125">
        <v>17908</v>
      </c>
      <c r="J32" s="125">
        <v>2349</v>
      </c>
      <c r="K32" s="125">
        <v>1043</v>
      </c>
      <c r="L32" s="125">
        <v>359</v>
      </c>
      <c r="M32" s="13">
        <v>32535</v>
      </c>
      <c r="N32" s="34">
        <v>25233</v>
      </c>
      <c r="O32" s="34"/>
      <c r="P32" s="34">
        <v>26611</v>
      </c>
      <c r="Q32" s="34">
        <v>41716</v>
      </c>
      <c r="R32" s="34">
        <v>33058</v>
      </c>
      <c r="S32" s="34"/>
      <c r="T32" s="34">
        <v>28023</v>
      </c>
      <c r="U32" s="34">
        <v>56808</v>
      </c>
      <c r="V32" s="34">
        <v>46837</v>
      </c>
      <c r="W32" s="34"/>
      <c r="X32" s="34">
        <v>35698</v>
      </c>
      <c r="Y32" s="34">
        <v>66291</v>
      </c>
      <c r="Z32" s="34">
        <v>62070</v>
      </c>
      <c r="AA32" s="34"/>
      <c r="AB32" s="34">
        <v>41912</v>
      </c>
      <c r="AC32" s="34">
        <v>94478</v>
      </c>
      <c r="AD32" s="34">
        <v>75240</v>
      </c>
      <c r="AE32" s="45"/>
      <c r="AF32" s="15">
        <v>44483</v>
      </c>
      <c r="AG32" s="850">
        <f t="shared" si="19"/>
        <v>27302.095212179156</v>
      </c>
      <c r="AH32" s="850">
        <f t="shared" si="20"/>
        <v>32062.358049569757</v>
      </c>
      <c r="AI32" s="850">
        <f t="shared" si="21"/>
        <v>42928.439567551664</v>
      </c>
      <c r="AJ32" s="850">
        <f t="shared" si="22"/>
        <v>52428.928131205408</v>
      </c>
      <c r="AK32" s="850">
        <f t="shared" si="23"/>
        <v>62906.99392513054</v>
      </c>
      <c r="AL32" s="807">
        <f t="shared" si="24"/>
        <v>0.18576156505111421</v>
      </c>
      <c r="AM32" s="780">
        <f t="shared" si="25"/>
        <v>0.29706552916084428</v>
      </c>
      <c r="AN32" s="780">
        <f t="shared" si="26"/>
        <v>0.51717290578804143</v>
      </c>
      <c r="AO32" s="869">
        <v>1262900</v>
      </c>
      <c r="AP32" s="869">
        <v>2019600</v>
      </c>
      <c r="AQ32" s="870">
        <v>3516000</v>
      </c>
      <c r="AR32" s="873">
        <v>48</v>
      </c>
      <c r="AS32" s="874">
        <f t="shared" si="10"/>
        <v>55</v>
      </c>
      <c r="AT32" s="874">
        <f t="shared" si="11"/>
        <v>85</v>
      </c>
      <c r="AU32" s="874">
        <f t="shared" si="12"/>
        <v>130</v>
      </c>
      <c r="AV32" s="875">
        <f t="shared" si="13"/>
        <v>190</v>
      </c>
      <c r="AW32" s="10">
        <f t="shared" si="14"/>
        <v>450339.10543766565</v>
      </c>
      <c r="AX32" s="10">
        <f t="shared" si="15"/>
        <v>843691.77532860299</v>
      </c>
      <c r="AY32" s="10">
        <f t="shared" si="16"/>
        <v>412075.88674827002</v>
      </c>
      <c r="AZ32" s="10">
        <f t="shared" si="17"/>
        <v>348864.70923144731</v>
      </c>
      <c r="BA32" s="10">
        <f t="shared" si="18"/>
        <v>260345.62691866679</v>
      </c>
      <c r="BB32" s="34">
        <f t="shared" si="3"/>
        <v>2315317.1036646529</v>
      </c>
      <c r="BC32" s="878">
        <v>522237</v>
      </c>
      <c r="BD32" s="161">
        <f>(BB32-BC32)/'AX1'!N52/1000</f>
        <v>1.6859369744855113</v>
      </c>
      <c r="BE32" s="161"/>
      <c r="BF32" s="716">
        <v>1.31</v>
      </c>
      <c r="BG32" s="716">
        <v>0.31</v>
      </c>
      <c r="BH32" s="716">
        <v>1.89</v>
      </c>
      <c r="BI32" s="716">
        <v>0.48</v>
      </c>
      <c r="BJ32" s="716">
        <v>1.27</v>
      </c>
      <c r="BK32" s="716">
        <v>0.22</v>
      </c>
      <c r="BL32" s="716">
        <v>1.94</v>
      </c>
      <c r="BM32" s="716">
        <v>0.46</v>
      </c>
      <c r="BN32" s="716">
        <v>1.94</v>
      </c>
      <c r="BO32" s="716">
        <v>0.42</v>
      </c>
      <c r="BP32" s="716">
        <v>1.57</v>
      </c>
      <c r="BQ32" s="716">
        <v>0.53</v>
      </c>
    </row>
    <row r="33" spans="2:69" s="9" customFormat="1" ht="12.75">
      <c r="B33" s="15">
        <v>2004</v>
      </c>
      <c r="C33" s="125">
        <v>346005</v>
      </c>
      <c r="D33" s="125">
        <v>497599</v>
      </c>
      <c r="E33" s="125">
        <v>115963</v>
      </c>
      <c r="F33" s="125">
        <v>53336</v>
      </c>
      <c r="G33" s="833">
        <v>22068</v>
      </c>
      <c r="H33" s="836">
        <v>2122</v>
      </c>
      <c r="I33" s="125">
        <v>18225</v>
      </c>
      <c r="J33" s="125">
        <v>3110</v>
      </c>
      <c r="K33" s="125">
        <v>2112</v>
      </c>
      <c r="L33" s="125">
        <v>467</v>
      </c>
      <c r="M33" s="13">
        <v>39158</v>
      </c>
      <c r="N33" s="34">
        <v>29896</v>
      </c>
      <c r="O33" s="34"/>
      <c r="P33" s="34">
        <v>30529</v>
      </c>
      <c r="Q33" s="34">
        <v>49266</v>
      </c>
      <c r="R33" s="34">
        <v>38868</v>
      </c>
      <c r="S33" s="34"/>
      <c r="T33" s="34">
        <v>32684</v>
      </c>
      <c r="U33" s="34">
        <v>66634</v>
      </c>
      <c r="V33" s="34">
        <v>56516</v>
      </c>
      <c r="W33" s="34"/>
      <c r="X33" s="34">
        <v>41584</v>
      </c>
      <c r="Y33" s="34">
        <v>82482</v>
      </c>
      <c r="Z33" s="34">
        <v>73046</v>
      </c>
      <c r="AA33" s="34"/>
      <c r="AB33" s="34">
        <v>49987</v>
      </c>
      <c r="AC33" s="34">
        <v>115358</v>
      </c>
      <c r="AD33" s="34">
        <v>96641</v>
      </c>
      <c r="AE33" s="45"/>
      <c r="AF33" s="15">
        <v>57151</v>
      </c>
      <c r="AG33" s="850">
        <f t="shared" si="19"/>
        <v>31923.146369121176</v>
      </c>
      <c r="AH33" s="850">
        <f t="shared" si="20"/>
        <v>37559.689903321945</v>
      </c>
      <c r="AI33" s="850">
        <f t="shared" si="21"/>
        <v>50608.819277458751</v>
      </c>
      <c r="AJ33" s="850">
        <f t="shared" si="22"/>
        <v>62789.065101402921</v>
      </c>
      <c r="AK33" s="850">
        <f t="shared" si="23"/>
        <v>79544.193385185717</v>
      </c>
      <c r="AL33" s="807">
        <f t="shared" si="24"/>
        <v>0.18333939085556444</v>
      </c>
      <c r="AM33" s="780">
        <f t="shared" si="25"/>
        <v>0.29682343534200772</v>
      </c>
      <c r="AN33" s="780">
        <f t="shared" si="26"/>
        <v>0.51983717380242789</v>
      </c>
      <c r="AO33" s="869">
        <v>1261100</v>
      </c>
      <c r="AP33" s="869">
        <v>2041700</v>
      </c>
      <c r="AQ33" s="870">
        <v>3575700</v>
      </c>
      <c r="AR33" s="873">
        <v>49</v>
      </c>
      <c r="AS33" s="874">
        <f t="shared" si="10"/>
        <v>55</v>
      </c>
      <c r="AT33" s="874">
        <f t="shared" si="11"/>
        <v>85</v>
      </c>
      <c r="AU33" s="874">
        <f t="shared" si="12"/>
        <v>130</v>
      </c>
      <c r="AV33" s="875">
        <f t="shared" si="13"/>
        <v>190</v>
      </c>
      <c r="AW33" s="10">
        <f t="shared" si="14"/>
        <v>541232.84471294086</v>
      </c>
      <c r="AX33" s="10">
        <f t="shared" si="15"/>
        <v>1027931.5274911704</v>
      </c>
      <c r="AY33" s="10">
        <f t="shared" si="16"/>
        <v>498843.79333911568</v>
      </c>
      <c r="AZ33" s="10">
        <f t="shared" si="17"/>
        <v>435359.28491229541</v>
      </c>
      <c r="BA33" s="10">
        <f t="shared" si="18"/>
        <v>333522.43932861288</v>
      </c>
      <c r="BB33" s="34">
        <f t="shared" si="3"/>
        <v>2836889.8897841349</v>
      </c>
      <c r="BC33" s="878">
        <v>527868</v>
      </c>
      <c r="BD33" s="161">
        <f>(BB33-BC33)/'AX1'!N53/1000</f>
        <v>2.0755443199600827</v>
      </c>
      <c r="BE33" s="161"/>
      <c r="BF33" s="716">
        <v>1.37</v>
      </c>
      <c r="BG33" s="716">
        <v>0.31</v>
      </c>
      <c r="BH33" s="716">
        <v>1.95</v>
      </c>
      <c r="BI33" s="716">
        <v>0.49</v>
      </c>
      <c r="BJ33" s="716">
        <v>1.18</v>
      </c>
      <c r="BK33" s="716">
        <v>0.21</v>
      </c>
      <c r="BL33" s="716">
        <v>2.2000000000000002</v>
      </c>
      <c r="BM33" s="716">
        <v>0.48</v>
      </c>
      <c r="BN33" s="716">
        <v>2.04</v>
      </c>
      <c r="BO33" s="716">
        <v>0.42</v>
      </c>
      <c r="BP33" s="716">
        <v>1.56</v>
      </c>
      <c r="BQ33" s="716">
        <v>0.53</v>
      </c>
    </row>
    <row r="34" spans="2:69" s="9" customFormat="1" ht="12.75">
      <c r="B34" s="15">
        <v>2005</v>
      </c>
      <c r="C34" s="125">
        <v>348951</v>
      </c>
      <c r="D34" s="125">
        <v>509066</v>
      </c>
      <c r="E34" s="125">
        <v>118903</v>
      </c>
      <c r="F34" s="125">
        <v>53813</v>
      </c>
      <c r="G34" s="833">
        <v>22513</v>
      </c>
      <c r="H34" s="836">
        <v>2408</v>
      </c>
      <c r="I34" s="125">
        <v>10754</v>
      </c>
      <c r="J34" s="125">
        <v>3091</v>
      </c>
      <c r="K34" s="125">
        <v>582</v>
      </c>
      <c r="L34" s="125">
        <v>486</v>
      </c>
      <c r="M34" s="13">
        <v>42849</v>
      </c>
      <c r="N34" s="34">
        <v>30068</v>
      </c>
      <c r="O34" s="34" t="s">
        <v>1566</v>
      </c>
      <c r="P34" s="34">
        <v>28929</v>
      </c>
      <c r="Q34" s="34">
        <v>52213</v>
      </c>
      <c r="R34" s="34">
        <v>38090</v>
      </c>
      <c r="S34" s="34"/>
      <c r="T34" s="34">
        <v>31185</v>
      </c>
      <c r="U34" s="34">
        <v>69332</v>
      </c>
      <c r="V34" s="34">
        <v>57104</v>
      </c>
      <c r="W34" s="34" t="s">
        <v>1566</v>
      </c>
      <c r="X34" s="34">
        <v>41549</v>
      </c>
      <c r="Y34" s="34">
        <v>85781</v>
      </c>
      <c r="Z34" s="34">
        <v>75419</v>
      </c>
      <c r="AA34" s="34" t="s">
        <v>1566</v>
      </c>
      <c r="AB34" s="34">
        <v>48590</v>
      </c>
      <c r="AC34" s="34">
        <v>120308</v>
      </c>
      <c r="AD34" s="34">
        <v>99282</v>
      </c>
      <c r="AE34" s="45"/>
      <c r="AF34" s="15">
        <v>56098</v>
      </c>
      <c r="AG34" s="850">
        <f t="shared" si="19"/>
        <v>31807.894707231571</v>
      </c>
      <c r="AH34" s="850">
        <f t="shared" si="20"/>
        <v>37082.065881911687</v>
      </c>
      <c r="AI34" s="850">
        <f t="shared" si="21"/>
        <v>51261.049292422205</v>
      </c>
      <c r="AJ34" s="850">
        <f t="shared" si="22"/>
        <v>63384.450642662399</v>
      </c>
      <c r="AK34" s="850">
        <f t="shared" si="23"/>
        <v>80704.047662324549</v>
      </c>
      <c r="AL34" s="807">
        <f t="shared" si="24"/>
        <v>0.18238340474026629</v>
      </c>
      <c r="AM34" s="780">
        <f t="shared" si="25"/>
        <v>0.29861081057688149</v>
      </c>
      <c r="AN34" s="780">
        <f t="shared" si="26"/>
        <v>0.51900578468285219</v>
      </c>
      <c r="AO34" s="869">
        <v>1264300</v>
      </c>
      <c r="AP34" s="869">
        <v>2070000</v>
      </c>
      <c r="AQ34" s="870">
        <v>3597800</v>
      </c>
      <c r="AR34" s="873">
        <v>50</v>
      </c>
      <c r="AS34" s="874">
        <f t="shared" si="10"/>
        <v>55</v>
      </c>
      <c r="AT34" s="874">
        <f t="shared" si="11"/>
        <v>85</v>
      </c>
      <c r="AU34" s="874">
        <f t="shared" si="12"/>
        <v>130</v>
      </c>
      <c r="AV34" s="875">
        <f t="shared" si="13"/>
        <v>190</v>
      </c>
      <c r="AW34" s="10">
        <f>AR34*AG34*C34/1000/1000</f>
        <v>554969.83329915826</v>
      </c>
      <c r="AX34" s="10">
        <f t="shared" si="15"/>
        <v>1038247.0422632691</v>
      </c>
      <c r="AY34" s="10">
        <f t="shared" si="16"/>
        <v>518082.86624143459</v>
      </c>
      <c r="AZ34" s="10">
        <f t="shared" si="17"/>
        <v>443417.96751636697</v>
      </c>
      <c r="BA34" s="10">
        <f t="shared" si="18"/>
        <v>345209.14275416336</v>
      </c>
      <c r="BB34" s="34">
        <f t="shared" si="3"/>
        <v>2899926.8520743921</v>
      </c>
      <c r="BC34" s="878">
        <v>533069</v>
      </c>
      <c r="BD34" s="161">
        <f>(BB34-BC34)/'AX1'!N54/1000</f>
        <v>2.0211312261606822</v>
      </c>
      <c r="BE34" s="161"/>
      <c r="BF34" s="716">
        <v>1.51</v>
      </c>
      <c r="BG34" s="716">
        <v>0.32</v>
      </c>
      <c r="BH34" s="716">
        <v>2.13</v>
      </c>
      <c r="BI34" s="716">
        <v>0.51</v>
      </c>
      <c r="BJ34" s="716">
        <v>1.1299999999999999</v>
      </c>
      <c r="BK34" s="716">
        <v>0.2</v>
      </c>
      <c r="BL34" s="716">
        <v>2.5299999999999998</v>
      </c>
      <c r="BM34" s="716">
        <v>0.51</v>
      </c>
      <c r="BN34" s="716">
        <v>2.08</v>
      </c>
      <c r="BO34" s="716">
        <v>0.42</v>
      </c>
      <c r="BP34" s="716">
        <v>1.51</v>
      </c>
      <c r="BQ34" s="716">
        <v>0.5</v>
      </c>
    </row>
    <row r="35" spans="2:69" s="9" customFormat="1" ht="12.75">
      <c r="B35" s="15">
        <v>2006</v>
      </c>
      <c r="C35" s="125">
        <v>350455</v>
      </c>
      <c r="D35" s="125">
        <v>519498</v>
      </c>
      <c r="E35" s="125">
        <v>121404</v>
      </c>
      <c r="F35" s="125">
        <v>54778</v>
      </c>
      <c r="G35" s="833">
        <v>22763</v>
      </c>
      <c r="H35" s="836">
        <v>1601</v>
      </c>
      <c r="I35" s="125">
        <v>10664</v>
      </c>
      <c r="J35" s="125">
        <v>2867</v>
      </c>
      <c r="K35" s="125">
        <v>1072</v>
      </c>
      <c r="L35" s="125">
        <v>375</v>
      </c>
      <c r="M35" s="13">
        <v>52292</v>
      </c>
      <c r="N35" s="34">
        <v>36806</v>
      </c>
      <c r="O35" s="34" t="s">
        <v>1566</v>
      </c>
      <c r="P35" s="34">
        <v>32514</v>
      </c>
      <c r="Q35" s="34">
        <v>61548</v>
      </c>
      <c r="R35" s="34">
        <v>47791</v>
      </c>
      <c r="S35" s="34"/>
      <c r="T35" s="34">
        <v>34220</v>
      </c>
      <c r="U35" s="34">
        <v>83239</v>
      </c>
      <c r="V35" s="34">
        <v>76450</v>
      </c>
      <c r="W35" s="34" t="s">
        <v>1566</v>
      </c>
      <c r="X35" s="34">
        <v>44721</v>
      </c>
      <c r="Y35" s="34">
        <v>105574</v>
      </c>
      <c r="Z35" s="34">
        <v>95658</v>
      </c>
      <c r="AA35" s="34" t="s">
        <v>1566</v>
      </c>
      <c r="AB35" s="34">
        <v>57145</v>
      </c>
      <c r="AC35" s="34">
        <v>150718</v>
      </c>
      <c r="AD35" s="34">
        <v>129577</v>
      </c>
      <c r="AE35" s="45"/>
      <c r="AF35" s="15">
        <v>70215</v>
      </c>
      <c r="AG35" s="850">
        <f t="shared" si="19"/>
        <v>37403.055095943288</v>
      </c>
      <c r="AH35" s="850">
        <f t="shared" si="20"/>
        <v>43253.300358775057</v>
      </c>
      <c r="AI35" s="850">
        <f t="shared" si="21"/>
        <v>61209.966025912494</v>
      </c>
      <c r="AJ35" s="850">
        <f t="shared" si="22"/>
        <v>77465.249740438274</v>
      </c>
      <c r="AK35" s="850">
        <f t="shared" si="23"/>
        <v>102604.50350281066</v>
      </c>
      <c r="AL35" s="871">
        <f>AL34+(AL$40-AL$34)/6</f>
        <v>0.1824991380907387</v>
      </c>
      <c r="AM35" s="630">
        <f t="shared" ref="AM35:AN39" si="27">AM34+(AM$40-AM$34)/6</f>
        <v>0.29813307147825097</v>
      </c>
      <c r="AN35" s="630">
        <f t="shared" si="27"/>
        <v>0.51936779043101033</v>
      </c>
      <c r="AO35" s="867"/>
      <c r="AP35" s="867"/>
      <c r="AQ35" s="868"/>
      <c r="AR35" s="873">
        <v>51</v>
      </c>
      <c r="AS35" s="874">
        <f t="shared" si="10"/>
        <v>55</v>
      </c>
      <c r="AT35" s="874">
        <f t="shared" si="11"/>
        <v>85</v>
      </c>
      <c r="AU35" s="874">
        <f t="shared" si="12"/>
        <v>130</v>
      </c>
      <c r="AV35" s="875">
        <f t="shared" si="13"/>
        <v>190</v>
      </c>
      <c r="AW35" s="10">
        <f t="shared" ref="AW35:AW48" si="28">AR35*AG35*C35/1000/1000</f>
        <v>668512.47135608911</v>
      </c>
      <c r="AX35" s="10">
        <f t="shared" ref="AX35:AX48" si="29">AS35*AH35*D35/1000/1000</f>
        <v>1235850.1666380607</v>
      </c>
      <c r="AY35" s="10">
        <f t="shared" ref="AY35:AY48" si="30">AT35*AI35*E35/1000/1000</f>
        <v>631646.45080983988</v>
      </c>
      <c r="AZ35" s="10">
        <f t="shared" ref="AZ35:AZ48" si="31">AU35*AJ35*F35/1000/1000</f>
        <v>551640.88853662473</v>
      </c>
      <c r="BA35" s="10">
        <f t="shared" ref="BA35:BA48" si="32">AV35*AK35*G35/1000/1000</f>
        <v>443761.39951455104</v>
      </c>
      <c r="BB35" s="34">
        <f t="shared" si="3"/>
        <v>3531411.3768551657</v>
      </c>
      <c r="BC35" s="878">
        <v>529358</v>
      </c>
      <c r="BD35" s="161">
        <f>(BB35-BC35)/'AX1'!N55/1000</f>
        <v>2.3429935526281263</v>
      </c>
      <c r="BE35" s="161"/>
      <c r="BF35" s="716">
        <v>1.56</v>
      </c>
      <c r="BG35" s="716">
        <v>0.32</v>
      </c>
      <c r="BH35" s="716">
        <v>2.15</v>
      </c>
      <c r="BI35" s="716">
        <v>0.51</v>
      </c>
      <c r="BJ35" s="716">
        <v>1.1299999999999999</v>
      </c>
      <c r="BK35" s="716">
        <v>0.19</v>
      </c>
      <c r="BL35" s="716">
        <v>2.77</v>
      </c>
      <c r="BM35" s="716">
        <v>0.52</v>
      </c>
      <c r="BN35" s="716">
        <v>2.12</v>
      </c>
      <c r="BO35" s="716">
        <v>0.41</v>
      </c>
      <c r="BP35" s="716">
        <v>1.8</v>
      </c>
      <c r="BQ35" s="716">
        <v>0.51</v>
      </c>
    </row>
    <row r="36" spans="2:69" s="9" customFormat="1" ht="12.75">
      <c r="B36" s="15">
        <v>2007</v>
      </c>
      <c r="C36" s="834">
        <v>351595</v>
      </c>
      <c r="D36" s="125">
        <v>526540</v>
      </c>
      <c r="E36" s="125">
        <v>122717</v>
      </c>
      <c r="F36" s="125">
        <v>55336</v>
      </c>
      <c r="G36" s="833">
        <v>23055</v>
      </c>
      <c r="H36" s="836">
        <v>1029</v>
      </c>
      <c r="I36" s="125">
        <v>7188</v>
      </c>
      <c r="J36" s="125">
        <v>1516</v>
      </c>
      <c r="K36" s="125">
        <v>480</v>
      </c>
      <c r="L36" s="125">
        <v>258</v>
      </c>
      <c r="M36" s="13">
        <v>63997</v>
      </c>
      <c r="N36" s="34">
        <v>42952</v>
      </c>
      <c r="O36" s="34" t="s">
        <v>1566</v>
      </c>
      <c r="P36" s="34">
        <v>37705</v>
      </c>
      <c r="Q36" s="34">
        <v>72563</v>
      </c>
      <c r="R36" s="34">
        <v>53543</v>
      </c>
      <c r="S36" s="34"/>
      <c r="T36" s="34">
        <v>38255</v>
      </c>
      <c r="U36" s="34">
        <v>96537</v>
      </c>
      <c r="V36" s="34">
        <v>83318</v>
      </c>
      <c r="W36" s="34" t="s">
        <v>1566</v>
      </c>
      <c r="X36" s="34">
        <v>48727</v>
      </c>
      <c r="Y36" s="34">
        <v>123335</v>
      </c>
      <c r="Z36" s="34">
        <v>102660</v>
      </c>
      <c r="AA36" s="34" t="s">
        <v>1566</v>
      </c>
      <c r="AB36" s="34">
        <v>58875</v>
      </c>
      <c r="AC36" s="34">
        <v>172166</v>
      </c>
      <c r="AD36" s="34">
        <v>137295</v>
      </c>
      <c r="AE36" s="45"/>
      <c r="AF36" s="15">
        <v>74113</v>
      </c>
      <c r="AG36" s="850">
        <f t="shared" si="19"/>
        <v>44068.107728928189</v>
      </c>
      <c r="AH36" s="850">
        <f t="shared" si="20"/>
        <v>49070.705730824702</v>
      </c>
      <c r="AI36" s="850">
        <f t="shared" si="21"/>
        <v>67754.012605947748</v>
      </c>
      <c r="AJ36" s="850">
        <f t="shared" si="22"/>
        <v>83679.19334134215</v>
      </c>
      <c r="AK36" s="850">
        <f t="shared" si="23"/>
        <v>110825.39519983424</v>
      </c>
      <c r="AL36" s="871">
        <f>AL35+(AL$40-AL$34)/6</f>
        <v>0.18261487144121111</v>
      </c>
      <c r="AM36" s="630">
        <f t="shared" si="27"/>
        <v>0.29765533237962039</v>
      </c>
      <c r="AN36" s="630">
        <f t="shared" si="27"/>
        <v>0.51972979617916848</v>
      </c>
      <c r="AO36" s="867"/>
      <c r="AP36" s="867"/>
      <c r="AQ36" s="868"/>
      <c r="AR36" s="873">
        <v>52</v>
      </c>
      <c r="AS36" s="874">
        <f t="shared" si="10"/>
        <v>55</v>
      </c>
      <c r="AT36" s="874">
        <f t="shared" si="11"/>
        <v>85</v>
      </c>
      <c r="AU36" s="874">
        <f t="shared" si="12"/>
        <v>130</v>
      </c>
      <c r="AV36" s="875">
        <f t="shared" si="13"/>
        <v>190</v>
      </c>
      <c r="AW36" s="10">
        <f t="shared" si="28"/>
        <v>805694.56952153041</v>
      </c>
      <c r="AX36" s="10">
        <f t="shared" si="29"/>
        <v>1421072.9167529643</v>
      </c>
      <c r="AY36" s="10">
        <f t="shared" si="30"/>
        <v>706738.37902194762</v>
      </c>
      <c r="AZ36" s="10">
        <f t="shared" si="31"/>
        <v>601961.33955574618</v>
      </c>
      <c r="BA36" s="10">
        <f t="shared" si="32"/>
        <v>485465.10240311391</v>
      </c>
      <c r="BB36" s="34">
        <f t="shared" si="3"/>
        <v>4020932.307255303</v>
      </c>
      <c r="BC36" s="878">
        <v>557855</v>
      </c>
      <c r="BD36" s="161">
        <f>(BB36-BC36)/'AX1'!N56/1000</f>
        <v>2.45721016042069</v>
      </c>
      <c r="BE36" s="161"/>
      <c r="BF36" s="716">
        <v>1.4</v>
      </c>
      <c r="BG36" s="716">
        <v>0.28000000000000003</v>
      </c>
      <c r="BH36" s="716">
        <v>2.19</v>
      </c>
      <c r="BI36" s="716">
        <v>0.51</v>
      </c>
      <c r="BJ36" s="716">
        <v>1.18</v>
      </c>
      <c r="BK36" s="716">
        <v>0.2</v>
      </c>
      <c r="BL36" s="716">
        <v>2.92</v>
      </c>
      <c r="BM36" s="716">
        <v>0.53</v>
      </c>
      <c r="BN36" s="716">
        <v>2.2000000000000002</v>
      </c>
      <c r="BO36" s="716">
        <v>0.42</v>
      </c>
      <c r="BP36" s="716">
        <v>2.23</v>
      </c>
      <c r="BQ36" s="716">
        <v>0.55000000000000004</v>
      </c>
    </row>
    <row r="37" spans="2:69" s="9" customFormat="1" ht="12.75">
      <c r="B37" s="15">
        <v>2008</v>
      </c>
      <c r="C37" s="834">
        <v>352064</v>
      </c>
      <c r="D37" s="125">
        <v>529797</v>
      </c>
      <c r="E37" s="125">
        <v>124651</v>
      </c>
      <c r="F37" s="125">
        <v>56142</v>
      </c>
      <c r="G37" s="125">
        <v>23268</v>
      </c>
      <c r="H37" s="836">
        <v>871</v>
      </c>
      <c r="I37" s="125">
        <v>4897</v>
      </c>
      <c r="J37" s="125">
        <v>1825</v>
      </c>
      <c r="K37" s="125">
        <v>723</v>
      </c>
      <c r="L37" s="125">
        <v>460</v>
      </c>
      <c r="M37" s="13">
        <v>61832</v>
      </c>
      <c r="N37" s="34">
        <v>44190</v>
      </c>
      <c r="O37" s="34" t="s">
        <v>1566</v>
      </c>
      <c r="P37" s="34">
        <v>39215</v>
      </c>
      <c r="Q37" s="34">
        <v>71459</v>
      </c>
      <c r="R37" s="34">
        <v>55338</v>
      </c>
      <c r="S37" s="34"/>
      <c r="T37" s="34">
        <v>39468</v>
      </c>
      <c r="U37" s="34">
        <v>95288</v>
      </c>
      <c r="V37" s="34">
        <v>85613</v>
      </c>
      <c r="W37" s="34" t="s">
        <v>1566</v>
      </c>
      <c r="X37" s="34">
        <v>49189</v>
      </c>
      <c r="Y37" s="34">
        <v>120617</v>
      </c>
      <c r="Z37" s="34">
        <v>101356</v>
      </c>
      <c r="AA37" s="34" t="s">
        <v>1566</v>
      </c>
      <c r="AB37" s="34">
        <v>57554</v>
      </c>
      <c r="AC37" s="34">
        <v>164169</v>
      </c>
      <c r="AD37" s="34">
        <v>145137</v>
      </c>
      <c r="AE37" s="45"/>
      <c r="AF37" s="15">
        <v>69225</v>
      </c>
      <c r="AG37" s="850">
        <f t="shared" si="19"/>
        <v>44826.276615146431</v>
      </c>
      <c r="AH37" s="850">
        <f t="shared" si="20"/>
        <v>50029.943183260053</v>
      </c>
      <c r="AI37" s="850">
        <f t="shared" si="21"/>
        <v>68437.09480795858</v>
      </c>
      <c r="AJ37" s="850">
        <f t="shared" si="22"/>
        <v>82094.51307087185</v>
      </c>
      <c r="AK37" s="850">
        <f t="shared" si="23"/>
        <v>109133.52000248811</v>
      </c>
      <c r="AL37" s="871">
        <f>AL36+(AL$40-AL$34)/6</f>
        <v>0.18273060479168352</v>
      </c>
      <c r="AM37" s="630">
        <f t="shared" si="27"/>
        <v>0.2971775932809898</v>
      </c>
      <c r="AN37" s="630">
        <f t="shared" si="27"/>
        <v>0.52009180192732662</v>
      </c>
      <c r="AO37" s="867"/>
      <c r="AP37" s="867"/>
      <c r="AQ37" s="868"/>
      <c r="AR37" s="873">
        <v>53</v>
      </c>
      <c r="AS37" s="874">
        <f t="shared" si="10"/>
        <v>55</v>
      </c>
      <c r="AT37" s="874">
        <f t="shared" si="11"/>
        <v>85</v>
      </c>
      <c r="AU37" s="874">
        <f t="shared" si="12"/>
        <v>130</v>
      </c>
      <c r="AV37" s="875">
        <f t="shared" si="13"/>
        <v>190</v>
      </c>
      <c r="AW37" s="10">
        <f t="shared" si="28"/>
        <v>836431.06726245047</v>
      </c>
      <c r="AX37" s="10">
        <f t="shared" si="29"/>
        <v>1457814.2594763895</v>
      </c>
      <c r="AY37" s="10">
        <f t="shared" si="30"/>
        <v>725113.94591708179</v>
      </c>
      <c r="AZ37" s="10">
        <f t="shared" si="31"/>
        <v>599163.51986723533</v>
      </c>
      <c r="BA37" s="10">
        <f t="shared" si="32"/>
        <v>482470.56124939973</v>
      </c>
      <c r="BB37" s="34">
        <f t="shared" si="3"/>
        <v>4100993.3537725569</v>
      </c>
      <c r="BC37" s="878">
        <v>587631</v>
      </c>
      <c r="BD37" s="161">
        <f>(BB37-BC37)/'AX1'!N57/1000</f>
        <v>2.410863138451679</v>
      </c>
      <c r="BE37" s="161"/>
      <c r="BF37" s="716">
        <v>1.07</v>
      </c>
      <c r="BG37" s="716">
        <v>0.25</v>
      </c>
      <c r="BH37" s="716">
        <v>2.15</v>
      </c>
      <c r="BI37" s="716">
        <v>0.5</v>
      </c>
      <c r="BJ37" s="716">
        <v>1.27</v>
      </c>
      <c r="BK37" s="716">
        <v>0.22</v>
      </c>
      <c r="BL37" s="716">
        <v>2.96</v>
      </c>
      <c r="BM37" s="716">
        <v>0.54</v>
      </c>
      <c r="BN37" s="716">
        <v>2.0699999999999998</v>
      </c>
      <c r="BO37" s="716">
        <v>0.42</v>
      </c>
      <c r="BP37" s="716">
        <v>2.34</v>
      </c>
      <c r="BQ37" s="716">
        <v>0.6</v>
      </c>
    </row>
    <row r="38" spans="2:69" s="9" customFormat="1" ht="12.75">
      <c r="B38" s="15">
        <v>2009</v>
      </c>
      <c r="C38" s="834">
        <v>351751</v>
      </c>
      <c r="D38" s="125">
        <v>532083</v>
      </c>
      <c r="E38" s="125">
        <v>125256</v>
      </c>
      <c r="F38" s="125">
        <v>57514</v>
      </c>
      <c r="G38" s="125">
        <v>24010</v>
      </c>
      <c r="H38" s="836">
        <v>373</v>
      </c>
      <c r="I38" s="125">
        <v>2998</v>
      </c>
      <c r="J38" s="125">
        <v>1369</v>
      </c>
      <c r="K38" s="125">
        <v>1530</v>
      </c>
      <c r="L38" s="125">
        <v>887</v>
      </c>
      <c r="M38" s="13">
        <v>75892</v>
      </c>
      <c r="N38" s="34">
        <v>55661</v>
      </c>
      <c r="O38" s="34" t="s">
        <v>1566</v>
      </c>
      <c r="P38" s="34">
        <v>48206</v>
      </c>
      <c r="Q38" s="34">
        <v>86553</v>
      </c>
      <c r="R38" s="34">
        <v>69728</v>
      </c>
      <c r="S38" s="34"/>
      <c r="T38" s="34">
        <v>47127</v>
      </c>
      <c r="U38" s="34">
        <v>113073</v>
      </c>
      <c r="V38" s="34">
        <v>107486</v>
      </c>
      <c r="W38" s="34" t="s">
        <v>1566</v>
      </c>
      <c r="X38" s="34">
        <v>59190</v>
      </c>
      <c r="Y38" s="34">
        <v>147970</v>
      </c>
      <c r="Z38" s="34">
        <v>133704</v>
      </c>
      <c r="AA38" s="34" t="s">
        <v>1566</v>
      </c>
      <c r="AB38" s="34">
        <v>66379</v>
      </c>
      <c r="AC38" s="34">
        <v>207171</v>
      </c>
      <c r="AD38" s="34">
        <v>165494</v>
      </c>
      <c r="AE38" s="45"/>
      <c r="AF38" s="15">
        <v>74706</v>
      </c>
      <c r="AG38" s="850">
        <f t="shared" si="19"/>
        <v>55480.181130733217</v>
      </c>
      <c r="AH38" s="850">
        <f t="shared" si="20"/>
        <v>61041.613131968137</v>
      </c>
      <c r="AI38" s="850">
        <f t="shared" si="21"/>
        <v>83371.725395704998</v>
      </c>
      <c r="AJ38" s="850">
        <f t="shared" si="22"/>
        <v>101272.93325818397</v>
      </c>
      <c r="AK38" s="850">
        <f t="shared" si="23"/>
        <v>125863.52654350871</v>
      </c>
      <c r="AL38" s="871">
        <f>AL37+(AL$40-AL$34)/6</f>
        <v>0.18284633814215592</v>
      </c>
      <c r="AM38" s="630">
        <f t="shared" si="27"/>
        <v>0.29669985418235922</v>
      </c>
      <c r="AN38" s="630">
        <f t="shared" si="27"/>
        <v>0.52045380767548477</v>
      </c>
      <c r="AO38" s="867"/>
      <c r="AP38" s="867"/>
      <c r="AQ38" s="868"/>
      <c r="AR38" s="873">
        <v>54</v>
      </c>
      <c r="AS38" s="874">
        <f t="shared" si="10"/>
        <v>55</v>
      </c>
      <c r="AT38" s="874">
        <f t="shared" si="11"/>
        <v>85</v>
      </c>
      <c r="AU38" s="874">
        <f t="shared" si="12"/>
        <v>130</v>
      </c>
      <c r="AV38" s="875">
        <f t="shared" si="13"/>
        <v>190</v>
      </c>
      <c r="AW38" s="10">
        <f t="shared" si="28"/>
        <v>1053821.2964174931</v>
      </c>
      <c r="AX38" s="10">
        <f t="shared" si="29"/>
        <v>1786356.2552053349</v>
      </c>
      <c r="AY38" s="10">
        <f t="shared" si="30"/>
        <v>887638.75107397616</v>
      </c>
      <c r="AZ38" s="10">
        <f t="shared" si="31"/>
        <v>757199.49284345505</v>
      </c>
      <c r="BA38" s="10">
        <f t="shared" si="32"/>
        <v>574176.8217388324</v>
      </c>
      <c r="BB38" s="34">
        <f t="shared" si="3"/>
        <v>5059192.6172790918</v>
      </c>
      <c r="BC38" s="878">
        <v>640942</v>
      </c>
      <c r="BD38" s="161">
        <f>(BB38-BC38)/'AX1'!N58/1000</f>
        <v>3.2471490811053947</v>
      </c>
      <c r="BE38" s="161"/>
      <c r="BF38" s="716">
        <v>0.87</v>
      </c>
      <c r="BG38" s="716">
        <v>0.21</v>
      </c>
      <c r="BH38" s="716">
        <v>2.19</v>
      </c>
      <c r="BI38" s="716">
        <v>0.5</v>
      </c>
      <c r="BJ38" s="716">
        <v>1.32</v>
      </c>
      <c r="BK38" s="716">
        <v>0.21</v>
      </c>
      <c r="BL38" s="716">
        <v>2.97</v>
      </c>
      <c r="BM38" s="716">
        <v>0.53</v>
      </c>
      <c r="BN38" s="716">
        <v>2.0499999999999998</v>
      </c>
      <c r="BO38" s="716">
        <v>0.41</v>
      </c>
      <c r="BP38" s="716">
        <v>2.5299999999999998</v>
      </c>
      <c r="BQ38" s="716">
        <v>0.6</v>
      </c>
    </row>
    <row r="39" spans="2:69" s="9" customFormat="1" ht="12.75">
      <c r="B39" s="15">
        <v>2010</v>
      </c>
      <c r="C39" s="834">
        <v>351879</v>
      </c>
      <c r="D39" s="125">
        <v>538439</v>
      </c>
      <c r="E39" s="125">
        <v>129921</v>
      </c>
      <c r="F39" s="125">
        <v>58521</v>
      </c>
      <c r="G39" s="125">
        <v>24149</v>
      </c>
      <c r="H39" s="836">
        <v>689</v>
      </c>
      <c r="I39" s="125">
        <v>6742</v>
      </c>
      <c r="J39" s="125">
        <v>4534</v>
      </c>
      <c r="K39" s="125">
        <v>1182</v>
      </c>
      <c r="L39" s="125">
        <v>258</v>
      </c>
      <c r="M39" s="13">
        <v>93497</v>
      </c>
      <c r="N39" s="34">
        <v>67594</v>
      </c>
      <c r="O39" s="34" t="s">
        <v>1566</v>
      </c>
      <c r="P39" s="34">
        <v>58093</v>
      </c>
      <c r="Q39" s="34">
        <v>101779</v>
      </c>
      <c r="R39" s="34">
        <v>81941</v>
      </c>
      <c r="S39" s="34"/>
      <c r="T39" s="34">
        <v>56305</v>
      </c>
      <c r="U39" s="34">
        <v>135355</v>
      </c>
      <c r="V39" s="34">
        <v>123511</v>
      </c>
      <c r="W39" s="34" t="s">
        <v>1566</v>
      </c>
      <c r="X39" s="34">
        <v>68022</v>
      </c>
      <c r="Y39" s="34">
        <v>167939</v>
      </c>
      <c r="Z39" s="34">
        <v>154327</v>
      </c>
      <c r="AA39" s="34" t="s">
        <v>1566</v>
      </c>
      <c r="AB39" s="34">
        <v>73228</v>
      </c>
      <c r="AC39" s="34">
        <v>234951</v>
      </c>
      <c r="AD39" s="34">
        <v>214806</v>
      </c>
      <c r="AE39" s="45"/>
      <c r="AF39" s="15">
        <v>80178</v>
      </c>
      <c r="AG39" s="850">
        <f t="shared" si="19"/>
        <v>67384.995494535513</v>
      </c>
      <c r="AH39" s="850">
        <f t="shared" si="20"/>
        <v>72218.967381342241</v>
      </c>
      <c r="AI39" s="850">
        <f t="shared" si="21"/>
        <v>96778.454103694152</v>
      </c>
      <c r="AJ39" s="850">
        <f t="shared" si="22"/>
        <v>114579.83806431362</v>
      </c>
      <c r="AK39" s="850">
        <f t="shared" si="23"/>
        <v>148375.37960062077</v>
      </c>
      <c r="AL39" s="871">
        <f>AL38+(AL$40-AL$34)/6</f>
        <v>0.18296207149262833</v>
      </c>
      <c r="AM39" s="630">
        <f t="shared" si="27"/>
        <v>0.29622211508372864</v>
      </c>
      <c r="AN39" s="630">
        <f t="shared" si="27"/>
        <v>0.52081581342364291</v>
      </c>
      <c r="AO39" s="867"/>
      <c r="AP39" s="867"/>
      <c r="AQ39" s="868"/>
      <c r="AR39" s="873">
        <v>55</v>
      </c>
      <c r="AS39" s="874">
        <f t="shared" si="10"/>
        <v>55</v>
      </c>
      <c r="AT39" s="874">
        <f t="shared" si="11"/>
        <v>85</v>
      </c>
      <c r="AU39" s="874">
        <f t="shared" si="12"/>
        <v>130</v>
      </c>
      <c r="AV39" s="875">
        <f t="shared" si="13"/>
        <v>190</v>
      </c>
      <c r="AW39" s="10">
        <f t="shared" si="28"/>
        <v>1304125.0656291915</v>
      </c>
      <c r="AX39" s="10">
        <f t="shared" si="29"/>
        <v>2138702.9717813395</v>
      </c>
      <c r="AY39" s="10">
        <f t="shared" si="30"/>
        <v>1068752.0505265142</v>
      </c>
      <c r="AZ39" s="10">
        <f t="shared" si="31"/>
        <v>871692.47143702069</v>
      </c>
      <c r="BA39" s="10">
        <f t="shared" si="32"/>
        <v>680792.23797532439</v>
      </c>
      <c r="BB39" s="34">
        <f t="shared" si="3"/>
        <v>6064064.7973493906</v>
      </c>
      <c r="BC39" s="878">
        <v>740253</v>
      </c>
      <c r="BD39" s="161">
        <f>(BB39-BC39)/'AX1'!N59/1000</f>
        <v>3.5612446980580765</v>
      </c>
      <c r="BE39" s="161"/>
      <c r="BF39" s="716">
        <v>0.8</v>
      </c>
      <c r="BG39" s="716">
        <v>0.2</v>
      </c>
      <c r="BH39" s="716">
        <v>2.2999999999999998</v>
      </c>
      <c r="BI39" s="716">
        <v>0.49</v>
      </c>
      <c r="BJ39" s="716">
        <v>1.25</v>
      </c>
      <c r="BK39" s="716">
        <v>0.21</v>
      </c>
      <c r="BL39" s="716">
        <v>3.01</v>
      </c>
      <c r="BM39" s="716">
        <v>0.52</v>
      </c>
      <c r="BN39" s="716">
        <v>2.09</v>
      </c>
      <c r="BO39" s="716">
        <v>0.4</v>
      </c>
      <c r="BP39" s="716">
        <v>2.31</v>
      </c>
      <c r="BQ39" s="716">
        <v>0.56999999999999995</v>
      </c>
    </row>
    <row r="40" spans="2:69" s="9" customFormat="1" ht="12.75">
      <c r="B40" s="15">
        <v>2011</v>
      </c>
      <c r="C40" s="834">
        <v>352056</v>
      </c>
      <c r="D40" s="125">
        <v>542381</v>
      </c>
      <c r="E40" s="125">
        <v>132600</v>
      </c>
      <c r="F40" s="125">
        <v>59156</v>
      </c>
      <c r="G40" s="125">
        <v>24368</v>
      </c>
      <c r="H40" s="836">
        <v>636</v>
      </c>
      <c r="I40" s="125">
        <v>4586</v>
      </c>
      <c r="J40" s="125">
        <v>3101</v>
      </c>
      <c r="K40" s="125">
        <v>919</v>
      </c>
      <c r="L40" s="125">
        <v>207</v>
      </c>
      <c r="M40" s="13">
        <v>108326</v>
      </c>
      <c r="N40" s="34">
        <v>79928</v>
      </c>
      <c r="O40" s="34" t="s">
        <v>1566</v>
      </c>
      <c r="P40" s="34">
        <v>67828</v>
      </c>
      <c r="Q40" s="34">
        <v>112158</v>
      </c>
      <c r="R40" s="34">
        <v>92997</v>
      </c>
      <c r="S40" s="34"/>
      <c r="T40" s="34">
        <v>65319</v>
      </c>
      <c r="U40" s="34">
        <v>142070</v>
      </c>
      <c r="V40" s="34">
        <v>128259</v>
      </c>
      <c r="W40" s="34" t="s">
        <v>1566</v>
      </c>
      <c r="X40" s="34">
        <v>75416</v>
      </c>
      <c r="Y40" s="34">
        <v>177673</v>
      </c>
      <c r="Z40" s="34">
        <v>158106</v>
      </c>
      <c r="AA40" s="34" t="s">
        <v>1566</v>
      </c>
      <c r="AB40" s="34">
        <v>76953</v>
      </c>
      <c r="AC40" s="34">
        <v>259380</v>
      </c>
      <c r="AD40" s="34">
        <v>185727</v>
      </c>
      <c r="AE40" s="45"/>
      <c r="AF40" s="15">
        <v>87598</v>
      </c>
      <c r="AG40" s="850">
        <f t="shared" si="19"/>
        <v>78820.791889955581</v>
      </c>
      <c r="AH40" s="850">
        <f t="shared" si="20"/>
        <v>82079.794139561549</v>
      </c>
      <c r="AI40" s="850">
        <f t="shared" si="21"/>
        <v>103246.88806419258</v>
      </c>
      <c r="AJ40" s="850">
        <f t="shared" si="22"/>
        <v>119393.1398481158</v>
      </c>
      <c r="AK40" s="850">
        <f t="shared" si="23"/>
        <v>148068.57134259923</v>
      </c>
      <c r="AL40" s="807">
        <f>AO40/SUM($AO40:$AQ40)</f>
        <v>0.18307780484310074</v>
      </c>
      <c r="AM40" s="780">
        <f>AP40/SUM($AO40:$AQ40)</f>
        <v>0.29574437598509817</v>
      </c>
      <c r="AN40" s="780">
        <f>AQ40/SUM($AO40:$AQ40)</f>
        <v>0.52117781917180117</v>
      </c>
      <c r="AO40" s="867">
        <v>1277700</v>
      </c>
      <c r="AP40" s="867">
        <v>2064000</v>
      </c>
      <c r="AQ40" s="868">
        <v>3637300</v>
      </c>
      <c r="AR40" s="873">
        <v>56</v>
      </c>
      <c r="AS40" s="874">
        <f t="shared" si="10"/>
        <v>55</v>
      </c>
      <c r="AT40" s="874">
        <f t="shared" si="11"/>
        <v>85</v>
      </c>
      <c r="AU40" s="874">
        <f t="shared" si="12"/>
        <v>130</v>
      </c>
      <c r="AV40" s="875">
        <f t="shared" si="13"/>
        <v>190</v>
      </c>
      <c r="AW40" s="10">
        <f t="shared" si="28"/>
        <v>1553962.6317381714</v>
      </c>
      <c r="AX40" s="10">
        <f t="shared" si="29"/>
        <v>2448518.645386524</v>
      </c>
      <c r="AY40" s="10">
        <f t="shared" si="30"/>
        <v>1163695.6753715146</v>
      </c>
      <c r="AZ40" s="10">
        <f t="shared" si="31"/>
        <v>918166.67551116797</v>
      </c>
      <c r="BA40" s="10">
        <f t="shared" si="32"/>
        <v>685545.63983052701</v>
      </c>
      <c r="BB40" s="34">
        <f t="shared" si="3"/>
        <v>6769889.2678379053</v>
      </c>
      <c r="BC40" s="878">
        <v>801074</v>
      </c>
      <c r="BD40" s="161">
        <f>(BB40-BC40)/'AX1'!N60/1000</f>
        <v>3.6077789228654691</v>
      </c>
      <c r="BE40" s="161"/>
      <c r="BH40" s="716">
        <v>2.2400000000000002</v>
      </c>
      <c r="BI40" s="716">
        <v>0.49</v>
      </c>
      <c r="BP40" s="716">
        <v>1.81</v>
      </c>
      <c r="BQ40" s="716">
        <v>0.53</v>
      </c>
    </row>
    <row r="41" spans="2:69" s="9" customFormat="1" ht="12.75">
      <c r="B41" s="15">
        <v>2012</v>
      </c>
      <c r="C41" s="834">
        <v>353023</v>
      </c>
      <c r="D41" s="125">
        <v>545791</v>
      </c>
      <c r="E41" s="125">
        <v>133563</v>
      </c>
      <c r="F41" s="125">
        <v>60658</v>
      </c>
      <c r="G41" s="125">
        <v>24897</v>
      </c>
      <c r="H41" s="836">
        <v>1511</v>
      </c>
      <c r="I41" s="125">
        <v>4496</v>
      </c>
      <c r="J41" s="125">
        <v>1720</v>
      </c>
      <c r="K41" s="125">
        <v>1827</v>
      </c>
      <c r="L41" s="125">
        <v>595</v>
      </c>
      <c r="M41" s="13">
        <v>123304</v>
      </c>
      <c r="N41" s="34">
        <v>94808</v>
      </c>
      <c r="O41" s="34" t="s">
        <v>1566</v>
      </c>
      <c r="P41" s="34">
        <v>83132</v>
      </c>
      <c r="Q41" s="34">
        <v>126642</v>
      </c>
      <c r="R41" s="34">
        <v>103401</v>
      </c>
      <c r="S41" s="34"/>
      <c r="T41" s="34">
        <v>75449</v>
      </c>
      <c r="U41" s="34">
        <v>159480</v>
      </c>
      <c r="V41" s="34">
        <v>138823</v>
      </c>
      <c r="W41" s="34" t="s">
        <v>1566</v>
      </c>
      <c r="X41" s="34">
        <v>85640</v>
      </c>
      <c r="Y41" s="34">
        <v>184830</v>
      </c>
      <c r="Z41" s="34">
        <v>157700</v>
      </c>
      <c r="AA41" s="34" t="s">
        <v>1566</v>
      </c>
      <c r="AB41" s="34">
        <v>79818</v>
      </c>
      <c r="AC41" s="34">
        <v>255215</v>
      </c>
      <c r="AD41" s="34">
        <v>194285</v>
      </c>
      <c r="AE41" s="45"/>
      <c r="AF41" s="15">
        <v>78664</v>
      </c>
      <c r="AG41" s="850">
        <f t="shared" si="19"/>
        <v>93865.295069081418</v>
      </c>
      <c r="AH41" s="850">
        <f t="shared" si="20"/>
        <v>93009.985641584339</v>
      </c>
      <c r="AI41" s="850">
        <f t="shared" si="21"/>
        <v>114791.1886074339</v>
      </c>
      <c r="AJ41" s="850">
        <f t="shared" si="22"/>
        <v>121943.11721924429</v>
      </c>
      <c r="AK41" s="850">
        <f t="shared" si="23"/>
        <v>144936.76231101755</v>
      </c>
      <c r="AL41" s="871">
        <f>AL40+(AL$45-AL$40)/5</f>
        <v>0.18085023079751489</v>
      </c>
      <c r="AM41" s="630">
        <f t="shared" ref="AM41:AN44" si="33">AM40+(AM$45-AM$40)/5</f>
        <v>0.2970349089999697</v>
      </c>
      <c r="AN41" s="630">
        <f t="shared" si="33"/>
        <v>0.52211486020251552</v>
      </c>
      <c r="AO41" s="867"/>
      <c r="AP41" s="867"/>
      <c r="AQ41" s="868"/>
      <c r="AR41" s="873">
        <v>57</v>
      </c>
      <c r="AS41" s="874">
        <f t="shared" si="10"/>
        <v>55</v>
      </c>
      <c r="AT41" s="874">
        <f t="shared" si="11"/>
        <v>85</v>
      </c>
      <c r="AU41" s="874">
        <f t="shared" si="12"/>
        <v>130</v>
      </c>
      <c r="AV41" s="875">
        <f t="shared" si="13"/>
        <v>190</v>
      </c>
      <c r="AW41" s="10">
        <f t="shared" si="28"/>
        <v>1888786.6594868228</v>
      </c>
      <c r="AX41" s="10">
        <f t="shared" si="29"/>
        <v>2792020.7190318275</v>
      </c>
      <c r="AY41" s="10">
        <f t="shared" si="30"/>
        <v>1303207.7195378488</v>
      </c>
      <c r="AZ41" s="10">
        <f t="shared" si="31"/>
        <v>961587.32855703949</v>
      </c>
      <c r="BA41" s="10">
        <f t="shared" si="32"/>
        <v>685613.20853890665</v>
      </c>
      <c r="BB41" s="34">
        <f t="shared" si="3"/>
        <v>7631215.6351524452</v>
      </c>
      <c r="BC41" s="878">
        <v>868286</v>
      </c>
      <c r="BD41" s="161">
        <f>(BB41-BC41)/'AX1'!N61/1000</f>
        <v>3.9230312231805109</v>
      </c>
      <c r="BE41" s="161">
        <v>0.68</v>
      </c>
      <c r="BH41" s="716">
        <v>2.25</v>
      </c>
      <c r="BI41" s="716">
        <v>0.49</v>
      </c>
      <c r="BP41" s="716">
        <v>1.78</v>
      </c>
      <c r="BQ41" s="716">
        <v>0.53</v>
      </c>
    </row>
    <row r="42" spans="2:69" s="9" customFormat="1" ht="12.75">
      <c r="B42" s="15">
        <v>2013</v>
      </c>
      <c r="C42" s="834">
        <v>354077</v>
      </c>
      <c r="D42" s="125">
        <v>548666</v>
      </c>
      <c r="E42" s="125">
        <v>134494</v>
      </c>
      <c r="F42" s="125">
        <v>61218</v>
      </c>
      <c r="G42" s="125">
        <v>25178</v>
      </c>
      <c r="H42" s="836">
        <v>1423</v>
      </c>
      <c r="I42" s="125">
        <v>4688</v>
      </c>
      <c r="J42" s="125">
        <v>1207</v>
      </c>
      <c r="K42" s="125">
        <v>573</v>
      </c>
      <c r="L42" s="125">
        <v>363</v>
      </c>
      <c r="M42" s="13">
        <v>128912</v>
      </c>
      <c r="N42" s="34">
        <v>104403</v>
      </c>
      <c r="O42" s="34" t="s">
        <v>1566</v>
      </c>
      <c r="P42" s="34">
        <v>91436</v>
      </c>
      <c r="Q42" s="34">
        <v>129629</v>
      </c>
      <c r="R42" s="34">
        <v>108820</v>
      </c>
      <c r="S42" s="34"/>
      <c r="T42" s="34">
        <v>81476</v>
      </c>
      <c r="U42" s="34">
        <v>153720</v>
      </c>
      <c r="V42" s="34">
        <v>138586</v>
      </c>
      <c r="W42" s="34" t="s">
        <v>1566</v>
      </c>
      <c r="X42" s="34">
        <v>89607</v>
      </c>
      <c r="Y42" s="34">
        <v>183962</v>
      </c>
      <c r="Z42" s="34">
        <v>160259</v>
      </c>
      <c r="AA42" s="34" t="s">
        <v>1566</v>
      </c>
      <c r="AB42" s="34">
        <v>85479</v>
      </c>
      <c r="AC42" s="34">
        <v>249984</v>
      </c>
      <c r="AD42" s="34">
        <v>235620</v>
      </c>
      <c r="AE42" s="45"/>
      <c r="AF42" s="15">
        <v>73677</v>
      </c>
      <c r="AG42" s="850">
        <f t="shared" si="19"/>
        <v>101998.44869104175</v>
      </c>
      <c r="AH42" s="850">
        <f t="shared" si="20"/>
        <v>98234.627677029464</v>
      </c>
      <c r="AI42" s="850">
        <f t="shared" si="21"/>
        <v>115670.71621678135</v>
      </c>
      <c r="AJ42" s="850">
        <f t="shared" si="22"/>
        <v>125379.07165877006</v>
      </c>
      <c r="AK42" s="850">
        <f t="shared" si="23"/>
        <v>153481.14180017178</v>
      </c>
      <c r="AL42" s="871">
        <f>AL41+(AL$45-AL$40)/5</f>
        <v>0.17862265675192904</v>
      </c>
      <c r="AM42" s="630">
        <f t="shared" si="33"/>
        <v>0.29832544201484124</v>
      </c>
      <c r="AN42" s="630">
        <f t="shared" si="33"/>
        <v>0.52305190123322987</v>
      </c>
      <c r="AO42" s="867"/>
      <c r="AP42" s="867"/>
      <c r="AQ42" s="868"/>
      <c r="AR42" s="873">
        <v>58</v>
      </c>
      <c r="AS42" s="874">
        <f t="shared" si="10"/>
        <v>55</v>
      </c>
      <c r="AT42" s="874">
        <f t="shared" si="11"/>
        <v>85</v>
      </c>
      <c r="AU42" s="874">
        <f t="shared" si="12"/>
        <v>130</v>
      </c>
      <c r="AV42" s="875">
        <f t="shared" si="13"/>
        <v>190</v>
      </c>
      <c r="AW42" s="10">
        <f t="shared" si="28"/>
        <v>2094687.6735963235</v>
      </c>
      <c r="AX42" s="10">
        <f t="shared" si="29"/>
        <v>2964390.012597478</v>
      </c>
      <c r="AY42" s="10">
        <f t="shared" si="30"/>
        <v>1322346.471083082</v>
      </c>
      <c r="AZ42" s="10">
        <f t="shared" si="31"/>
        <v>997809.28114485613</v>
      </c>
      <c r="BA42" s="10">
        <f t="shared" si="32"/>
        <v>734226.15576649783</v>
      </c>
      <c r="BB42" s="34">
        <f t="shared" si="3"/>
        <v>8113459.5941882376</v>
      </c>
      <c r="BC42" s="878">
        <v>904579</v>
      </c>
      <c r="BD42" s="161">
        <f>(BB42-BC42)/'AX1'!N62/1000</f>
        <v>3.9927148558309025</v>
      </c>
      <c r="BE42" s="161"/>
      <c r="BH42" s="716">
        <v>2.23</v>
      </c>
      <c r="BI42" s="716">
        <v>0.47</v>
      </c>
      <c r="BP42" s="716">
        <v>1.87</v>
      </c>
      <c r="BQ42" s="716">
        <v>0.52</v>
      </c>
    </row>
    <row r="43" spans="2:69" s="9" customFormat="1" ht="12.75">
      <c r="B43" s="15">
        <v>2014</v>
      </c>
      <c r="C43" s="834">
        <v>354926</v>
      </c>
      <c r="D43" s="125">
        <v>555833</v>
      </c>
      <c r="E43" s="125">
        <v>138437</v>
      </c>
      <c r="F43" s="125">
        <v>61975</v>
      </c>
      <c r="G43" s="125">
        <v>25259</v>
      </c>
      <c r="H43" s="836">
        <v>2160</v>
      </c>
      <c r="I43" s="125">
        <v>8446</v>
      </c>
      <c r="J43" s="125">
        <v>4207</v>
      </c>
      <c r="K43" s="125">
        <v>666</v>
      </c>
      <c r="L43" s="125">
        <v>240</v>
      </c>
      <c r="M43" s="13">
        <v>146515</v>
      </c>
      <c r="N43" s="34">
        <v>117955</v>
      </c>
      <c r="O43" s="34" t="s">
        <v>1566</v>
      </c>
      <c r="P43" s="34">
        <v>107763</v>
      </c>
      <c r="Q43" s="34">
        <v>147969</v>
      </c>
      <c r="R43" s="34">
        <v>120994</v>
      </c>
      <c r="S43" s="34"/>
      <c r="T43" s="34">
        <v>94297</v>
      </c>
      <c r="U43" s="34">
        <v>171848</v>
      </c>
      <c r="V43" s="34">
        <v>148980</v>
      </c>
      <c r="W43" s="34" t="s">
        <v>1566</v>
      </c>
      <c r="X43" s="34">
        <v>101364</v>
      </c>
      <c r="Y43" s="34">
        <v>198709</v>
      </c>
      <c r="Z43" s="34">
        <v>166958</v>
      </c>
      <c r="AA43" s="34" t="s">
        <v>1566</v>
      </c>
      <c r="AB43" s="34">
        <v>96962</v>
      </c>
      <c r="AC43" s="34">
        <v>238707</v>
      </c>
      <c r="AD43" s="34">
        <v>206485</v>
      </c>
      <c r="AE43" s="45"/>
      <c r="AF43" s="15">
        <v>88734</v>
      </c>
      <c r="AG43" s="850">
        <f t="shared" si="19"/>
        <v>117652.34826253906</v>
      </c>
      <c r="AH43" s="850">
        <f t="shared" si="20"/>
        <v>111763.3245643831</v>
      </c>
      <c r="AI43" s="850">
        <f t="shared" si="21"/>
        <v>128063.54527648872</v>
      </c>
      <c r="AJ43" s="850">
        <f t="shared" si="22"/>
        <v>135881.5902683021</v>
      </c>
      <c r="AK43" s="850">
        <f t="shared" si="23"/>
        <v>150468.58041444214</v>
      </c>
      <c r="AL43" s="871">
        <f>AL42+(AL$45-AL$40)/5</f>
        <v>0.17639508270634319</v>
      </c>
      <c r="AM43" s="630">
        <f t="shared" si="33"/>
        <v>0.29961597502971277</v>
      </c>
      <c r="AN43" s="630">
        <f t="shared" si="33"/>
        <v>0.52398894226394421</v>
      </c>
      <c r="AO43" s="867"/>
      <c r="AP43" s="867"/>
      <c r="AQ43" s="868"/>
      <c r="AR43" s="873">
        <v>59</v>
      </c>
      <c r="AS43" s="874">
        <f t="shared" si="10"/>
        <v>55</v>
      </c>
      <c r="AT43" s="874">
        <f t="shared" si="11"/>
        <v>85</v>
      </c>
      <c r="AU43" s="874">
        <f t="shared" si="12"/>
        <v>130</v>
      </c>
      <c r="AV43" s="875">
        <f t="shared" si="13"/>
        <v>190</v>
      </c>
      <c r="AW43" s="10">
        <f t="shared" si="28"/>
        <v>2463714.7642063661</v>
      </c>
      <c r="AX43" s="10">
        <f t="shared" si="29"/>
        <v>3416695.9190427116</v>
      </c>
      <c r="AY43" s="10">
        <f t="shared" si="30"/>
        <v>1506942.3064825076</v>
      </c>
      <c r="AZ43" s="10">
        <f t="shared" si="31"/>
        <v>1094764.0023941428</v>
      </c>
      <c r="BA43" s="10">
        <f t="shared" si="32"/>
        <v>722130.31581079494</v>
      </c>
      <c r="BB43" s="34">
        <f t="shared" si="3"/>
        <v>9204247.3079365231</v>
      </c>
      <c r="BC43" s="878">
        <v>984539</v>
      </c>
      <c r="BD43" s="161">
        <f>(BB43-BC43)/'AX1'!N63/1000</f>
        <v>4.3238403901178195</v>
      </c>
      <c r="BE43" s="161"/>
      <c r="BH43" s="716">
        <v>2.16</v>
      </c>
      <c r="BI43" s="716">
        <v>0.46</v>
      </c>
      <c r="BP43" s="716">
        <v>1.83</v>
      </c>
      <c r="BQ43" s="716">
        <v>0.5</v>
      </c>
    </row>
    <row r="44" spans="2:69" s="9" customFormat="1" ht="12.75">
      <c r="B44" s="15">
        <v>2015</v>
      </c>
      <c r="C44" s="834">
        <v>355969</v>
      </c>
      <c r="D44" s="125">
        <v>560064</v>
      </c>
      <c r="E44" s="125">
        <v>140300</v>
      </c>
      <c r="F44" s="125">
        <v>63370</v>
      </c>
      <c r="G44" s="125">
        <v>25751</v>
      </c>
      <c r="H44" s="836">
        <v>2135</v>
      </c>
      <c r="I44" s="125">
        <v>5047</v>
      </c>
      <c r="J44" s="125">
        <v>2190</v>
      </c>
      <c r="K44" s="125">
        <v>1471</v>
      </c>
      <c r="L44" s="125">
        <v>453</v>
      </c>
      <c r="M44" s="13">
        <v>137558</v>
      </c>
      <c r="N44" s="34">
        <v>112486</v>
      </c>
      <c r="O44" s="34" t="s">
        <v>1566</v>
      </c>
      <c r="P44" s="34">
        <v>102680</v>
      </c>
      <c r="Q44" s="34">
        <v>140103</v>
      </c>
      <c r="R44" s="34">
        <v>115792</v>
      </c>
      <c r="S44" s="34"/>
      <c r="T44" s="34">
        <v>91942</v>
      </c>
      <c r="U44" s="34">
        <v>162731</v>
      </c>
      <c r="V44" s="34">
        <v>149335</v>
      </c>
      <c r="W44" s="34" t="s">
        <v>1566</v>
      </c>
      <c r="X44" s="34">
        <v>97811</v>
      </c>
      <c r="Y44" s="34">
        <v>197622</v>
      </c>
      <c r="Z44" s="34">
        <v>167980</v>
      </c>
      <c r="AA44" s="34" t="s">
        <v>1566</v>
      </c>
      <c r="AB44" s="34">
        <v>94692</v>
      </c>
      <c r="AC44" s="34">
        <v>238737</v>
      </c>
      <c r="AD44" s="34">
        <v>231700</v>
      </c>
      <c r="AE44" s="45"/>
      <c r="AF44" s="15">
        <v>82547</v>
      </c>
      <c r="AG44" s="850">
        <f t="shared" si="19"/>
        <v>111705.30358495511</v>
      </c>
      <c r="AH44" s="850">
        <f t="shared" si="20"/>
        <v>107506.70160147408</v>
      </c>
      <c r="AI44" s="850">
        <f t="shared" si="21"/>
        <v>124621.86158274554</v>
      </c>
      <c r="AJ44" s="850">
        <f t="shared" si="22"/>
        <v>134671.89782802327</v>
      </c>
      <c r="AK44" s="850">
        <f t="shared" si="23"/>
        <v>154631.33157209758</v>
      </c>
      <c r="AL44" s="871">
        <f>AL43+(AL$45-AL$40)/5</f>
        <v>0.17416750866075734</v>
      </c>
      <c r="AM44" s="630">
        <f t="shared" si="33"/>
        <v>0.3009065080445843</v>
      </c>
      <c r="AN44" s="630">
        <f t="shared" si="33"/>
        <v>0.52492598329465856</v>
      </c>
      <c r="AO44" s="867"/>
      <c r="AP44" s="867"/>
      <c r="AQ44" s="868"/>
      <c r="AR44" s="873">
        <v>60</v>
      </c>
      <c r="AS44" s="874">
        <f t="shared" si="10"/>
        <v>55</v>
      </c>
      <c r="AT44" s="874">
        <f t="shared" si="11"/>
        <v>85</v>
      </c>
      <c r="AU44" s="874">
        <f t="shared" si="12"/>
        <v>130</v>
      </c>
      <c r="AV44" s="875">
        <f t="shared" si="13"/>
        <v>190</v>
      </c>
      <c r="AW44" s="10">
        <f t="shared" si="28"/>
        <v>2385817.5127099734</v>
      </c>
      <c r="AX44" s="10">
        <f t="shared" si="29"/>
        <v>3311584.8329150393</v>
      </c>
      <c r="AY44" s="10">
        <f t="shared" si="30"/>
        <v>1486178.0103050319</v>
      </c>
      <c r="AZ44" s="10">
        <f t="shared" si="31"/>
        <v>1109440.5614970387</v>
      </c>
      <c r="BA44" s="10">
        <f t="shared" si="32"/>
        <v>756563.169669486</v>
      </c>
      <c r="BB44" s="34">
        <f t="shared" si="3"/>
        <v>9049584.0870965701</v>
      </c>
      <c r="BC44" s="878">
        <v>1073632</v>
      </c>
      <c r="BD44" s="161">
        <f>(BB44-BC44)/'AX1'!N64/1000</f>
        <v>3.9951277909152179</v>
      </c>
      <c r="BE44" s="161"/>
      <c r="BH44" s="716">
        <v>2.2000000000000002</v>
      </c>
      <c r="BI44" s="716">
        <v>0.45</v>
      </c>
      <c r="BP44" s="716">
        <v>1.82</v>
      </c>
      <c r="BQ44" s="716">
        <v>0.49</v>
      </c>
    </row>
    <row r="45" spans="2:69" s="9" customFormat="1" ht="12.75">
      <c r="B45" s="15">
        <v>2016</v>
      </c>
      <c r="C45" s="834">
        <v>359725</v>
      </c>
      <c r="D45" s="125">
        <v>566338</v>
      </c>
      <c r="E45" s="125">
        <v>141559</v>
      </c>
      <c r="F45" s="125">
        <v>64719</v>
      </c>
      <c r="G45" s="125">
        <v>26424</v>
      </c>
      <c r="H45" s="836">
        <v>3937</v>
      </c>
      <c r="I45" s="125">
        <v>7162</v>
      </c>
      <c r="J45" s="125">
        <v>1413</v>
      </c>
      <c r="K45" s="125">
        <v>1325</v>
      </c>
      <c r="L45" s="125">
        <v>758</v>
      </c>
      <c r="M45" s="13">
        <v>158293</v>
      </c>
      <c r="N45" s="34">
        <v>130558</v>
      </c>
      <c r="O45" s="34" t="s">
        <v>1566</v>
      </c>
      <c r="P45" s="34">
        <v>121633</v>
      </c>
      <c r="Q45" s="34">
        <v>160860</v>
      </c>
      <c r="R45" s="34">
        <v>131061</v>
      </c>
      <c r="S45" s="34"/>
      <c r="T45" s="34">
        <v>106554</v>
      </c>
      <c r="U45" s="34">
        <v>186054</v>
      </c>
      <c r="V45" s="34">
        <v>163325</v>
      </c>
      <c r="W45" s="34" t="s">
        <v>1566</v>
      </c>
      <c r="X45" s="34">
        <v>112805</v>
      </c>
      <c r="Y45" s="34">
        <v>215818</v>
      </c>
      <c r="Z45" s="34">
        <v>179974</v>
      </c>
      <c r="AA45" s="34" t="s">
        <v>1566</v>
      </c>
      <c r="AB45" s="34">
        <v>103235</v>
      </c>
      <c r="AC45" s="34">
        <v>251606</v>
      </c>
      <c r="AD45" s="34">
        <v>273418</v>
      </c>
      <c r="AE45" s="45"/>
      <c r="AF45" s="15">
        <v>91785</v>
      </c>
      <c r="AG45" s="850">
        <f t="shared" si="19"/>
        <v>130633.42659444784</v>
      </c>
      <c r="AH45" s="850">
        <f t="shared" si="20"/>
        <v>123297.31297445559</v>
      </c>
      <c r="AI45" s="850">
        <f t="shared" si="21"/>
        <v>140666.42278495041</v>
      </c>
      <c r="AJ45" s="850">
        <f t="shared" si="22"/>
        <v>145782.81239264144</v>
      </c>
      <c r="AK45" s="850">
        <f t="shared" si="23"/>
        <v>174153.56744888349</v>
      </c>
      <c r="AL45" s="807">
        <f>AO45/SUM($AO45:$AQ45)</f>
        <v>0.17193993461517149</v>
      </c>
      <c r="AM45" s="780">
        <f>AP45/SUM($AO45:$AQ45)</f>
        <v>0.30219704105945588</v>
      </c>
      <c r="AN45" s="780">
        <f>AQ45/SUM($AO45:$AQ45)</f>
        <v>0.52586302432537269</v>
      </c>
      <c r="AO45" s="867">
        <v>1241200</v>
      </c>
      <c r="AP45" s="867">
        <v>2181500</v>
      </c>
      <c r="AQ45" s="868">
        <v>3796100</v>
      </c>
      <c r="AR45" s="873">
        <v>61</v>
      </c>
      <c r="AS45" s="874">
        <f t="shared" si="10"/>
        <v>55</v>
      </c>
      <c r="AT45" s="874">
        <f t="shared" si="11"/>
        <v>85</v>
      </c>
      <c r="AU45" s="874">
        <f t="shared" si="12"/>
        <v>130</v>
      </c>
      <c r="AV45" s="875">
        <f t="shared" si="13"/>
        <v>190</v>
      </c>
      <c r="AW45" s="10">
        <f t="shared" si="28"/>
        <v>2866518.6722829528</v>
      </c>
      <c r="AX45" s="10">
        <f t="shared" si="29"/>
        <v>3840537.4499429981</v>
      </c>
      <c r="AY45" s="10">
        <f t="shared" si="30"/>
        <v>1692570.8421562577</v>
      </c>
      <c r="AZ45" s="10">
        <f t="shared" si="31"/>
        <v>1226539.3185811169</v>
      </c>
      <c r="BA45" s="10">
        <f t="shared" si="32"/>
        <v>874348.43459116644</v>
      </c>
      <c r="BB45" s="34">
        <f t="shared" si="3"/>
        <v>10500514.717554493</v>
      </c>
      <c r="BC45" s="878">
        <v>1118657</v>
      </c>
      <c r="BD45" s="161">
        <f>(BB45-BC45)/'AX1'!N65/1000</f>
        <v>4.4866114842761293</v>
      </c>
      <c r="BE45" s="161"/>
    </row>
    <row r="46" spans="2:69" s="9" customFormat="1" ht="12.75">
      <c r="B46" s="15">
        <v>2017</v>
      </c>
      <c r="C46" s="834">
        <v>366520</v>
      </c>
      <c r="D46" s="125">
        <v>572769</v>
      </c>
      <c r="E46" s="125">
        <v>142878</v>
      </c>
      <c r="F46" s="125">
        <v>65640</v>
      </c>
      <c r="G46" s="125">
        <v>26821</v>
      </c>
      <c r="H46" s="836">
        <v>6891</v>
      </c>
      <c r="I46" s="125">
        <v>7665</v>
      </c>
      <c r="J46" s="125">
        <v>1794</v>
      </c>
      <c r="K46" s="125">
        <v>1058</v>
      </c>
      <c r="L46" s="125">
        <v>383</v>
      </c>
      <c r="M46" s="13">
        <v>180411</v>
      </c>
      <c r="N46" s="34">
        <v>149890</v>
      </c>
      <c r="O46" s="34" t="s">
        <v>1566</v>
      </c>
      <c r="P46" s="34">
        <v>138412</v>
      </c>
      <c r="Q46" s="34">
        <v>176330</v>
      </c>
      <c r="R46" s="34">
        <v>147161</v>
      </c>
      <c r="S46" s="34"/>
      <c r="T46" s="34">
        <v>120067</v>
      </c>
      <c r="U46" s="34">
        <v>210583</v>
      </c>
      <c r="V46" s="34">
        <v>177561</v>
      </c>
      <c r="W46" s="34" t="s">
        <v>1566</v>
      </c>
      <c r="X46" s="34">
        <v>128256</v>
      </c>
      <c r="Y46" s="34">
        <v>232023</v>
      </c>
      <c r="Z46" s="34">
        <v>194996</v>
      </c>
      <c r="AA46" s="34" t="s">
        <v>1566</v>
      </c>
      <c r="AB46" s="34">
        <v>116406</v>
      </c>
      <c r="AC46" s="34">
        <v>286369</v>
      </c>
      <c r="AD46" s="34">
        <v>270109</v>
      </c>
      <c r="AE46" s="45"/>
      <c r="AF46" s="15">
        <v>103209</v>
      </c>
      <c r="AG46" s="850">
        <f t="shared" si="19"/>
        <v>149027.63332256931</v>
      </c>
      <c r="AH46" s="850">
        <f t="shared" si="20"/>
        <v>137843.76684783466</v>
      </c>
      <c r="AI46" s="850">
        <f t="shared" si="21"/>
        <v>157199.1377909953</v>
      </c>
      <c r="AJ46" s="850">
        <f t="shared" si="22"/>
        <v>159889.30565186922</v>
      </c>
      <c r="AK46" s="850">
        <f t="shared" si="23"/>
        <v>184960.84524282676</v>
      </c>
      <c r="AL46" s="871">
        <f>AL45+(AL48-AL45)/3</f>
        <v>0.16982814996574472</v>
      </c>
      <c r="AM46" s="630">
        <f>AM45+(AM48-AM45)/3</f>
        <v>0.30345189511744125</v>
      </c>
      <c r="AN46" s="630">
        <f>AN45+(AN48-AN45)/3</f>
        <v>0.52671995491681411</v>
      </c>
      <c r="AO46" s="867"/>
      <c r="AP46" s="867"/>
      <c r="AQ46" s="868"/>
      <c r="AR46" s="873">
        <v>62</v>
      </c>
      <c r="AS46" s="874">
        <f t="shared" si="10"/>
        <v>55</v>
      </c>
      <c r="AT46" s="874">
        <f t="shared" si="11"/>
        <v>85</v>
      </c>
      <c r="AU46" s="874">
        <f t="shared" si="12"/>
        <v>130</v>
      </c>
      <c r="AV46" s="875">
        <f t="shared" si="13"/>
        <v>190</v>
      </c>
      <c r="AW46" s="10">
        <f t="shared" si="28"/>
        <v>3386539.7062540622</v>
      </c>
      <c r="AX46" s="10">
        <f t="shared" si="29"/>
        <v>4342395.007151708</v>
      </c>
      <c r="AY46" s="10">
        <f t="shared" si="30"/>
        <v>1909125.3647906554</v>
      </c>
      <c r="AZ46" s="10">
        <f t="shared" si="31"/>
        <v>1364367.4229885307</v>
      </c>
      <c r="BA46" s="10">
        <f t="shared" si="32"/>
        <v>942558.61774899263</v>
      </c>
      <c r="BB46" s="34">
        <f t="shared" si="3"/>
        <v>11944986.118933948</v>
      </c>
      <c r="BC46" s="878">
        <v>1223807</v>
      </c>
      <c r="BD46" s="161">
        <f>(BB46-BC46)/'AX1'!N66/1000</f>
        <v>4.4918571398662888</v>
      </c>
      <c r="BE46" s="161"/>
    </row>
    <row r="47" spans="2:69" s="9" customFormat="1" ht="12.75">
      <c r="B47" s="15">
        <v>2018</v>
      </c>
      <c r="C47" s="834">
        <v>372678</v>
      </c>
      <c r="D47" s="125">
        <v>580630</v>
      </c>
      <c r="E47" s="125">
        <v>146108</v>
      </c>
      <c r="F47" s="125">
        <v>67343</v>
      </c>
      <c r="G47" s="125">
        <v>27212</v>
      </c>
      <c r="H47" s="836">
        <v>7212</v>
      </c>
      <c r="I47" s="125">
        <v>8237</v>
      </c>
      <c r="J47" s="125">
        <v>3414</v>
      </c>
      <c r="K47" s="125">
        <v>1541</v>
      </c>
      <c r="L47" s="125">
        <v>564</v>
      </c>
      <c r="M47" s="13">
        <v>183457</v>
      </c>
      <c r="N47" s="34">
        <v>157317</v>
      </c>
      <c r="O47" s="34" t="s">
        <v>1566</v>
      </c>
      <c r="P47" s="34">
        <v>144665</v>
      </c>
      <c r="Q47" s="34">
        <v>183330</v>
      </c>
      <c r="R47" s="34">
        <v>153582</v>
      </c>
      <c r="S47" s="34"/>
      <c r="T47" s="34">
        <v>125490</v>
      </c>
      <c r="U47" s="34">
        <v>213796</v>
      </c>
      <c r="V47" s="34">
        <v>188291</v>
      </c>
      <c r="W47" s="34" t="s">
        <v>1566</v>
      </c>
      <c r="X47" s="34">
        <v>132512</v>
      </c>
      <c r="Y47" s="34">
        <v>247352</v>
      </c>
      <c r="Z47" s="34">
        <v>204379</v>
      </c>
      <c r="AA47" s="34" t="s">
        <v>1566</v>
      </c>
      <c r="AB47" s="34">
        <v>121902</v>
      </c>
      <c r="AC47" s="34">
        <v>281395</v>
      </c>
      <c r="AD47" s="34">
        <v>245958</v>
      </c>
      <c r="AE47" s="45"/>
      <c r="AF47" s="15">
        <v>95646</v>
      </c>
      <c r="AG47" s="850">
        <f t="shared" si="19"/>
        <v>155026.20303391811</v>
      </c>
      <c r="AH47" s="850">
        <f t="shared" si="20"/>
        <v>143750.53656773191</v>
      </c>
      <c r="AI47" s="850">
        <f t="shared" si="21"/>
        <v>163140.89480062772</v>
      </c>
      <c r="AJ47" s="850">
        <f t="shared" si="22"/>
        <v>168073.31658067374</v>
      </c>
      <c r="AK47" s="850">
        <f t="shared" si="23"/>
        <v>172600.22802319744</v>
      </c>
      <c r="AL47" s="871">
        <f>AL45+(AL48-AL45)/3*2</f>
        <v>0.16771636531631798</v>
      </c>
      <c r="AM47" s="630">
        <f>AM45+(AM48-AM45)/3*2</f>
        <v>0.30470674917542656</v>
      </c>
      <c r="AN47" s="630">
        <f>AN45+(AN48-AN45)/3*2</f>
        <v>0.52757688550825543</v>
      </c>
      <c r="AO47" s="867"/>
      <c r="AP47" s="867"/>
      <c r="AQ47" s="868"/>
      <c r="AR47" s="873">
        <v>63</v>
      </c>
      <c r="AS47" s="874">
        <f t="shared" si="10"/>
        <v>55</v>
      </c>
      <c r="AT47" s="874">
        <f t="shared" si="11"/>
        <v>85</v>
      </c>
      <c r="AU47" s="874">
        <f t="shared" si="12"/>
        <v>130</v>
      </c>
      <c r="AV47" s="875">
        <f t="shared" si="13"/>
        <v>190</v>
      </c>
      <c r="AW47" s="10">
        <f t="shared" si="28"/>
        <v>3639815.8835392953</v>
      </c>
      <c r="AX47" s="10">
        <f t="shared" si="29"/>
        <v>4590623.0726027191</v>
      </c>
      <c r="AY47" s="10">
        <f t="shared" si="30"/>
        <v>2026076.1378900595</v>
      </c>
      <c r="AZ47" s="10">
        <f t="shared" si="31"/>
        <v>1471412.9766040007</v>
      </c>
      <c r="BA47" s="10">
        <f t="shared" si="32"/>
        <v>892391.5069437772</v>
      </c>
      <c r="BB47" s="34">
        <f t="shared" si="3"/>
        <v>12620319.577579852</v>
      </c>
      <c r="BC47" s="878">
        <v>1337093</v>
      </c>
      <c r="BD47" s="161">
        <f>(BB47-BC47)/'AX1'!N67/1000</f>
        <v>4.4501526853621591</v>
      </c>
      <c r="BE47" s="161">
        <v>0.75</v>
      </c>
    </row>
    <row r="48" spans="2:69" s="9" customFormat="1" ht="12.75">
      <c r="B48" s="15">
        <v>2019</v>
      </c>
      <c r="C48" s="834">
        <v>378819</v>
      </c>
      <c r="D48" s="125">
        <v>584309</v>
      </c>
      <c r="E48" s="125">
        <v>147520</v>
      </c>
      <c r="F48" s="125">
        <v>68265</v>
      </c>
      <c r="G48" s="125">
        <v>27531</v>
      </c>
      <c r="H48" s="836">
        <v>6622</v>
      </c>
      <c r="I48" s="125">
        <v>4174</v>
      </c>
      <c r="J48" s="125">
        <v>1506</v>
      </c>
      <c r="K48" s="125">
        <v>1025</v>
      </c>
      <c r="L48" s="125">
        <v>316</v>
      </c>
      <c r="M48" s="13">
        <v>187016</v>
      </c>
      <c r="N48" s="34">
        <v>163309</v>
      </c>
      <c r="O48" s="34" t="s">
        <v>1566</v>
      </c>
      <c r="P48" s="34">
        <v>149716</v>
      </c>
      <c r="Q48" s="34">
        <v>182449</v>
      </c>
      <c r="R48" s="34">
        <v>160323</v>
      </c>
      <c r="S48" s="34"/>
      <c r="T48" s="34">
        <v>132095</v>
      </c>
      <c r="U48" s="34">
        <v>211392</v>
      </c>
      <c r="V48" s="34">
        <v>187751</v>
      </c>
      <c r="W48" s="34" t="s">
        <v>1566</v>
      </c>
      <c r="X48" s="34">
        <v>129315</v>
      </c>
      <c r="Y48" s="34">
        <v>236077</v>
      </c>
      <c r="Z48" s="34">
        <v>196024</v>
      </c>
      <c r="AA48" s="34" t="s">
        <v>1566</v>
      </c>
      <c r="AB48" s="34">
        <v>120524</v>
      </c>
      <c r="AC48" s="34">
        <v>273208</v>
      </c>
      <c r="AD48" s="34">
        <v>252314</v>
      </c>
      <c r="AE48" s="45"/>
      <c r="AF48" s="15">
        <v>101667</v>
      </c>
      <c r="AG48" s="850">
        <f t="shared" si="19"/>
        <v>160051.9869316268</v>
      </c>
      <c r="AH48" s="850">
        <f t="shared" si="20"/>
        <v>149070.53719097338</v>
      </c>
      <c r="AI48" s="850">
        <f t="shared" si="21"/>
        <v>160786.49941394408</v>
      </c>
      <c r="AJ48" s="850">
        <f t="shared" si="22"/>
        <v>162760.2071539239</v>
      </c>
      <c r="AK48" s="850">
        <f t="shared" si="23"/>
        <v>176167.17301448301</v>
      </c>
      <c r="AL48" s="807">
        <f>AO48/SUM($AO48:$AQ48)</f>
        <v>0.16560458066689121</v>
      </c>
      <c r="AM48" s="780">
        <f>AP48/SUM($AO48:$AQ48)</f>
        <v>0.30596160323341193</v>
      </c>
      <c r="AN48" s="780">
        <f>AQ48/SUM($AO48:$AQ48)</f>
        <v>0.52843381609969686</v>
      </c>
      <c r="AO48" s="867">
        <v>1229200</v>
      </c>
      <c r="AP48" s="867">
        <v>2271000</v>
      </c>
      <c r="AQ48" s="868">
        <v>3922300</v>
      </c>
      <c r="AR48" s="873">
        <v>64</v>
      </c>
      <c r="AS48" s="874">
        <f t="shared" si="10"/>
        <v>55</v>
      </c>
      <c r="AT48" s="874">
        <f t="shared" si="11"/>
        <v>85</v>
      </c>
      <c r="AU48" s="874">
        <f t="shared" si="12"/>
        <v>130</v>
      </c>
      <c r="AV48" s="875">
        <f t="shared" si="13"/>
        <v>190</v>
      </c>
      <c r="AW48" s="10">
        <f t="shared" si="28"/>
        <v>3880366.9527969235</v>
      </c>
      <c r="AX48" s="10">
        <f t="shared" si="29"/>
        <v>4790679.108353626</v>
      </c>
      <c r="AY48" s="10">
        <f t="shared" si="30"/>
        <v>2016134.0734513276</v>
      </c>
      <c r="AZ48" s="10">
        <f t="shared" si="31"/>
        <v>1444407.3203771398</v>
      </c>
      <c r="BA48" s="10">
        <f t="shared" si="32"/>
        <v>921511.10364972905</v>
      </c>
      <c r="BB48" s="34">
        <f t="shared" si="3"/>
        <v>13053098.558628745</v>
      </c>
      <c r="BC48" s="878">
        <v>1467988</v>
      </c>
      <c r="BD48" s="161">
        <f>(BB48-BC48)/'AX1'!N68/1000</f>
        <v>4.5541114838798702</v>
      </c>
      <c r="BE48" s="716">
        <v>0.78</v>
      </c>
    </row>
    <row r="49" spans="2:57" s="9" customFormat="1" ht="12.75">
      <c r="B49" s="15">
        <v>2020</v>
      </c>
      <c r="C49" s="127"/>
      <c r="D49" s="127"/>
      <c r="E49" s="127"/>
      <c r="F49" s="127"/>
      <c r="G49" s="127"/>
      <c r="H49" s="13"/>
      <c r="I49" s="34"/>
      <c r="J49" s="34"/>
      <c r="K49" s="34"/>
      <c r="L49" s="14"/>
      <c r="M49" s="34"/>
      <c r="N49" s="10"/>
      <c r="O49" s="34"/>
      <c r="P49" s="10"/>
      <c r="Q49" s="10"/>
      <c r="R49" s="34"/>
      <c r="S49" s="10"/>
      <c r="T49" s="789"/>
      <c r="U49" s="10"/>
      <c r="AO49" s="857"/>
      <c r="AP49" s="857"/>
      <c r="AQ49" s="857"/>
      <c r="BB49" s="45"/>
      <c r="BC49" s="34"/>
      <c r="BE49" s="716"/>
    </row>
    <row r="50" spans="2:57">
      <c r="H50" s="161"/>
      <c r="V50" s="9"/>
    </row>
    <row r="51" spans="2:57">
      <c r="H51" s="161"/>
      <c r="V51" s="9"/>
    </row>
    <row r="52" spans="2:57">
      <c r="H52" s="161"/>
    </row>
    <row r="53" spans="2:57">
      <c r="H53" s="161"/>
    </row>
    <row r="54" spans="2:57">
      <c r="H54" s="161"/>
    </row>
  </sheetData>
  <mergeCells count="21">
    <mergeCell ref="BP4:BQ4"/>
    <mergeCell ref="AG4:AK4"/>
    <mergeCell ref="AR4:AV4"/>
    <mergeCell ref="AW4:BB4"/>
    <mergeCell ref="BC4:BC5"/>
    <mergeCell ref="AO5:AQ5"/>
    <mergeCell ref="BD4:BE4"/>
    <mergeCell ref="M5:P5"/>
    <mergeCell ref="Q5:T5"/>
    <mergeCell ref="U5:X5"/>
    <mergeCell ref="Y5:AB5"/>
    <mergeCell ref="AC5:AF5"/>
    <mergeCell ref="C4:G4"/>
    <mergeCell ref="H4:L4"/>
    <mergeCell ref="AL4:AQ4"/>
    <mergeCell ref="BF4:BG4"/>
    <mergeCell ref="BN4:BO4"/>
    <mergeCell ref="BL4:BM4"/>
    <mergeCell ref="BJ4:BK4"/>
    <mergeCell ref="M4:AF4"/>
    <mergeCell ref="BH4:BI4"/>
  </mergeCells>
  <phoneticPr fontId="11" type="noConversion"/>
  <hyperlinks>
    <hyperlink ref="C8" r:id="rId1" xr:uid="{A2E2D1C8-DDAD-4C9C-B569-8D596336CF6F}"/>
    <hyperlink ref="D8:G8" r:id="rId2" display="https://www.rvd.gov.hk/doc/en/statistics/full.pdf" xr:uid="{3E19ADD8-9B6F-4C27-B0DF-C30A88368964}"/>
    <hyperlink ref="H8" r:id="rId3" xr:uid="{BC268D5B-DCEB-4A2E-9D16-EE64325355FD}"/>
    <hyperlink ref="I8:L8" r:id="rId4" display="https://www.rvd.gov.hk/doc/en/statistics/full.pdf" xr:uid="{3E96D466-FB55-4B86-AAD3-98DE878E668E}"/>
    <hyperlink ref="BC8" r:id="rId5" xr:uid="{FF2BC48F-3B3A-408A-AE8F-E0DFCBB9A765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6A1D-DA85-4D5B-AA06-1E5A40D5FDA1}">
  <sheetPr>
    <tabColor theme="1"/>
  </sheetPr>
  <dimension ref="A1:O34"/>
  <sheetViews>
    <sheetView workbookViewId="0">
      <pane xSplit="1" ySplit="6" topLeftCell="B11" activePane="bottomRight" state="frozen"/>
      <selection pane="topRight" activeCell="B1" sqref="B1"/>
      <selection pane="bottomLeft" activeCell="A8" sqref="A8"/>
      <selection pane="bottomRight" activeCell="G21" sqref="G21"/>
    </sheetView>
  </sheetViews>
  <sheetFormatPr defaultRowHeight="14.25"/>
  <cols>
    <col min="1" max="5" width="11.125" customWidth="1"/>
    <col min="11" max="11" width="10.125" customWidth="1"/>
    <col min="12" max="12" width="14.375" style="715" customWidth="1"/>
    <col min="13" max="13" width="20.25" bestFit="1" customWidth="1"/>
  </cols>
  <sheetData>
    <row r="1" spans="1:15" s="955" customFormat="1" ht="48.75" customHeight="1" thickTop="1" thickBot="1">
      <c r="A1" s="952" t="s">
        <v>1625</v>
      </c>
      <c r="B1" s="953"/>
      <c r="C1" s="953"/>
      <c r="D1" s="953"/>
      <c r="E1" s="953"/>
      <c r="F1" s="953"/>
      <c r="G1" s="953"/>
      <c r="H1" s="953"/>
      <c r="I1" s="953"/>
      <c r="J1" s="954"/>
      <c r="L1" s="956"/>
    </row>
    <row r="2" spans="1:15">
      <c r="A2" s="194"/>
      <c r="B2" s="167" t="s">
        <v>1157</v>
      </c>
      <c r="C2" s="168" t="s">
        <v>1201</v>
      </c>
      <c r="D2" s="483" t="s">
        <v>1159</v>
      </c>
      <c r="E2" s="483" t="s">
        <v>1160</v>
      </c>
      <c r="F2" s="169" t="s">
        <v>1161</v>
      </c>
      <c r="G2" s="168" t="s">
        <v>1163</v>
      </c>
      <c r="H2" s="483" t="s">
        <v>1165</v>
      </c>
      <c r="I2" s="483" t="s">
        <v>1167</v>
      </c>
      <c r="J2" s="484" t="s">
        <v>1169</v>
      </c>
    </row>
    <row r="3" spans="1:15" ht="15">
      <c r="A3" s="194"/>
      <c r="B3" s="1176" t="s">
        <v>1429</v>
      </c>
      <c r="C3" s="1176"/>
      <c r="D3" s="1176"/>
      <c r="E3" s="1176"/>
      <c r="F3" s="1176"/>
      <c r="G3" s="1176"/>
      <c r="H3" s="1176"/>
      <c r="I3" s="1176"/>
      <c r="J3" s="1177"/>
    </row>
    <row r="4" spans="1:15" ht="51">
      <c r="A4" s="195"/>
      <c r="B4" s="577" t="s">
        <v>1425</v>
      </c>
      <c r="C4" s="585" t="s">
        <v>1425</v>
      </c>
      <c r="D4" s="479" t="s">
        <v>1234</v>
      </c>
      <c r="E4" s="479" t="s">
        <v>1428</v>
      </c>
      <c r="F4" s="481" t="s">
        <v>1423</v>
      </c>
      <c r="G4" s="480" t="s">
        <v>1424</v>
      </c>
      <c r="H4" s="479" t="s">
        <v>1250</v>
      </c>
      <c r="I4" s="479" t="s">
        <v>1258</v>
      </c>
      <c r="J4" s="482" t="s">
        <v>1273</v>
      </c>
    </row>
    <row r="5" spans="1:15" ht="25.5">
      <c r="A5" s="196"/>
      <c r="B5" s="578" t="s">
        <v>1426</v>
      </c>
      <c r="C5" s="586" t="s">
        <v>1427</v>
      </c>
      <c r="D5" s="266" t="s">
        <v>1237</v>
      </c>
      <c r="E5" s="266" t="s">
        <v>1199</v>
      </c>
      <c r="F5" s="326" t="s">
        <v>1257</v>
      </c>
      <c r="G5" s="321" t="s">
        <v>1427</v>
      </c>
      <c r="H5" s="266" t="s">
        <v>1199</v>
      </c>
      <c r="I5" s="266" t="s">
        <v>1199</v>
      </c>
      <c r="J5" s="269" t="s">
        <v>1272</v>
      </c>
    </row>
    <row r="6" spans="1:15">
      <c r="A6" s="195" t="s">
        <v>1200</v>
      </c>
      <c r="B6" s="577"/>
      <c r="C6" s="585"/>
      <c r="D6" s="267"/>
      <c r="E6" s="268"/>
      <c r="F6" s="327"/>
      <c r="G6" s="322"/>
      <c r="H6" s="268"/>
      <c r="I6" s="268"/>
      <c r="J6" s="270"/>
    </row>
    <row r="7" spans="1:15" ht="15">
      <c r="A7" s="191">
        <v>2008</v>
      </c>
      <c r="B7" s="579">
        <v>1</v>
      </c>
      <c r="C7" s="587">
        <f>B7*'AX1'!FR57*'AX1'!FU$65/'AX1'!FU57</f>
        <v>10.056273749999999</v>
      </c>
      <c r="D7" s="580">
        <f>'AX4'!K18</f>
        <v>37200</v>
      </c>
      <c r="E7" s="581">
        <f>D7/'AX3'!D32</f>
        <v>6.6186282359220706E-3</v>
      </c>
      <c r="F7" s="609">
        <f>'AX4'!M18*'AX1'!FU$65/'AX1'!FU57</f>
        <v>1822.1968035</v>
      </c>
      <c r="G7" s="323">
        <f t="shared" ref="G7:G15" si="0">F7/D7*1000</f>
        <v>48.98378504032258</v>
      </c>
      <c r="H7" s="197">
        <f>F7/'A2.0'!B36*'AX1'!FU37</f>
        <v>0.4794359679785089</v>
      </c>
      <c r="I7" s="197">
        <f>H7/'A2.0'!E36</f>
        <v>0.87078441339445289</v>
      </c>
      <c r="J7" s="582"/>
      <c r="K7" s="753"/>
      <c r="L7" s="753"/>
      <c r="M7" s="715"/>
    </row>
    <row r="8" spans="1:15" ht="15">
      <c r="A8" s="191">
        <v>2009</v>
      </c>
      <c r="B8" s="579">
        <v>1</v>
      </c>
      <c r="C8" s="587">
        <f>B8*'AX1'!FR58*'AX1'!FU$65/'AX1'!FU58</f>
        <v>9.9018560885608853</v>
      </c>
      <c r="D8" s="580">
        <f>'AX4'!K19</f>
        <v>76000</v>
      </c>
      <c r="E8" s="581">
        <f>D8/'AX3'!D33</f>
        <v>1.3385230454921715E-2</v>
      </c>
      <c r="F8" s="609">
        <f>'AX4'!M19*'AX1'!FU$65/'AX1'!FU58</f>
        <v>3747.8525295202949</v>
      </c>
      <c r="G8" s="323">
        <f t="shared" si="0"/>
        <v>49.313849072635463</v>
      </c>
      <c r="H8" s="197">
        <f>F8/'A2.0'!B37*'AX1'!FU38</f>
        <v>1.162280983646617</v>
      </c>
      <c r="I8" s="197">
        <f>H8/'A2.0'!E37</f>
        <v>1.9299441494845122</v>
      </c>
      <c r="J8" s="582"/>
      <c r="K8" s="753"/>
      <c r="L8" s="753"/>
      <c r="M8" s="715"/>
    </row>
    <row r="9" spans="1:15" ht="15">
      <c r="A9" s="191">
        <v>2010</v>
      </c>
      <c r="B9" s="579">
        <v>1</v>
      </c>
      <c r="C9" s="587">
        <f>B9*'AX1'!FR59*'AX1'!FU$65/'AX1'!FU59</f>
        <v>9.6530275119617226</v>
      </c>
      <c r="D9" s="580">
        <f>'AX4'!K20</f>
        <v>101300</v>
      </c>
      <c r="E9" s="581">
        <f>D9/'AX3'!D34</f>
        <v>1.7611265646731572E-2</v>
      </c>
      <c r="F9" s="609">
        <f>'AX4'!M20*'AX1'!FU$65/'AX1'!FU59</f>
        <v>4930.7664531100472</v>
      </c>
      <c r="G9" s="323">
        <f t="shared" si="0"/>
        <v>48.67489094876651</v>
      </c>
      <c r="H9" s="197">
        <f>F9/'A2.0'!B38*'AX1'!FU39</f>
        <v>1.5506579942238121</v>
      </c>
      <c r="I9" s="197">
        <f>H9/'A2.0'!E38</f>
        <v>2.6342871432592045</v>
      </c>
      <c r="J9" s="582"/>
      <c r="K9" s="753"/>
      <c r="L9" s="753"/>
      <c r="M9" s="715"/>
    </row>
    <row r="10" spans="1:15" ht="15">
      <c r="A10" s="191">
        <v>2011</v>
      </c>
      <c r="B10" s="579">
        <v>1</v>
      </c>
      <c r="C10" s="587">
        <f>B10*'AX1'!FR60*'AX1'!FU$65/'AX1'!FU60</f>
        <v>9.1183133484162884</v>
      </c>
      <c r="D10" s="580">
        <f>'AX4'!K21</f>
        <v>83600</v>
      </c>
      <c r="E10" s="581">
        <f>D10/'AX3'!D35</f>
        <v>1.4353409793283426E-2</v>
      </c>
      <c r="F10" s="609">
        <f>'AX4'!M21*'AX1'!FU$65/'AX1'!FU60</f>
        <v>3722.0955088235291</v>
      </c>
      <c r="G10" s="323">
        <f t="shared" si="0"/>
        <v>44.522673550520686</v>
      </c>
      <c r="H10" s="197">
        <f>F10/'A2.0'!B39*'AX1'!FU40</f>
        <v>1.1617340759223937</v>
      </c>
      <c r="I10" s="197">
        <f>H10/'A2.0'!E39</f>
        <v>2.0038689851949489</v>
      </c>
      <c r="J10" s="582">
        <f>F10/'A2.0'!H39*'AX3'!E35/1000/1000</f>
        <v>23.921957636613033</v>
      </c>
      <c r="K10" s="753"/>
      <c r="L10" s="753"/>
      <c r="M10" s="715"/>
    </row>
    <row r="11" spans="1:15" ht="15">
      <c r="A11" s="191">
        <v>2012</v>
      </c>
      <c r="B11" s="579">
        <v>1</v>
      </c>
      <c r="C11" s="587">
        <f>B11*'AX1'!FR61*'AX1'!FU$65/'AX1'!FU61</f>
        <v>8.7731941112322787</v>
      </c>
      <c r="D11" s="580">
        <f>'AX4'!K22</f>
        <v>113500</v>
      </c>
      <c r="E11" s="581">
        <f>D11/'AX3'!D36</f>
        <v>1.9180397127165186E-2</v>
      </c>
      <c r="F11" s="609">
        <f>'AX4'!M22*'AX1'!FU$65/'AX1'!FU61</f>
        <v>4915.6206605234447</v>
      </c>
      <c r="G11" s="323">
        <f t="shared" si="0"/>
        <v>43.309433132365157</v>
      </c>
      <c r="H11" s="197">
        <f>F11/'A2.0'!B40*'AX1'!FU41</f>
        <v>1.6152703801177013</v>
      </c>
      <c r="I11" s="197">
        <f>H11/'A2.0'!E40</f>
        <v>2.7149940877349885</v>
      </c>
      <c r="J11" s="582"/>
      <c r="K11" s="753"/>
      <c r="L11" s="753"/>
      <c r="M11" s="715"/>
      <c r="O11" s="726"/>
    </row>
    <row r="12" spans="1:15" ht="15">
      <c r="A12" s="191">
        <v>2013</v>
      </c>
      <c r="B12" s="579">
        <v>1</v>
      </c>
      <c r="C12" s="587">
        <f>B12*'AX1'!FR62*'AX1'!FU$65/'AX1'!FU62</f>
        <v>8.4185491631799163</v>
      </c>
      <c r="D12" s="580">
        <f>'AX4'!K23</f>
        <v>124200</v>
      </c>
      <c r="E12" s="581">
        <f>D12/'AX3'!D37</f>
        <v>2.0780698378703968E-2</v>
      </c>
      <c r="F12" s="609">
        <f>'AX4'!M23*'AX1'!FU$65/'AX1'!FU62</f>
        <v>5278.4303253138078</v>
      </c>
      <c r="G12" s="323">
        <f t="shared" si="0"/>
        <v>42.499439012188468</v>
      </c>
      <c r="H12" s="197">
        <f>F12/'A2.0'!B41*'AX1'!FU42</f>
        <v>1.8053688004856583</v>
      </c>
      <c r="I12" s="197">
        <f>H12/'A2.0'!E41</f>
        <v>3.0616630091081158</v>
      </c>
      <c r="J12" s="582"/>
      <c r="K12" s="753"/>
      <c r="L12" s="753"/>
      <c r="M12" s="715"/>
    </row>
    <row r="13" spans="1:15" ht="15">
      <c r="A13" s="191">
        <v>2014</v>
      </c>
      <c r="B13" s="579">
        <v>1</v>
      </c>
      <c r="C13" s="587">
        <f>B13*'AX1'!FR63*'AX1'!FU$65/'AX1'!FU63</f>
        <v>8.0261306081754729</v>
      </c>
      <c r="D13" s="580">
        <f>'AX4'!K24</f>
        <v>138200</v>
      </c>
      <c r="E13" s="581">
        <f>D13/'AX3'!D38</f>
        <v>2.2882688964318238E-2</v>
      </c>
      <c r="F13" s="609">
        <f>'AX4'!M24*'AX1'!FU$65/'AX1'!FU63</f>
        <v>5692.9344403788627</v>
      </c>
      <c r="G13" s="323">
        <f t="shared" si="0"/>
        <v>41.193447470179905</v>
      </c>
      <c r="H13" s="197">
        <f>F13/'A2.0'!B42*'AX1'!FU43</f>
        <v>2.0252991906794762</v>
      </c>
      <c r="I13" s="197">
        <f>H13/'A2.0'!E42</f>
        <v>3.4175059406970534</v>
      </c>
      <c r="J13" s="582"/>
      <c r="K13" s="753"/>
      <c r="L13" s="753"/>
      <c r="M13" s="715"/>
    </row>
    <row r="14" spans="1:15" ht="15">
      <c r="A14" s="191">
        <v>2015</v>
      </c>
      <c r="B14" s="579">
        <v>1</v>
      </c>
      <c r="C14" s="587">
        <f>B14*'AX1'!FR64*'AX1'!FU$65/'AX1'!FU64</f>
        <v>7.8411491228070176</v>
      </c>
      <c r="D14" s="580">
        <f>'AX4'!K25</f>
        <v>142300</v>
      </c>
      <c r="E14" s="581">
        <f>D14/'AX3'!D39</f>
        <v>2.3318312167144611E-2</v>
      </c>
      <c r="F14" s="609">
        <f>'AX4'!M25*'AX1'!FU$65/'AX1'!FU64</f>
        <v>5761.6763754385956</v>
      </c>
      <c r="G14" s="323">
        <f t="shared" si="0"/>
        <v>40.489644240608548</v>
      </c>
      <c r="H14" s="197">
        <f>F14/'A2.0'!B43*'AX1'!FU44</f>
        <v>2.0880436995787068</v>
      </c>
      <c r="I14" s="197">
        <f>H14/'A2.0'!E43</f>
        <v>3.538094897391205</v>
      </c>
      <c r="J14" s="582"/>
      <c r="K14" s="753"/>
      <c r="L14" s="753"/>
      <c r="M14" s="715"/>
    </row>
    <row r="15" spans="1:15" ht="15.75" thickBot="1">
      <c r="A15" s="591">
        <v>2016</v>
      </c>
      <c r="B15" s="592">
        <v>1</v>
      </c>
      <c r="C15" s="593">
        <f>B15*'AX1'!FR65*'AX1'!FU$65/'AX1'!FU65</f>
        <v>7.7539999999999996</v>
      </c>
      <c r="D15" s="594">
        <f>'AX4'!K26</f>
        <v>148200</v>
      </c>
      <c r="E15" s="595">
        <f>D15/'AX3'!D40</f>
        <v>2.4038149613962237E-2</v>
      </c>
      <c r="F15" s="610">
        <f>'AX4'!M26*'AX1'!FU$65/'AX1'!FU65</f>
        <v>5965.9275999999991</v>
      </c>
      <c r="G15" s="611">
        <f t="shared" si="0"/>
        <v>40.25592172739541</v>
      </c>
      <c r="H15" s="596">
        <f>F15/'A2.0'!B44*'AX1'!FU45</f>
        <v>2.2016220318013091</v>
      </c>
      <c r="I15" s="596">
        <f>H15/'A2.0'!E44</f>
        <v>3.6985042464952325</v>
      </c>
      <c r="J15" s="597">
        <f>F15/'A2.0'!H44*'AX3'!E40/1000/1000</f>
        <v>33.148821752858623</v>
      </c>
      <c r="K15" s="753"/>
      <c r="L15" s="753"/>
      <c r="M15" s="715"/>
    </row>
    <row r="16" spans="1:15" ht="15">
      <c r="A16" s="590"/>
      <c r="B16" s="1245" t="s">
        <v>1430</v>
      </c>
      <c r="C16" s="1245"/>
      <c r="D16" s="1245"/>
      <c r="E16" s="1245"/>
      <c r="F16" s="1245"/>
      <c r="G16" s="1245"/>
      <c r="H16" s="1245"/>
      <c r="I16" s="1245"/>
      <c r="J16" s="1246"/>
    </row>
    <row r="17" spans="1:10">
      <c r="A17" s="196"/>
      <c r="B17" s="578" t="s">
        <v>1199</v>
      </c>
      <c r="C17" s="586" t="s">
        <v>1199</v>
      </c>
      <c r="D17" s="266" t="s">
        <v>1199</v>
      </c>
      <c r="E17" s="266" t="s">
        <v>1199</v>
      </c>
      <c r="F17" s="266" t="s">
        <v>1199</v>
      </c>
      <c r="G17" s="266" t="s">
        <v>1199</v>
      </c>
      <c r="H17" s="266" t="s">
        <v>1199</v>
      </c>
      <c r="I17" s="266" t="s">
        <v>1199</v>
      </c>
      <c r="J17" s="269" t="s">
        <v>1199</v>
      </c>
    </row>
    <row r="18" spans="1:10" ht="15">
      <c r="A18" s="191">
        <v>2008</v>
      </c>
      <c r="B18" s="579"/>
      <c r="C18" s="587"/>
      <c r="D18" s="580"/>
      <c r="E18" s="581"/>
      <c r="F18" s="609"/>
      <c r="G18" s="323"/>
      <c r="H18" s="197"/>
      <c r="I18" s="197"/>
      <c r="J18" s="582"/>
    </row>
    <row r="19" spans="1:10" ht="15">
      <c r="A19" s="191">
        <v>2009</v>
      </c>
      <c r="B19" s="496">
        <f t="shared" ref="B19:I19" si="1">B8/B7-1</f>
        <v>0</v>
      </c>
      <c r="C19" s="588">
        <f t="shared" si="1"/>
        <v>-1.5355355798574388E-2</v>
      </c>
      <c r="D19" s="197">
        <f t="shared" si="1"/>
        <v>1.043010752688172</v>
      </c>
      <c r="E19" s="589">
        <f t="shared" si="1"/>
        <v>1.0223571981690189</v>
      </c>
      <c r="F19" s="612">
        <f t="shared" si="1"/>
        <v>1.0567770299682095</v>
      </c>
      <c r="G19" s="613">
        <f t="shared" si="1"/>
        <v>6.7382304581236063E-3</v>
      </c>
      <c r="H19" s="197">
        <f t="shared" si="1"/>
        <v>1.4242673918422351</v>
      </c>
      <c r="I19" s="197">
        <f t="shared" si="1"/>
        <v>1.2163283124938928</v>
      </c>
      <c r="J19" s="582"/>
    </row>
    <row r="20" spans="1:10" ht="15">
      <c r="A20" s="191">
        <v>2010</v>
      </c>
      <c r="B20" s="496">
        <f t="shared" ref="B20:I26" si="2">B9/B8-1</f>
        <v>0</v>
      </c>
      <c r="C20" s="588">
        <f t="shared" si="2"/>
        <v>-2.5129488287213286E-2</v>
      </c>
      <c r="D20" s="197">
        <f t="shared" si="2"/>
        <v>0.33289473684210535</v>
      </c>
      <c r="E20" s="589">
        <f t="shared" si="2"/>
        <v>0.31572375283654197</v>
      </c>
      <c r="F20" s="612">
        <f t="shared" si="2"/>
        <v>0.31562445807897332</v>
      </c>
      <c r="G20" s="613">
        <f t="shared" si="2"/>
        <v>-1.295697123393913E-2</v>
      </c>
      <c r="H20" s="197">
        <f t="shared" si="2"/>
        <v>0.33415070541606506</v>
      </c>
      <c r="I20" s="197">
        <f t="shared" si="2"/>
        <v>0.36495511746431752</v>
      </c>
      <c r="J20" s="582"/>
    </row>
    <row r="21" spans="1:10" ht="15">
      <c r="A21" s="191">
        <v>2011</v>
      </c>
      <c r="B21" s="496">
        <f t="shared" si="2"/>
        <v>0</v>
      </c>
      <c r="C21" s="588">
        <f t="shared" si="2"/>
        <v>-5.5393415473314778E-2</v>
      </c>
      <c r="D21" s="197">
        <f t="shared" si="2"/>
        <v>-0.17472852912142156</v>
      </c>
      <c r="E21" s="589">
        <f t="shared" si="2"/>
        <v>-0.18498703720665088</v>
      </c>
      <c r="F21" s="612">
        <f t="shared" si="2"/>
        <v>-0.24512841072084379</v>
      </c>
      <c r="G21" s="613">
        <f t="shared" si="2"/>
        <v>-8.530511968925214E-2</v>
      </c>
      <c r="H21" s="197">
        <f t="shared" si="2"/>
        <v>-0.25081218408582462</v>
      </c>
      <c r="I21" s="197">
        <f t="shared" si="2"/>
        <v>-0.23931261999186881</v>
      </c>
      <c r="J21" s="582"/>
    </row>
    <row r="22" spans="1:10" ht="15">
      <c r="A22" s="191">
        <v>2012</v>
      </c>
      <c r="B22" s="496">
        <f t="shared" si="2"/>
        <v>0</v>
      </c>
      <c r="C22" s="588">
        <f t="shared" si="2"/>
        <v>-3.784902141402624E-2</v>
      </c>
      <c r="D22" s="197">
        <f t="shared" si="2"/>
        <v>0.35765550239234445</v>
      </c>
      <c r="E22" s="589">
        <f t="shared" si="2"/>
        <v>0.33629551468254704</v>
      </c>
      <c r="F22" s="612">
        <f t="shared" si="2"/>
        <v>0.32065946423743497</v>
      </c>
      <c r="G22" s="613">
        <f t="shared" si="2"/>
        <v>-2.7249945284144816E-2</v>
      </c>
      <c r="H22" s="197">
        <f t="shared" si="2"/>
        <v>0.39039597236158263</v>
      </c>
      <c r="I22" s="197">
        <f t="shared" si="2"/>
        <v>0.3548760461856526</v>
      </c>
      <c r="J22" s="582"/>
    </row>
    <row r="23" spans="1:10" ht="15">
      <c r="A23" s="191">
        <v>2013</v>
      </c>
      <c r="B23" s="496">
        <f t="shared" si="2"/>
        <v>0</v>
      </c>
      <c r="C23" s="588">
        <f t="shared" si="2"/>
        <v>-4.0423697863736119E-2</v>
      </c>
      <c r="D23" s="197">
        <f t="shared" si="2"/>
        <v>9.4273127753303987E-2</v>
      </c>
      <c r="E23" s="589">
        <f t="shared" si="2"/>
        <v>8.3434208422737743E-2</v>
      </c>
      <c r="F23" s="612">
        <f t="shared" si="2"/>
        <v>7.3807498553342121E-2</v>
      </c>
      <c r="G23" s="613">
        <f t="shared" si="2"/>
        <v>-1.8702487231849307E-2</v>
      </c>
      <c r="H23" s="197">
        <f t="shared" si="2"/>
        <v>0.11768829708503969</v>
      </c>
      <c r="I23" s="197">
        <f t="shared" si="2"/>
        <v>0.12768680526385223</v>
      </c>
      <c r="J23" s="582"/>
    </row>
    <row r="24" spans="1:10" ht="15">
      <c r="A24" s="191">
        <v>2014</v>
      </c>
      <c r="B24" s="496">
        <f t="shared" si="2"/>
        <v>0</v>
      </c>
      <c r="C24" s="588">
        <f t="shared" si="2"/>
        <v>-4.6613561006540016E-2</v>
      </c>
      <c r="D24" s="197">
        <f t="shared" si="2"/>
        <v>0.11272141706924321</v>
      </c>
      <c r="E24" s="589">
        <f t="shared" si="2"/>
        <v>0.10115110413076334</v>
      </c>
      <c r="F24" s="612">
        <f t="shared" si="2"/>
        <v>7.8527912564690716E-2</v>
      </c>
      <c r="G24" s="613">
        <f t="shared" si="2"/>
        <v>-3.0729618375292311E-2</v>
      </c>
      <c r="H24" s="197">
        <f t="shared" si="2"/>
        <v>0.12182020102189361</v>
      </c>
      <c r="I24" s="197">
        <f t="shared" si="2"/>
        <v>0.11622537507568387</v>
      </c>
      <c r="J24" s="582"/>
    </row>
    <row r="25" spans="1:10" ht="15">
      <c r="A25" s="191">
        <v>2015</v>
      </c>
      <c r="B25" s="496">
        <f t="shared" si="2"/>
        <v>0</v>
      </c>
      <c r="C25" s="588">
        <f t="shared" si="2"/>
        <v>-2.3047405331285242E-2</v>
      </c>
      <c r="D25" s="197">
        <f t="shared" si="2"/>
        <v>2.9667149059334319E-2</v>
      </c>
      <c r="E25" s="589">
        <f t="shared" si="2"/>
        <v>1.9037238302965775E-2</v>
      </c>
      <c r="F25" s="612">
        <f t="shared" si="2"/>
        <v>1.2074956383154589E-2</v>
      </c>
      <c r="G25" s="613">
        <f t="shared" si="2"/>
        <v>-1.7085319942712784E-2</v>
      </c>
      <c r="H25" s="197">
        <f t="shared" si="2"/>
        <v>3.0980365364279949E-2</v>
      </c>
      <c r="I25" s="197">
        <f t="shared" si="2"/>
        <v>3.5285661177096861E-2</v>
      </c>
      <c r="J25" s="582"/>
    </row>
    <row r="26" spans="1:10" ht="15.75" thickBot="1">
      <c r="A26" s="276">
        <v>2016</v>
      </c>
      <c r="B26" s="600">
        <f t="shared" si="2"/>
        <v>0</v>
      </c>
      <c r="C26" s="598">
        <f t="shared" si="2"/>
        <v>-1.1114330494433999E-2</v>
      </c>
      <c r="D26" s="201">
        <f t="shared" si="2"/>
        <v>4.146170063246668E-2</v>
      </c>
      <c r="E26" s="599">
        <f t="shared" si="2"/>
        <v>3.087004932680637E-2</v>
      </c>
      <c r="F26" s="614">
        <f t="shared" si="2"/>
        <v>3.5449964776241849E-2</v>
      </c>
      <c r="G26" s="615">
        <f t="shared" si="2"/>
        <v>-5.7724022425154065E-3</v>
      </c>
      <c r="H26" s="201">
        <f t="shared" si="2"/>
        <v>5.439461455979977E-2</v>
      </c>
      <c r="I26" s="201">
        <f t="shared" si="2"/>
        <v>4.5337774637504547E-2</v>
      </c>
      <c r="J26" s="584"/>
    </row>
    <row r="27" spans="1:10" ht="15" thickTop="1">
      <c r="A27" s="318" t="s">
        <v>1431</v>
      </c>
      <c r="B27" s="607">
        <v>0</v>
      </c>
      <c r="C27" s="606">
        <f>(C15/C7)^(1/8)-1</f>
        <v>-3.1976080494402592E-2</v>
      </c>
      <c r="D27" s="606">
        <f t="shared" ref="D27:I27" si="3">(D15/D7)^(1/8)-1</f>
        <v>0.18860665617559147</v>
      </c>
      <c r="E27" s="606">
        <f t="shared" si="3"/>
        <v>0.17494254705412815</v>
      </c>
      <c r="F27" s="606">
        <f t="shared" si="3"/>
        <v>0.15980596295382843</v>
      </c>
      <c r="G27" s="606">
        <f t="shared" si="3"/>
        <v>-2.4230634307930599E-2</v>
      </c>
      <c r="H27" s="606">
        <f t="shared" si="3"/>
        <v>0.20990568897610418</v>
      </c>
      <c r="I27" s="606">
        <f t="shared" si="3"/>
        <v>0.19815894495430664</v>
      </c>
    </row>
    <row r="28" spans="1:10">
      <c r="A28" s="318" t="s">
        <v>1433</v>
      </c>
      <c r="B28" s="605">
        <v>0</v>
      </c>
      <c r="C28" s="608">
        <f>(C10/C7)^(1/3)-1</f>
        <v>-3.2110433219758705E-2</v>
      </c>
      <c r="D28" s="608">
        <f t="shared" ref="D28:I28" si="4">(D10/D7)^(1/3)-1</f>
        <v>0.30984863701050669</v>
      </c>
      <c r="E28" s="608">
        <f t="shared" si="4"/>
        <v>0.29438170374664407</v>
      </c>
      <c r="F28" s="608">
        <f t="shared" si="4"/>
        <v>0.26881238977260202</v>
      </c>
      <c r="G28" s="608">
        <f t="shared" si="4"/>
        <v>-3.1328999457191031E-2</v>
      </c>
      <c r="H28" s="608">
        <f t="shared" si="4"/>
        <v>0.34315264600299522</v>
      </c>
      <c r="I28" s="608">
        <f t="shared" si="4"/>
        <v>0.32024001700389926</v>
      </c>
    </row>
    <row r="29" spans="1:10">
      <c r="A29" s="318" t="s">
        <v>1434</v>
      </c>
      <c r="B29" s="605">
        <v>0</v>
      </c>
      <c r="C29" s="608">
        <f>(C15/C10)^(1/5)-1</f>
        <v>-3.1895459907595347E-2</v>
      </c>
      <c r="D29" s="608">
        <f t="shared" ref="D29:I29" si="5">(D15/D10)^(1/5)-1</f>
        <v>0.12131694529164561</v>
      </c>
      <c r="E29" s="608">
        <f t="shared" si="5"/>
        <v>0.10863654345452467</v>
      </c>
      <c r="F29" s="608">
        <f t="shared" si="5"/>
        <v>9.8950404340998555E-2</v>
      </c>
      <c r="G29" s="608">
        <f t="shared" si="5"/>
        <v>-1.9946671674376248E-2</v>
      </c>
      <c r="H29" s="608">
        <f t="shared" si="5"/>
        <v>0.13638948584401511</v>
      </c>
      <c r="I29" s="608">
        <f t="shared" si="5"/>
        <v>0.13039794580165287</v>
      </c>
    </row>
    <row r="30" spans="1:10" ht="15" thickBot="1"/>
    <row r="31" spans="1:10" ht="15" thickTop="1">
      <c r="A31" s="1116" t="s">
        <v>1432</v>
      </c>
      <c r="B31" s="1117"/>
      <c r="C31" s="1117"/>
      <c r="D31" s="1117"/>
      <c r="E31" s="1117"/>
      <c r="F31" s="1117"/>
      <c r="G31" s="1117"/>
      <c r="H31" s="1117"/>
      <c r="I31" s="1117"/>
      <c r="J31" s="1118"/>
    </row>
    <row r="32" spans="1:10">
      <c r="A32" s="1119"/>
      <c r="B32" s="1120"/>
      <c r="C32" s="1120"/>
      <c r="D32" s="1120"/>
      <c r="E32" s="1120"/>
      <c r="F32" s="1120"/>
      <c r="G32" s="1120"/>
      <c r="H32" s="1120"/>
      <c r="I32" s="1120"/>
      <c r="J32" s="1121"/>
    </row>
    <row r="33" spans="1:10" ht="15" thickBot="1">
      <c r="A33" s="1122"/>
      <c r="B33" s="1123"/>
      <c r="C33" s="1123"/>
      <c r="D33" s="1123"/>
      <c r="E33" s="1123"/>
      <c r="F33" s="1123"/>
      <c r="G33" s="1123"/>
      <c r="H33" s="1123"/>
      <c r="I33" s="1123"/>
      <c r="J33" s="1124"/>
    </row>
    <row r="34" spans="1:10" ht="15" thickTop="1"/>
  </sheetData>
  <mergeCells count="3">
    <mergeCell ref="A31:J33"/>
    <mergeCell ref="B16:J16"/>
    <mergeCell ref="B3:J3"/>
  </mergeCells>
  <phoneticPr fontId="11" type="noConversion"/>
  <pageMargins left="0.7" right="0.7" top="0.75" bottom="0.75" header="0.3" footer="0.3"/>
  <pageSetup orientation="portrait" horizontalDpi="4294967293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4FA1-52E6-40BF-8B96-6109D4883B9F}">
  <sheetPr>
    <tabColor theme="1"/>
  </sheetPr>
  <dimension ref="A1:K15"/>
  <sheetViews>
    <sheetView workbookViewId="0">
      <selection activeCell="A2" sqref="A2"/>
    </sheetView>
  </sheetViews>
  <sheetFormatPr defaultRowHeight="14.25"/>
  <cols>
    <col min="3" max="6" width="9" style="697"/>
    <col min="7" max="7" width="12.25" bestFit="1" customWidth="1"/>
  </cols>
  <sheetData>
    <row r="1" spans="1:11" ht="18.75" customHeight="1" thickTop="1">
      <c r="A1" s="966" t="s">
        <v>1636</v>
      </c>
      <c r="B1" s="969"/>
      <c r="C1" s="969"/>
      <c r="D1" s="969"/>
      <c r="E1" s="969"/>
      <c r="F1" s="969"/>
      <c r="G1" s="969"/>
      <c r="H1" s="969"/>
      <c r="I1" s="969"/>
      <c r="J1" s="969"/>
      <c r="K1" s="970"/>
    </row>
    <row r="2" spans="1:11">
      <c r="A2" s="194"/>
      <c r="B2" s="483" t="s">
        <v>1157</v>
      </c>
      <c r="C2" s="483" t="s">
        <v>1201</v>
      </c>
      <c r="D2" s="483" t="s">
        <v>1159</v>
      </c>
      <c r="E2" s="483" t="s">
        <v>1160</v>
      </c>
      <c r="F2" s="483" t="s">
        <v>1161</v>
      </c>
      <c r="G2" s="704" t="s">
        <v>1162</v>
      </c>
      <c r="H2" s="483" t="s">
        <v>1163</v>
      </c>
      <c r="I2" s="483" t="s">
        <v>1164</v>
      </c>
      <c r="J2" s="483" t="s">
        <v>1165</v>
      </c>
      <c r="K2" s="484" t="s">
        <v>1166</v>
      </c>
    </row>
    <row r="3" spans="1:11" ht="15">
      <c r="A3" s="194"/>
      <c r="B3" s="1176" t="s">
        <v>1463</v>
      </c>
      <c r="C3" s="1176"/>
      <c r="D3" s="1176"/>
      <c r="E3" s="1176"/>
      <c r="F3" s="1176"/>
      <c r="G3" s="1247" t="s">
        <v>1464</v>
      </c>
      <c r="H3" s="1176"/>
      <c r="I3" s="1176"/>
      <c r="J3" s="1176"/>
      <c r="K3" s="1177"/>
    </row>
    <row r="4" spans="1:11">
      <c r="A4" s="195"/>
      <c r="B4" s="577" t="s">
        <v>1198</v>
      </c>
      <c r="C4" s="577" t="s">
        <v>1458</v>
      </c>
      <c r="D4" s="695" t="s">
        <v>1459</v>
      </c>
      <c r="E4" s="695" t="s">
        <v>1460</v>
      </c>
      <c r="F4" s="695" t="s">
        <v>1461</v>
      </c>
      <c r="G4" s="705" t="s">
        <v>1462</v>
      </c>
      <c r="H4" s="577" t="s">
        <v>1458</v>
      </c>
      <c r="I4" s="695" t="s">
        <v>1459</v>
      </c>
      <c r="J4" s="695" t="s">
        <v>1460</v>
      </c>
      <c r="K4" s="696" t="s">
        <v>1461</v>
      </c>
    </row>
    <row r="5" spans="1:11">
      <c r="A5" s="196"/>
      <c r="B5" s="578"/>
      <c r="C5" s="578" t="s">
        <v>1199</v>
      </c>
      <c r="D5" s="266" t="s">
        <v>1199</v>
      </c>
      <c r="E5" s="266" t="s">
        <v>1199</v>
      </c>
      <c r="F5" s="266" t="s">
        <v>1199</v>
      </c>
      <c r="G5" s="706" t="s">
        <v>1465</v>
      </c>
      <c r="H5" s="578" t="s">
        <v>1465</v>
      </c>
      <c r="I5" s="266" t="s">
        <v>1465</v>
      </c>
      <c r="J5" s="266" t="s">
        <v>1465</v>
      </c>
      <c r="K5" s="269" t="s">
        <v>1465</v>
      </c>
    </row>
    <row r="6" spans="1:11">
      <c r="A6" s="195" t="s">
        <v>1200</v>
      </c>
      <c r="B6" s="577"/>
      <c r="C6" s="577"/>
      <c r="D6" s="268"/>
      <c r="E6" s="268"/>
      <c r="F6" s="268"/>
      <c r="G6" s="705"/>
      <c r="H6" s="577"/>
      <c r="I6" s="268"/>
      <c r="J6" s="268"/>
      <c r="K6" s="270"/>
    </row>
    <row r="7" spans="1:11" ht="15">
      <c r="A7" s="191">
        <v>1981</v>
      </c>
      <c r="B7" s="698">
        <f>[18]inc_wage!$E$2</f>
        <v>0.32686358690261841</v>
      </c>
      <c r="C7" s="698">
        <f>[18]inc_wage!$B$13/[18]inc_wage!$B$2</f>
        <v>6.235783902634022E-2</v>
      </c>
      <c r="D7" s="576">
        <f>[18]inc_wage!$B$11/[18]inc_wage!$B$2</f>
        <v>0.26802659177778854</v>
      </c>
      <c r="E7" s="581">
        <f>([18]inc_wage!$B$7-[18]inc_wage!$B$11)/[18]inc_wage!$B$2</f>
        <v>0.44500102837699707</v>
      </c>
      <c r="F7" s="702">
        <f>1-D7-E7</f>
        <v>0.2869723798452144</v>
      </c>
      <c r="G7" s="707">
        <f>[18]inc_wage!$C$2</f>
        <v>1815.6661376953125</v>
      </c>
      <c r="H7" s="708">
        <f>[18]inc_wage!$C$13</f>
        <v>11269.6337890625</v>
      </c>
      <c r="I7" s="708">
        <f>[18]inc_wage!$C$11</f>
        <v>4864.68017578125</v>
      </c>
      <c r="J7" s="708">
        <f>([18]inc_wage!$C$7*50-[18]inc_wage!$C$11*10)/40</f>
        <v>2019.984130859375</v>
      </c>
      <c r="K7" s="709">
        <f>([18]inc_wage!$C$2*100-[18]inc_wage!$C$7*50)/50</f>
        <v>1042.408935546875</v>
      </c>
    </row>
    <row r="8" spans="1:11" ht="15">
      <c r="A8" s="191">
        <v>1986</v>
      </c>
      <c r="B8" s="698">
        <f>[18]inc_wage!$K$2</f>
        <v>0.35397624969482422</v>
      </c>
      <c r="C8" s="698">
        <f>[18]inc_wage!$H$13/[18]inc_wage!$H$2</f>
        <v>6.7192532864260343E-2</v>
      </c>
      <c r="D8" s="576">
        <f>[18]inc_wage!$H$11/[18]inc_wage!$H$2</f>
        <v>0.29320064874619794</v>
      </c>
      <c r="E8" s="581">
        <f>([18]inc_wage!$H$7-[18]inc_wage!$H$11)/[18]inc_wage!$H$2</f>
        <v>0.43571901429127863</v>
      </c>
      <c r="F8" s="702">
        <f>1-D8-E8</f>
        <v>0.27108033696252337</v>
      </c>
      <c r="G8" s="707">
        <f>[18]inc_wage!$I$2</f>
        <v>3270.283203125</v>
      </c>
      <c r="H8" s="708">
        <f>[18]inc_wage!$I$13</f>
        <v>21923.822265625</v>
      </c>
      <c r="I8" s="708">
        <f>[18]inc_wage!$I$11</f>
        <v>9585.6376953125</v>
      </c>
      <c r="J8" s="708">
        <f>([18]inc_wage!$I$7*50-[18]inc_wage!$I$11*10)/40</f>
        <v>3562.4339599609375</v>
      </c>
      <c r="K8" s="709">
        <f>([18]inc_wage!$I$2*100-[18]inc_wage!$I$7*50)/50</f>
        <v>1773.49169921875</v>
      </c>
    </row>
    <row r="9" spans="1:11" ht="15">
      <c r="A9" s="191">
        <v>1991</v>
      </c>
      <c r="B9" s="698">
        <f>[18]inc_wage!$Q$2</f>
        <v>0.38034093379974365</v>
      </c>
      <c r="C9" s="698">
        <f>[18]inc_wage!$N$13/[18]inc_wage!$N$2</f>
        <v>8.0924741649413254E-2</v>
      </c>
      <c r="D9" s="576">
        <f>[18]inc_wage!$N$11/[18]inc_wage!$N$2</f>
        <v>0.3155105336952595</v>
      </c>
      <c r="E9" s="581">
        <f>([18]inc_wage!$N$7-[18]inc_wage!$N$11)/[18]inc_wage!$N$2</f>
        <v>0.4282674280769132</v>
      </c>
      <c r="F9" s="702">
        <f t="shared" ref="F9:F14" si="0">1-D9-E9</f>
        <v>0.2562220382278273</v>
      </c>
      <c r="G9" s="707">
        <f>[18]inc_wage!$O$2</f>
        <v>7545.7822265625</v>
      </c>
      <c r="H9" s="708">
        <f>[18]inc_wage!$O$13</f>
        <v>61038.28515625</v>
      </c>
      <c r="I9" s="708">
        <f>[18]inc_wage!$O$11</f>
        <v>23804.57421875</v>
      </c>
      <c r="J9" s="708">
        <f>([18]inc_wage!$O$7*50-[18]inc_wage!$O$11*10)/40</f>
        <v>8079.753662109375</v>
      </c>
      <c r="K9" s="709">
        <f>([18]inc_wage!$O$2*100-[18]inc_wage!$O$7*50)/50</f>
        <v>3866.8466796875</v>
      </c>
    </row>
    <row r="10" spans="1:11" ht="15">
      <c r="A10" s="191">
        <v>1996</v>
      </c>
      <c r="B10" s="698">
        <f>[18]inc_wage!$W$2</f>
        <v>0.41295731067657471</v>
      </c>
      <c r="C10" s="698">
        <f>[18]inc_wage!$T$13/[18]inc_wage!$T$2</f>
        <v>9.6576054074623635E-2</v>
      </c>
      <c r="D10" s="576">
        <f>[18]inc_wage!$T$11/[18]inc_wage!$T$2</f>
        <v>0.34234727425539502</v>
      </c>
      <c r="E10" s="581">
        <f>([18]inc_wage!$T$7-[18]inc_wage!$T$11)/[18]inc_wage!$T$2</f>
        <v>0.41948802054154766</v>
      </c>
      <c r="F10" s="702">
        <f t="shared" si="0"/>
        <v>0.23816470520305733</v>
      </c>
      <c r="G10" s="707">
        <f>[18]inc_wage!$U$2</f>
        <v>14506.0234375</v>
      </c>
      <c r="H10" s="708">
        <f>[18]inc_wage!$U$13</f>
        <v>140029.9375</v>
      </c>
      <c r="I10" s="708">
        <f>[18]inc_wage!$U$11</f>
        <v>49657.69140625</v>
      </c>
      <c r="J10" s="708">
        <f>([18]inc_wage!$U$7*50-[18]inc_wage!$U$11*10)/40</f>
        <v>15212.92822265625</v>
      </c>
      <c r="K10" s="709">
        <f>([18]inc_wage!$U$2*100-[18]inc_wage!$U$7*50)/50</f>
        <v>6910.166015625</v>
      </c>
    </row>
    <row r="11" spans="1:11" ht="15">
      <c r="A11" s="191">
        <v>2001</v>
      </c>
      <c r="B11" s="698">
        <f>[18]inc_wage!$AC$2</f>
        <v>0.42219609022140503</v>
      </c>
      <c r="C11" s="698">
        <f>[18]inc_wage!$Z$13/[18]inc_wage!$Z$2</f>
        <v>8.0348058648309822E-2</v>
      </c>
      <c r="D11" s="576">
        <f>[18]inc_wage!$Z$11/[18]inc_wage!$Z$2</f>
        <v>0.33678368870585912</v>
      </c>
      <c r="E11" s="581">
        <f>([18]inc_wage!$Z$7-[18]inc_wage!$Z$11)/[18]inc_wage!$Z$2</f>
        <v>0.43718994620833185</v>
      </c>
      <c r="F11" s="702">
        <f t="shared" si="0"/>
        <v>0.22602636508580909</v>
      </c>
      <c r="G11" s="707">
        <f>[18]inc_wage!$AA$2</f>
        <v>17388.076171875</v>
      </c>
      <c r="H11" s="708">
        <f>[18]inc_wage!$AA$13</f>
        <v>139634.4375</v>
      </c>
      <c r="I11" s="708">
        <f>[18]inc_wage!$AA$11</f>
        <v>58559.3515625</v>
      </c>
      <c r="J11" s="708">
        <f>([18]inc_wage!$AA$7*50-[18]inc_wage!$AA$11*10)/40</f>
        <v>19004.654296875</v>
      </c>
      <c r="K11" s="709">
        <f>([18]inc_wage!$AA$2*100-[18]inc_wage!$AA$7*50)/50</f>
        <v>7860.55859375</v>
      </c>
    </row>
    <row r="12" spans="1:11" ht="15">
      <c r="A12" s="191">
        <v>2006</v>
      </c>
      <c r="B12" s="698">
        <f>[18]inc_wage!$AI$2</f>
        <v>0.42907789349555969</v>
      </c>
      <c r="C12" s="698">
        <f>[18]inc_wage!$AF$13/[18]inc_wage!$AF$2</f>
        <v>8.456526175915198E-2</v>
      </c>
      <c r="D12" s="576">
        <f>[18]inc_wage!$AF$11/[18]inc_wage!$AF$2</f>
        <v>0.34050444168304728</v>
      </c>
      <c r="E12" s="581">
        <f>([18]inc_wage!$AF$7-[18]inc_wage!$AF$11)/[18]inc_wage!$AF$2</f>
        <v>0.43767447667506854</v>
      </c>
      <c r="F12" s="702">
        <f t="shared" si="0"/>
        <v>0.22182108164188419</v>
      </c>
      <c r="G12" s="707">
        <f>[18]inc_wage!$AG$2</f>
        <v>16254.6982421875</v>
      </c>
      <c r="H12" s="708">
        <f>[18]inc_wage!$AG$13</f>
        <v>137435.109375</v>
      </c>
      <c r="I12" s="708">
        <f>[18]inc_wage!$AG$11</f>
        <v>55343.0546875</v>
      </c>
      <c r="J12" s="708">
        <f>([18]inc_wage!$AG$7*50-[18]inc_wage!$AG$11*10)/40</f>
        <v>17786.6484375</v>
      </c>
      <c r="K12" s="709">
        <f>([18]inc_wage!$AG$2*100-[18]inc_wage!$AG$7*50)/50</f>
        <v>7211.466796875</v>
      </c>
    </row>
    <row r="13" spans="1:11" ht="15">
      <c r="A13" s="191">
        <v>2011</v>
      </c>
      <c r="B13" s="698">
        <f>[18]inc_wage!$AO$2</f>
        <v>0.44136467576026917</v>
      </c>
      <c r="C13" s="698">
        <f>[18]inc_wage!$AL$13/[18]inc_wage!$AL$2</f>
        <v>8.8720936759299096E-2</v>
      </c>
      <c r="D13" s="576">
        <f>[18]inc_wage!$AL$11/[18]inc_wage!$AL$2</f>
        <v>0.34935244788601738</v>
      </c>
      <c r="E13" s="581">
        <f>([18]inc_wage!$AL$7-[18]inc_wage!$AL$11)/[18]inc_wage!$AL$2</f>
        <v>0.43679329002469852</v>
      </c>
      <c r="F13" s="702">
        <f t="shared" si="0"/>
        <v>0.2138542620892841</v>
      </c>
      <c r="G13" s="707">
        <f>[18]inc_wage!$AM$2</f>
        <v>19417.431640625</v>
      </c>
      <c r="H13" s="708">
        <f>[18]inc_wage!$AM$13</f>
        <v>172251.84375</v>
      </c>
      <c r="I13" s="708">
        <f>[18]inc_wage!$AM$11</f>
        <v>67829.2890625</v>
      </c>
      <c r="J13" s="708">
        <f>([18]inc_wage!$AM$7*50-[18]inc_wage!$AM$11*10)/40</f>
        <v>21204.40869140625</v>
      </c>
      <c r="K13" s="709">
        <f>([18]inc_wage!$AM$2*100-[18]inc_wage!$AM$7*50)/50</f>
        <v>8305.478515625</v>
      </c>
    </row>
    <row r="14" spans="1:11" ht="15.75" thickBot="1">
      <c r="A14" s="276">
        <v>2016</v>
      </c>
      <c r="B14" s="277">
        <f>[18]inc_wage!$AU$2</f>
        <v>0.42800700664520264</v>
      </c>
      <c r="C14" s="277">
        <f>[18]inc_wage!$AR$13/[18]inc_wage!$AR$2</f>
        <v>8.9703412224558327E-2</v>
      </c>
      <c r="D14" s="583">
        <f>[18]inc_wage!$AR$11/[18]inc_wage!$AR$2</f>
        <v>0.34389588845858299</v>
      </c>
      <c r="E14" s="699">
        <f>([18]inc_wage!$AR$7-[18]inc_wage!$AR$11)/[18]inc_wage!$AR$2</f>
        <v>0.43122908577133889</v>
      </c>
      <c r="F14" s="703">
        <f t="shared" si="0"/>
        <v>0.22487502577007812</v>
      </c>
      <c r="G14" s="710">
        <f>[18]inc_wage!$AS$2</f>
        <v>23930.287109375</v>
      </c>
      <c r="H14" s="711">
        <f>[18]inc_wage!$AS$13</f>
        <v>214532.265625</v>
      </c>
      <c r="I14" s="711">
        <f>[18]inc_wage!$AS$11</f>
        <v>82294.296875</v>
      </c>
      <c r="J14" s="711">
        <f>([18]inc_wage!$AS$7*50-[18]inc_wage!$AS$11*10)/40</f>
        <v>25798.2666015625</v>
      </c>
      <c r="K14" s="712">
        <f>([18]inc_wage!$AS$2*100-[18]inc_wage!$AS$7*50)/50</f>
        <v>10763.1015625</v>
      </c>
    </row>
    <row r="15" spans="1:11" ht="15" thickTop="1"/>
  </sheetData>
  <mergeCells count="2">
    <mergeCell ref="B3:F3"/>
    <mergeCell ref="G3:K3"/>
  </mergeCells>
  <phoneticPr fontId="1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8DE6-F809-44D1-8CE2-947335D3A2C1}">
  <sheetPr>
    <tabColor theme="1"/>
  </sheetPr>
  <dimension ref="A1:I15"/>
  <sheetViews>
    <sheetView workbookViewId="0">
      <selection activeCell="B1" sqref="A1:I1"/>
    </sheetView>
  </sheetViews>
  <sheetFormatPr defaultRowHeight="14.25"/>
  <cols>
    <col min="3" max="5" width="9" style="697"/>
    <col min="6" max="6" width="12.25" bestFit="1" customWidth="1"/>
  </cols>
  <sheetData>
    <row r="1" spans="1:9" ht="33" customHeight="1" thickTop="1">
      <c r="A1" s="966" t="s">
        <v>1637</v>
      </c>
      <c r="B1" s="967"/>
      <c r="C1" s="967"/>
      <c r="D1" s="967"/>
      <c r="E1" s="967"/>
      <c r="F1" s="967"/>
      <c r="G1" s="967"/>
      <c r="H1" s="967"/>
      <c r="I1" s="968"/>
    </row>
    <row r="2" spans="1:9">
      <c r="A2" s="194"/>
      <c r="B2" s="483" t="s">
        <v>1157</v>
      </c>
      <c r="C2" s="483" t="s">
        <v>1201</v>
      </c>
      <c r="D2" s="483" t="s">
        <v>1159</v>
      </c>
      <c r="E2" s="483" t="s">
        <v>1160</v>
      </c>
      <c r="F2" s="483" t="s">
        <v>1161</v>
      </c>
      <c r="G2" s="483" t="s">
        <v>1162</v>
      </c>
      <c r="H2" s="483" t="s">
        <v>1163</v>
      </c>
      <c r="I2" s="484" t="s">
        <v>1164</v>
      </c>
    </row>
    <row r="3" spans="1:9" ht="15">
      <c r="A3" s="194"/>
      <c r="B3" s="1176" t="s">
        <v>1198</v>
      </c>
      <c r="C3" s="1176"/>
      <c r="D3" s="1176"/>
      <c r="E3" s="1176"/>
      <c r="F3" s="1247" t="s">
        <v>1464</v>
      </c>
      <c r="G3" s="1176"/>
      <c r="H3" s="1176"/>
      <c r="I3" s="1177"/>
    </row>
    <row r="4" spans="1:9">
      <c r="A4" s="195"/>
      <c r="B4" s="577" t="s">
        <v>1466</v>
      </c>
      <c r="C4" s="577" t="s">
        <v>1467</v>
      </c>
      <c r="D4" s="700" t="s">
        <v>1468</v>
      </c>
      <c r="E4" s="700" t="s">
        <v>1469</v>
      </c>
      <c r="F4" s="705" t="s">
        <v>1466</v>
      </c>
      <c r="G4" s="577" t="s">
        <v>1467</v>
      </c>
      <c r="H4" s="700" t="s">
        <v>1470</v>
      </c>
      <c r="I4" s="701" t="s">
        <v>1469</v>
      </c>
    </row>
    <row r="5" spans="1:9">
      <c r="A5" s="196"/>
      <c r="B5" s="578"/>
      <c r="C5" s="578" t="s">
        <v>1199</v>
      </c>
      <c r="D5" s="266" t="s">
        <v>1199</v>
      </c>
      <c r="E5" s="266" t="s">
        <v>1199</v>
      </c>
      <c r="F5" s="706" t="s">
        <v>1274</v>
      </c>
      <c r="G5" s="578" t="s">
        <v>1274</v>
      </c>
      <c r="H5" s="266" t="s">
        <v>1274</v>
      </c>
      <c r="I5" s="269" t="s">
        <v>1274</v>
      </c>
    </row>
    <row r="6" spans="1:9">
      <c r="A6" s="195" t="s">
        <v>1200</v>
      </c>
      <c r="B6" s="577"/>
      <c r="C6" s="577"/>
      <c r="D6" s="268"/>
      <c r="E6" s="268"/>
      <c r="F6" s="705"/>
      <c r="G6" s="577"/>
      <c r="H6" s="268"/>
      <c r="I6" s="270"/>
    </row>
    <row r="7" spans="1:9" ht="15">
      <c r="A7" s="191">
        <v>1981</v>
      </c>
      <c r="B7" s="698">
        <f>[19]inc_wage_20!$E$2</f>
        <v>0.26760917901992798</v>
      </c>
      <c r="C7" s="698">
        <f>[19]inc_wage_30!$E$2</f>
        <v>0.35993897914886475</v>
      </c>
      <c r="D7" s="698">
        <f>[19]inc_wage_40!$E$2</f>
        <v>0.35263651609420776</v>
      </c>
      <c r="E7" s="698">
        <f>[19]inc_wage_50!$E$2</f>
        <v>0.34687882661819458</v>
      </c>
      <c r="F7" s="707">
        <f>[19]inc_wage_20!$C$2</f>
        <v>1651.710205078125</v>
      </c>
      <c r="G7" s="708">
        <f>[19]inc_wage_30!$C$2</f>
        <v>2260.3505859375</v>
      </c>
      <c r="H7" s="708">
        <f>[19]inc_wage_40!$C$2</f>
        <v>1891.7762451171875</v>
      </c>
      <c r="I7" s="713">
        <f>[19]inc_wage_50!$C$2</f>
        <v>1598.6136474609375</v>
      </c>
    </row>
    <row r="8" spans="1:9" ht="15">
      <c r="A8" s="191">
        <v>1986</v>
      </c>
      <c r="B8" s="698">
        <f>[19]inc_wage_20!$K$2</f>
        <v>0.26885122060775757</v>
      </c>
      <c r="C8" s="698">
        <f>[19]inc_wage_30!$K$2</f>
        <v>0.37910667061805725</v>
      </c>
      <c r="D8" s="698">
        <f>[19]inc_wage_40!$K$2</f>
        <v>0.38690543174743652</v>
      </c>
      <c r="E8" s="698">
        <f>[19]inc_wage_50!$K$2</f>
        <v>0.37897968292236328</v>
      </c>
      <c r="F8" s="707">
        <f>[19]inc_wage_20!$I$2</f>
        <v>2732.972412109375</v>
      </c>
      <c r="G8" s="708">
        <f>[19]inc_wage_30!$I$2</f>
        <v>4076.231689453125</v>
      </c>
      <c r="H8" s="708">
        <f>[19]inc_wage_40!$I$2</f>
        <v>3637.562744140625</v>
      </c>
      <c r="I8" s="713">
        <f>[19]inc_wage_50!$I$2</f>
        <v>2883.7666015625</v>
      </c>
    </row>
    <row r="9" spans="1:9" ht="15">
      <c r="A9" s="191">
        <v>1991</v>
      </c>
      <c r="B9" s="698">
        <f>[19]inc_wage_20!$Q$2</f>
        <v>0.28269249200820923</v>
      </c>
      <c r="C9" s="698">
        <f>[19]inc_wage_30!$Q$2</f>
        <v>0.38906478881835938</v>
      </c>
      <c r="D9" s="698">
        <f>[19]inc_wage_40!$Q$2</f>
        <v>0.44107776880264282</v>
      </c>
      <c r="E9" s="698">
        <f>[19]inc_wage_50!$Q$2</f>
        <v>0.41505399346351624</v>
      </c>
      <c r="F9" s="707">
        <f>[19]inc_wage_20!$O$2</f>
        <v>6616.6748046875</v>
      </c>
      <c r="G9" s="708">
        <f>[19]inc_wage_30!$O$2</f>
        <v>8875.529296875</v>
      </c>
      <c r="H9" s="708">
        <f>[19]inc_wage_40!$O$2</f>
        <v>8377.490234375</v>
      </c>
      <c r="I9" s="713">
        <f>[19]inc_wage_50!$O$2</f>
        <v>5885.7119140625</v>
      </c>
    </row>
    <row r="10" spans="1:9" ht="15">
      <c r="A10" s="191">
        <v>1996</v>
      </c>
      <c r="B10" s="698">
        <f>[19]inc_wage_20!$W$2</f>
        <v>0.30730649828910828</v>
      </c>
      <c r="C10" s="698">
        <f>[19]inc_wage_30!$W$2</f>
        <v>0.39832624793052673</v>
      </c>
      <c r="D10" s="698">
        <f>[19]inc_wage_40!$W$2</f>
        <v>0.47300595045089722</v>
      </c>
      <c r="E10" s="698">
        <f>[19]inc_wage_50!$W$2</f>
        <v>0.45825916528701782</v>
      </c>
      <c r="F10" s="707">
        <f>[19]inc_wage_20!$U$2</f>
        <v>12047.7646484375</v>
      </c>
      <c r="G10" s="708">
        <f>[19]inc_wage_30!$U$2</f>
        <v>16413.48046875</v>
      </c>
      <c r="H10" s="708">
        <f>[19]inc_wage_40!$U$2</f>
        <v>16169.07421875</v>
      </c>
      <c r="I10" s="713">
        <f>[19]inc_wage_50!$U$2</f>
        <v>11353.46484375</v>
      </c>
    </row>
    <row r="11" spans="1:9" ht="15">
      <c r="A11" s="191">
        <v>2001</v>
      </c>
      <c r="B11" s="698">
        <f>[19]inc_wage_20!$AC$2</f>
        <v>0.3110315203666687</v>
      </c>
      <c r="C11" s="698">
        <f>[19]inc_wage_30!$AC$2</f>
        <v>0.39357113838195801</v>
      </c>
      <c r="D11" s="698">
        <f>[19]inc_wage_40!$AC$2</f>
        <v>0.46224990487098694</v>
      </c>
      <c r="E11" s="698">
        <f>[19]inc_wage_50!$AC$2</f>
        <v>0.48698461055755615</v>
      </c>
      <c r="F11" s="707">
        <f>[19]inc_wage_20!$AA$2</f>
        <v>13300.615234375</v>
      </c>
      <c r="G11" s="708">
        <f>[19]inc_wage_30!$AA$2</f>
        <v>20193.71484375</v>
      </c>
      <c r="H11" s="708">
        <f>[19]inc_wage_40!$AA$2</f>
        <v>18723.76953125</v>
      </c>
      <c r="I11" s="713">
        <f>[19]inc_wage_50!$AA$2</f>
        <v>15171.806640625</v>
      </c>
    </row>
    <row r="12" spans="1:9" ht="15">
      <c r="A12" s="191">
        <v>2006</v>
      </c>
      <c r="B12" s="698">
        <f>[19]inc_wage_20!$AI$2</f>
        <v>0.30143436789512634</v>
      </c>
      <c r="C12" s="698">
        <f>[19]inc_wage_30!$AI$2</f>
        <v>0.38412338495254517</v>
      </c>
      <c r="D12" s="698">
        <f>[19]inc_wage_40!$AI$2</f>
        <v>0.45723527669906616</v>
      </c>
      <c r="E12" s="698">
        <f>[19]inc_wage_50!$AI$2</f>
        <v>0.49076908826828003</v>
      </c>
      <c r="F12" s="707">
        <f>[19]inc_wage_20!$AG$2</f>
        <v>11189.7333984375</v>
      </c>
      <c r="G12" s="708">
        <f>[19]inc_wage_30!$AG$2</f>
        <v>18421.1171875</v>
      </c>
      <c r="H12" s="708">
        <f>[19]inc_wage_40!$AG$2</f>
        <v>18465.1171875</v>
      </c>
      <c r="I12" s="713">
        <f>[19]inc_wage_50!$AG$2</f>
        <v>14961.28125</v>
      </c>
    </row>
    <row r="13" spans="1:9" ht="15">
      <c r="A13" s="191">
        <v>2011</v>
      </c>
      <c r="B13" s="698">
        <f>[19]inc_wage_20!$AO$2</f>
        <v>0.340272456407547</v>
      </c>
      <c r="C13" s="698">
        <f>[19]inc_wage_30!$AO$2</f>
        <v>0.39259800314903259</v>
      </c>
      <c r="D13" s="698">
        <f>[19]inc_wage_40!$AO$2</f>
        <v>0.45584124326705933</v>
      </c>
      <c r="E13" s="698">
        <f>[19]inc_wage_50!$AO$2</f>
        <v>0.49015611410140991</v>
      </c>
      <c r="F13" s="707">
        <f>[19]inc_wage_20!$AM$2</f>
        <v>13804.611328125</v>
      </c>
      <c r="G13" s="708">
        <f>[19]inc_wage_30!$AM$2</f>
        <v>21723.01171875</v>
      </c>
      <c r="H13" s="708">
        <f>[19]inc_wage_40!$AM$2</f>
        <v>22460.712890625</v>
      </c>
      <c r="I13" s="713">
        <f>[19]inc_wage_50!$AM$2</f>
        <v>17957.845703125</v>
      </c>
    </row>
    <row r="14" spans="1:9" ht="15.75" thickBot="1">
      <c r="A14" s="276">
        <v>2016</v>
      </c>
      <c r="B14" s="277">
        <f>[19]inc_wage_20!$AU$2</f>
        <v>0.30163753032684326</v>
      </c>
      <c r="C14" s="277">
        <f>[19]inc_wage_30!$AU$2</f>
        <v>0.37882101535797119</v>
      </c>
      <c r="D14" s="277">
        <f>[19]inc_wage_40!$AU$2</f>
        <v>0.43757185339927673</v>
      </c>
      <c r="E14" s="277">
        <f>[19]inc_wage_50!$AU$2</f>
        <v>0.47187790274620056</v>
      </c>
      <c r="F14" s="710">
        <f>[19]inc_wage_20!$AS$2</f>
        <v>16261.59375</v>
      </c>
      <c r="G14" s="711">
        <f>[19]inc_wage_30!$AS$2</f>
        <v>26350.990234375</v>
      </c>
      <c r="H14" s="711">
        <f>[19]inc_wage_40!$AS$2</f>
        <v>27963.33984375</v>
      </c>
      <c r="I14" s="714">
        <f>[19]inc_wage_50!$AS$2</f>
        <v>23234.521484375</v>
      </c>
    </row>
    <row r="15" spans="1:9" ht="15" thickTop="1"/>
  </sheetData>
  <mergeCells count="2">
    <mergeCell ref="B3:E3"/>
    <mergeCell ref="F3:I3"/>
  </mergeCells>
  <phoneticPr fontId="11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7ED77-1CEC-4152-B823-689EC38ED7A7}">
  <sheetPr>
    <tabColor theme="9"/>
  </sheetPr>
  <dimension ref="A1:R58"/>
  <sheetViews>
    <sheetView topLeftCell="B1" zoomScaleNormal="100" workbookViewId="0">
      <pane xSplit="1" ySplit="8" topLeftCell="C34" activePane="bottomRight" state="frozen"/>
      <selection activeCell="H34" sqref="H34"/>
      <selection pane="topRight" activeCell="H34" sqref="H34"/>
      <selection pane="bottomLeft" activeCell="H34" sqref="H34"/>
      <selection pane="bottomRight" activeCell="D59" sqref="D59"/>
    </sheetView>
  </sheetViews>
  <sheetFormatPr defaultColWidth="10.625" defaultRowHeight="15.75"/>
  <cols>
    <col min="1" max="2" width="10.625" style="4"/>
    <col min="3" max="3" width="10.625" style="5"/>
    <col min="4" max="4" width="9.125" style="5" customWidth="1"/>
    <col min="5" max="8" width="9.125" style="529" customWidth="1"/>
    <col min="9" max="18" width="9.125" style="5" customWidth="1"/>
    <col min="19" max="16384" width="10.625" style="4"/>
  </cols>
  <sheetData>
    <row r="1" spans="1:18" ht="16.5" thickBot="1"/>
    <row r="2" spans="1:18" s="78" customFormat="1" ht="33" customHeight="1" thickTop="1" thickBot="1">
      <c r="B2" s="1064" t="s">
        <v>1404</v>
      </c>
      <c r="C2" s="1065"/>
      <c r="D2" s="1065"/>
      <c r="E2" s="1065"/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6"/>
    </row>
    <row r="3" spans="1:18">
      <c r="B3" s="454"/>
      <c r="C3" s="1075" t="s">
        <v>1405</v>
      </c>
      <c r="D3" s="1068" t="s">
        <v>1407</v>
      </c>
      <c r="E3" s="1067"/>
      <c r="F3" s="1067"/>
      <c r="G3" s="1067"/>
      <c r="H3" s="1067"/>
      <c r="I3" s="1067"/>
      <c r="J3" s="1067"/>
      <c r="K3" s="1067"/>
      <c r="L3" s="1067"/>
      <c r="M3" s="1068" t="s">
        <v>1414</v>
      </c>
      <c r="N3" s="1067"/>
      <c r="O3" s="1067"/>
      <c r="P3" s="1067"/>
      <c r="Q3" s="1067"/>
      <c r="R3" s="1070"/>
    </row>
    <row r="4" spans="1:18" s="148" customFormat="1" ht="48.75" customHeight="1">
      <c r="A4" s="128"/>
      <c r="B4" s="455" t="s">
        <v>1016</v>
      </c>
      <c r="C4" s="1076"/>
      <c r="D4" s="1074" t="s">
        <v>1263</v>
      </c>
      <c r="E4" s="1077" t="s">
        <v>1349</v>
      </c>
      <c r="F4" s="1078"/>
      <c r="G4" s="1078"/>
      <c r="H4" s="1079"/>
      <c r="I4" s="1071" t="s">
        <v>1350</v>
      </c>
      <c r="J4" s="1072"/>
      <c r="K4" s="1073"/>
      <c r="L4" s="431" t="s">
        <v>1413</v>
      </c>
      <c r="M4" s="1074" t="s">
        <v>1263</v>
      </c>
      <c r="N4" s="1071" t="s">
        <v>1350</v>
      </c>
      <c r="O4" s="1073"/>
      <c r="P4" s="558" t="s">
        <v>1413</v>
      </c>
      <c r="Q4" s="1072" t="s">
        <v>1351</v>
      </c>
      <c r="R4" s="1080"/>
    </row>
    <row r="5" spans="1:18" s="148" customFormat="1" ht="38.25">
      <c r="A5" s="128"/>
      <c r="B5" s="455"/>
      <c r="C5" s="528"/>
      <c r="D5" s="1074"/>
      <c r="E5" s="550" t="s">
        <v>1408</v>
      </c>
      <c r="F5" s="530" t="s">
        <v>1409</v>
      </c>
      <c r="G5" s="530" t="s">
        <v>1410</v>
      </c>
      <c r="H5" s="551" t="s">
        <v>1411</v>
      </c>
      <c r="I5" s="527" t="s">
        <v>1361</v>
      </c>
      <c r="J5" s="526" t="s">
        <v>1353</v>
      </c>
      <c r="K5" s="538" t="s">
        <v>1412</v>
      </c>
      <c r="L5" s="431"/>
      <c r="M5" s="1074"/>
      <c r="N5" s="527" t="s">
        <v>1382</v>
      </c>
      <c r="O5" s="547" t="s">
        <v>1383</v>
      </c>
      <c r="P5" s="559"/>
      <c r="Q5" s="526" t="s">
        <v>1415</v>
      </c>
      <c r="R5" s="548" t="s">
        <v>1412</v>
      </c>
    </row>
    <row r="6" spans="1:18" s="57" customFormat="1" ht="9.9499999999999993" customHeight="1">
      <c r="B6" s="458" t="s">
        <v>1013</v>
      </c>
      <c r="C6" s="437" t="s">
        <v>1199</v>
      </c>
      <c r="D6" s="438" t="s">
        <v>1199</v>
      </c>
      <c r="E6" s="552" t="s">
        <v>1199</v>
      </c>
      <c r="F6" s="531" t="s">
        <v>1199</v>
      </c>
      <c r="G6" s="531" t="s">
        <v>1199</v>
      </c>
      <c r="H6" s="553" t="s">
        <v>1199</v>
      </c>
      <c r="I6" s="539" t="s">
        <v>1199</v>
      </c>
      <c r="J6" s="439" t="s">
        <v>1199</v>
      </c>
      <c r="K6" s="540" t="s">
        <v>1199</v>
      </c>
      <c r="L6" s="439" t="s">
        <v>1199</v>
      </c>
      <c r="M6" s="438" t="s">
        <v>1199</v>
      </c>
      <c r="N6" s="539" t="s">
        <v>1199</v>
      </c>
      <c r="O6" s="540">
        <v>5</v>
      </c>
      <c r="P6" s="560" t="s">
        <v>1199</v>
      </c>
      <c r="Q6" s="439" t="s">
        <v>1199</v>
      </c>
      <c r="R6" s="459" t="s">
        <v>1199</v>
      </c>
    </row>
    <row r="7" spans="1:18" s="16" customFormat="1" ht="9.9499999999999993" customHeight="1">
      <c r="B7" s="460" t="s">
        <v>1012</v>
      </c>
      <c r="C7" s="441"/>
      <c r="D7" s="442"/>
      <c r="E7" s="554"/>
      <c r="F7" s="532"/>
      <c r="G7" s="532"/>
      <c r="H7" s="555"/>
      <c r="I7" s="541"/>
      <c r="J7" s="443"/>
      <c r="K7" s="542"/>
      <c r="L7" s="443"/>
      <c r="M7" s="442"/>
      <c r="N7" s="541"/>
      <c r="O7" s="542"/>
      <c r="P7" s="561"/>
      <c r="Q7" s="443"/>
      <c r="R7" s="461"/>
    </row>
    <row r="8" spans="1:18" s="16" customFormat="1" ht="9.9499999999999993" customHeight="1">
      <c r="B8" s="460" t="s">
        <v>1010</v>
      </c>
      <c r="C8" s="441"/>
      <c r="D8" s="442"/>
      <c r="E8" s="554"/>
      <c r="F8" s="532"/>
      <c r="G8" s="532"/>
      <c r="H8" s="555"/>
      <c r="I8" s="541"/>
      <c r="J8" s="443"/>
      <c r="K8" s="542"/>
      <c r="L8" s="443"/>
      <c r="M8" s="442" t="s">
        <v>1073</v>
      </c>
      <c r="N8" s="541"/>
      <c r="O8" s="542"/>
      <c r="P8" s="561"/>
      <c r="Q8" s="443"/>
      <c r="R8" s="461"/>
    </row>
    <row r="9" spans="1:18" s="9" customFormat="1" ht="12.75" hidden="1">
      <c r="B9" s="462">
        <v>1961</v>
      </c>
      <c r="C9" s="447"/>
      <c r="D9" s="448"/>
      <c r="E9" s="217"/>
      <c r="F9" s="218"/>
      <c r="G9" s="218"/>
      <c r="H9" s="545"/>
      <c r="I9" s="543"/>
      <c r="J9" s="447"/>
      <c r="K9" s="549"/>
      <c r="L9" s="447"/>
      <c r="M9" s="448">
        <f>'AX2'!VG7/1000/1000/1000</f>
        <v>6.2309999999999999</v>
      </c>
      <c r="N9" s="543" t="e">
        <f>#REF!</f>
        <v>#REF!</v>
      </c>
      <c r="O9" s="544" t="e">
        <f t="shared" ref="O9:O27" si="0">M9-N9</f>
        <v>#REF!</v>
      </c>
      <c r="P9" s="562"/>
      <c r="Q9" s="450"/>
      <c r="R9" s="534"/>
    </row>
    <row r="10" spans="1:18" s="9" customFormat="1" ht="12.75" hidden="1">
      <c r="B10" s="462">
        <v>1962</v>
      </c>
      <c r="C10" s="447"/>
      <c r="D10" s="448"/>
      <c r="E10" s="217"/>
      <c r="F10" s="218"/>
      <c r="G10" s="218"/>
      <c r="H10" s="545"/>
      <c r="I10" s="543"/>
      <c r="J10" s="447"/>
      <c r="K10" s="549"/>
      <c r="L10" s="447"/>
      <c r="M10" s="448">
        <f>'AX2'!VG8/1000/1000/1000</f>
        <v>6.9290000000000003</v>
      </c>
      <c r="N10" s="543" t="e">
        <f>#REF!</f>
        <v>#REF!</v>
      </c>
      <c r="O10" s="544" t="e">
        <f t="shared" si="0"/>
        <v>#REF!</v>
      </c>
      <c r="P10" s="562"/>
      <c r="Q10" s="450"/>
      <c r="R10" s="534"/>
    </row>
    <row r="11" spans="1:18" s="9" customFormat="1" ht="12.75" hidden="1">
      <c r="B11" s="462">
        <v>1963</v>
      </c>
      <c r="C11" s="447"/>
      <c r="D11" s="448"/>
      <c r="E11" s="217"/>
      <c r="F11" s="218"/>
      <c r="G11" s="218"/>
      <c r="H11" s="545"/>
      <c r="I11" s="543"/>
      <c r="J11" s="447"/>
      <c r="K11" s="549"/>
      <c r="L11" s="447"/>
      <c r="M11" s="448">
        <f>'AX2'!VG9/1000/1000/1000</f>
        <v>7.67</v>
      </c>
      <c r="N11" s="543" t="e">
        <f>#REF!</f>
        <v>#REF!</v>
      </c>
      <c r="O11" s="544" t="e">
        <f t="shared" si="0"/>
        <v>#REF!</v>
      </c>
      <c r="P11" s="562"/>
      <c r="Q11" s="450"/>
      <c r="R11" s="534"/>
    </row>
    <row r="12" spans="1:18" s="9" customFormat="1" ht="12.75" hidden="1">
      <c r="B12" s="462">
        <v>1964</v>
      </c>
      <c r="C12" s="447"/>
      <c r="D12" s="448"/>
      <c r="E12" s="217"/>
      <c r="F12" s="218"/>
      <c r="G12" s="218"/>
      <c r="H12" s="545"/>
      <c r="I12" s="543"/>
      <c r="J12" s="447"/>
      <c r="K12" s="549"/>
      <c r="L12" s="447"/>
      <c r="M12" s="448">
        <f>'AX2'!VG10/1000/1000/1000</f>
        <v>8.4860000000000007</v>
      </c>
      <c r="N12" s="543" t="e">
        <f>#REF!</f>
        <v>#REF!</v>
      </c>
      <c r="O12" s="544" t="e">
        <f t="shared" si="0"/>
        <v>#REF!</v>
      </c>
      <c r="P12" s="562"/>
      <c r="Q12" s="450"/>
      <c r="R12" s="534"/>
    </row>
    <row r="13" spans="1:18" s="9" customFormat="1" ht="12.75" hidden="1">
      <c r="B13" s="462">
        <v>1965</v>
      </c>
      <c r="C13" s="447"/>
      <c r="D13" s="448"/>
      <c r="E13" s="217"/>
      <c r="F13" s="218"/>
      <c r="G13" s="218"/>
      <c r="H13" s="545"/>
      <c r="I13" s="543"/>
      <c r="J13" s="447"/>
      <c r="K13" s="549"/>
      <c r="L13" s="447"/>
      <c r="M13" s="448">
        <f>'AX2'!VG11/1000/1000/1000</f>
        <v>9.5589999999999993</v>
      </c>
      <c r="N13" s="543" t="e">
        <f>#REF!</f>
        <v>#REF!</v>
      </c>
      <c r="O13" s="544" t="e">
        <f t="shared" si="0"/>
        <v>#REF!</v>
      </c>
      <c r="P13" s="562"/>
      <c r="Q13" s="450"/>
      <c r="R13" s="534"/>
    </row>
    <row r="14" spans="1:18" s="9" customFormat="1" ht="12.75" hidden="1">
      <c r="B14" s="462">
        <v>1966</v>
      </c>
      <c r="C14" s="447"/>
      <c r="D14" s="448"/>
      <c r="E14" s="217"/>
      <c r="F14" s="218"/>
      <c r="G14" s="218"/>
      <c r="H14" s="545"/>
      <c r="I14" s="543"/>
      <c r="J14" s="447"/>
      <c r="K14" s="549"/>
      <c r="L14" s="447"/>
      <c r="M14" s="448">
        <f>'AX2'!VG12/1000/1000/1000</f>
        <v>10.833</v>
      </c>
      <c r="N14" s="543" t="e">
        <f>#REF!</f>
        <v>#REF!</v>
      </c>
      <c r="O14" s="544" t="e">
        <f t="shared" si="0"/>
        <v>#REF!</v>
      </c>
      <c r="P14" s="562"/>
      <c r="Q14" s="450"/>
      <c r="R14" s="534"/>
    </row>
    <row r="15" spans="1:18" s="9" customFormat="1" ht="12.75" hidden="1">
      <c r="B15" s="462">
        <v>1967</v>
      </c>
      <c r="C15" s="447"/>
      <c r="D15" s="448"/>
      <c r="E15" s="217"/>
      <c r="F15" s="218"/>
      <c r="G15" s="218"/>
      <c r="H15" s="545"/>
      <c r="I15" s="543"/>
      <c r="J15" s="447"/>
      <c r="K15" s="549"/>
      <c r="L15" s="447"/>
      <c r="M15" s="448">
        <f>'AX2'!VG13/1000/1000/1000</f>
        <v>11.638</v>
      </c>
      <c r="N15" s="543" t="e">
        <f>#REF!</f>
        <v>#REF!</v>
      </c>
      <c r="O15" s="544" t="e">
        <f t="shared" si="0"/>
        <v>#REF!</v>
      </c>
      <c r="P15" s="562"/>
      <c r="Q15" s="450"/>
      <c r="R15" s="534"/>
    </row>
    <row r="16" spans="1:18" s="9" customFormat="1" ht="12.75" hidden="1">
      <c r="B16" s="462">
        <v>1968</v>
      </c>
      <c r="C16" s="447"/>
      <c r="D16" s="448"/>
      <c r="E16" s="217"/>
      <c r="F16" s="218"/>
      <c r="G16" s="218"/>
      <c r="H16" s="545"/>
      <c r="I16" s="543"/>
      <c r="J16" s="447"/>
      <c r="K16" s="549"/>
      <c r="L16" s="447"/>
      <c r="M16" s="448">
        <f>'AX2'!VG14/1000/1000/1000</f>
        <v>12.891999999999999</v>
      </c>
      <c r="N16" s="543" t="e">
        <f>#REF!</f>
        <v>#REF!</v>
      </c>
      <c r="O16" s="544" t="e">
        <f t="shared" si="0"/>
        <v>#REF!</v>
      </c>
      <c r="P16" s="562"/>
      <c r="Q16" s="450"/>
      <c r="R16" s="534"/>
    </row>
    <row r="17" spans="2:18" s="9" customFormat="1" ht="12.75" hidden="1">
      <c r="B17" s="462">
        <v>1969</v>
      </c>
      <c r="C17" s="447"/>
      <c r="D17" s="448"/>
      <c r="E17" s="217"/>
      <c r="F17" s="218"/>
      <c r="G17" s="218"/>
      <c r="H17" s="545"/>
      <c r="I17" s="543"/>
      <c r="J17" s="447"/>
      <c r="K17" s="549"/>
      <c r="L17" s="447"/>
      <c r="M17" s="448">
        <f>'AX2'!VG15/1000/1000/1000</f>
        <v>14.529</v>
      </c>
      <c r="N17" s="543" t="e">
        <f>#REF!</f>
        <v>#REF!</v>
      </c>
      <c r="O17" s="544" t="e">
        <f t="shared" si="0"/>
        <v>#REF!</v>
      </c>
      <c r="P17" s="562"/>
      <c r="Q17" s="450"/>
      <c r="R17" s="534"/>
    </row>
    <row r="18" spans="2:18" s="9" customFormat="1" ht="12.75" hidden="1">
      <c r="B18" s="462">
        <v>1970</v>
      </c>
      <c r="C18" s="447"/>
      <c r="D18" s="448"/>
      <c r="E18" s="217"/>
      <c r="F18" s="218"/>
      <c r="G18" s="218"/>
      <c r="H18" s="545"/>
      <c r="I18" s="543"/>
      <c r="J18" s="447"/>
      <c r="K18" s="549"/>
      <c r="L18" s="447"/>
      <c r="M18" s="448">
        <f>'AX2'!VG16/1000/1000/1000</f>
        <v>16.605</v>
      </c>
      <c r="N18" s="543" t="e">
        <f>#REF!</f>
        <v>#REF!</v>
      </c>
      <c r="O18" s="544" t="e">
        <f t="shared" si="0"/>
        <v>#REF!</v>
      </c>
      <c r="P18" s="562"/>
      <c r="Q18" s="450"/>
      <c r="R18" s="534"/>
    </row>
    <row r="19" spans="2:18" s="9" customFormat="1" ht="12.75" hidden="1">
      <c r="B19" s="462">
        <v>1971</v>
      </c>
      <c r="C19" s="447"/>
      <c r="D19" s="448"/>
      <c r="E19" s="217"/>
      <c r="F19" s="218"/>
      <c r="G19" s="218"/>
      <c r="H19" s="545"/>
      <c r="I19" s="543"/>
      <c r="J19" s="447"/>
      <c r="K19" s="549"/>
      <c r="L19" s="447"/>
      <c r="M19" s="448">
        <f>'AX2'!VG17/1000/1000/1000</f>
        <v>19.030999999999999</v>
      </c>
      <c r="N19" s="543" t="e">
        <f>#REF!</f>
        <v>#REF!</v>
      </c>
      <c r="O19" s="544" t="e">
        <f t="shared" si="0"/>
        <v>#REF!</v>
      </c>
      <c r="P19" s="562"/>
      <c r="Q19" s="450"/>
      <c r="R19" s="534"/>
    </row>
    <row r="20" spans="2:18" s="9" customFormat="1" ht="12.75" hidden="1">
      <c r="B20" s="462">
        <v>1972</v>
      </c>
      <c r="C20" s="447"/>
      <c r="D20" s="448"/>
      <c r="E20" s="217"/>
      <c r="F20" s="218"/>
      <c r="G20" s="218"/>
      <c r="H20" s="545"/>
      <c r="I20" s="543"/>
      <c r="J20" s="447"/>
      <c r="K20" s="549"/>
      <c r="L20" s="447"/>
      <c r="M20" s="448">
        <f>'AX2'!VG18/1000/1000/1000</f>
        <v>22.065000000000001</v>
      </c>
      <c r="N20" s="543" t="e">
        <f>#REF!</f>
        <v>#REF!</v>
      </c>
      <c r="O20" s="544" t="e">
        <f t="shared" si="0"/>
        <v>#REF!</v>
      </c>
      <c r="P20" s="562"/>
      <c r="Q20" s="450"/>
      <c r="R20" s="534"/>
    </row>
    <row r="21" spans="2:18" s="9" customFormat="1" ht="12.75" hidden="1">
      <c r="B21" s="462">
        <v>1973</v>
      </c>
      <c r="C21" s="447"/>
      <c r="D21" s="448"/>
      <c r="E21" s="217"/>
      <c r="F21" s="218"/>
      <c r="G21" s="218"/>
      <c r="H21" s="545"/>
      <c r="I21" s="543"/>
      <c r="J21" s="447"/>
      <c r="K21" s="549"/>
      <c r="L21" s="447"/>
      <c r="M21" s="448">
        <f>'AX2'!VG19/1000/1000/1000</f>
        <v>29.218</v>
      </c>
      <c r="N21" s="543" t="e">
        <f>#REF!</f>
        <v>#REF!</v>
      </c>
      <c r="O21" s="544" t="e">
        <f t="shared" si="0"/>
        <v>#REF!</v>
      </c>
      <c r="P21" s="562"/>
      <c r="Q21" s="450"/>
      <c r="R21" s="534"/>
    </row>
    <row r="22" spans="2:18" s="9" customFormat="1" ht="12.75" hidden="1">
      <c r="B22" s="462">
        <v>1974</v>
      </c>
      <c r="C22" s="447"/>
      <c r="D22" s="448"/>
      <c r="E22" s="217"/>
      <c r="F22" s="218"/>
      <c r="G22" s="218"/>
      <c r="H22" s="545"/>
      <c r="I22" s="543"/>
      <c r="J22" s="447"/>
      <c r="K22" s="549"/>
      <c r="L22" s="447"/>
      <c r="M22" s="448">
        <f>'AX2'!VG20/1000/1000/1000</f>
        <v>33.476999999999997</v>
      </c>
      <c r="N22" s="543" t="e">
        <f>#REF!</f>
        <v>#REF!</v>
      </c>
      <c r="O22" s="544" t="e">
        <f t="shared" si="0"/>
        <v>#REF!</v>
      </c>
      <c r="P22" s="562"/>
      <c r="Q22" s="450"/>
      <c r="R22" s="534"/>
    </row>
    <row r="23" spans="2:18" s="9" customFormat="1" ht="12.75" hidden="1">
      <c r="B23" s="462">
        <v>1975</v>
      </c>
      <c r="C23" s="447"/>
      <c r="D23" s="448"/>
      <c r="E23" s="217"/>
      <c r="F23" s="218"/>
      <c r="G23" s="218"/>
      <c r="H23" s="545"/>
      <c r="I23" s="543"/>
      <c r="J23" s="447"/>
      <c r="K23" s="549"/>
      <c r="L23" s="447"/>
      <c r="M23" s="448">
        <f>'AX2'!VG21/1000/1000/1000</f>
        <v>35.414999999999999</v>
      </c>
      <c r="N23" s="543" t="e">
        <f>#REF!</f>
        <v>#REF!</v>
      </c>
      <c r="O23" s="544" t="e">
        <f t="shared" si="0"/>
        <v>#REF!</v>
      </c>
      <c r="P23" s="562"/>
      <c r="Q23" s="450"/>
      <c r="R23" s="534"/>
    </row>
    <row r="24" spans="2:18" s="9" customFormat="1" ht="12.75" hidden="1">
      <c r="B24" s="462">
        <v>1976</v>
      </c>
      <c r="C24" s="447"/>
      <c r="D24" s="448"/>
      <c r="E24" s="217"/>
      <c r="F24" s="218"/>
      <c r="G24" s="218"/>
      <c r="H24" s="545"/>
      <c r="I24" s="543"/>
      <c r="J24" s="447"/>
      <c r="K24" s="549"/>
      <c r="L24" s="447"/>
      <c r="M24" s="448">
        <f>'AX2'!VG22/1000/1000/1000</f>
        <v>40.366</v>
      </c>
      <c r="N24" s="543" t="e">
        <f>#REF!</f>
        <v>#REF!</v>
      </c>
      <c r="O24" s="544" t="e">
        <f t="shared" si="0"/>
        <v>#REF!</v>
      </c>
      <c r="P24" s="562"/>
      <c r="Q24" s="450"/>
      <c r="R24" s="534"/>
    </row>
    <row r="25" spans="2:18" s="9" customFormat="1" ht="12.75" hidden="1">
      <c r="B25" s="462">
        <v>1977</v>
      </c>
      <c r="C25" s="447"/>
      <c r="D25" s="448"/>
      <c r="E25" s="217"/>
      <c r="F25" s="218"/>
      <c r="G25" s="218"/>
      <c r="H25" s="545"/>
      <c r="I25" s="543"/>
      <c r="J25" s="447"/>
      <c r="K25" s="549"/>
      <c r="L25" s="447"/>
      <c r="M25" s="448">
        <f>'AX2'!VG23/1000/1000/1000</f>
        <v>48.997999999999998</v>
      </c>
      <c r="N25" s="543" t="e">
        <f>#REF!</f>
        <v>#REF!</v>
      </c>
      <c r="O25" s="544" t="e">
        <f t="shared" si="0"/>
        <v>#REF!</v>
      </c>
      <c r="P25" s="562"/>
      <c r="Q25" s="450"/>
      <c r="R25" s="534"/>
    </row>
    <row r="26" spans="2:18" s="9" customFormat="1" ht="12.75" hidden="1">
      <c r="B26" s="462">
        <v>1978</v>
      </c>
      <c r="C26" s="447"/>
      <c r="D26" s="448"/>
      <c r="E26" s="217"/>
      <c r="F26" s="218"/>
      <c r="G26" s="218"/>
      <c r="H26" s="545"/>
      <c r="I26" s="543"/>
      <c r="J26" s="447"/>
      <c r="K26" s="549"/>
      <c r="L26" s="447"/>
      <c r="M26" s="448">
        <f>'AX2'!VG24/1000/1000/1000</f>
        <v>60.183</v>
      </c>
      <c r="N26" s="543" t="e">
        <f>#REF!</f>
        <v>#REF!</v>
      </c>
      <c r="O26" s="544" t="e">
        <f t="shared" si="0"/>
        <v>#REF!</v>
      </c>
      <c r="P26" s="562"/>
      <c r="Q26" s="450"/>
      <c r="R26" s="534"/>
    </row>
    <row r="27" spans="2:18" s="9" customFormat="1" ht="12.75" hidden="1">
      <c r="B27" s="462">
        <v>1979</v>
      </c>
      <c r="C27" s="447"/>
      <c r="D27" s="448"/>
      <c r="E27" s="217"/>
      <c r="F27" s="218"/>
      <c r="G27" s="218"/>
      <c r="H27" s="545"/>
      <c r="I27" s="543"/>
      <c r="J27" s="447"/>
      <c r="K27" s="549"/>
      <c r="L27" s="447"/>
      <c r="M27" s="448">
        <f>'AX2'!VG25/1000/1000/1000</f>
        <v>74.299000000000007</v>
      </c>
      <c r="N27" s="543" t="e">
        <f>#REF!</f>
        <v>#REF!</v>
      </c>
      <c r="O27" s="544" t="e">
        <f t="shared" si="0"/>
        <v>#REF!</v>
      </c>
      <c r="P27" s="562"/>
      <c r="Q27" s="450"/>
      <c r="R27" s="534"/>
    </row>
    <row r="28" spans="2:18" s="9" customFormat="1" ht="12.75">
      <c r="B28" s="462">
        <v>1989</v>
      </c>
      <c r="C28" s="451">
        <f>'AX7'!AN7/1000/'AX1'!N38</f>
        <v>0.18835345740545731</v>
      </c>
      <c r="D28" s="452">
        <f>'AX7'!Y7/1000/'AX1'!N38</f>
        <v>0.16779039388179803</v>
      </c>
      <c r="E28" s="217">
        <f>'AX7'!C7/1000/'AX1'!N38</f>
        <v>4.8513657258674306E-2</v>
      </c>
      <c r="F28" s="218">
        <f>('AX7'!E7+'AX7'!B7)/1000/'AX1'!N38</f>
        <v>2.2576182644044184E-3</v>
      </c>
      <c r="G28" s="218">
        <f>'AX7'!F7/1000/'AX1'!N38</f>
        <v>2.3880939758391274E-2</v>
      </c>
      <c r="H28" s="545">
        <f>'AX7'!D7/1000/'AX1'!N38</f>
        <v>2.0085490429266033E-3</v>
      </c>
      <c r="I28" s="217">
        <f>'AX7'!G7/1000/'AX1'!N38</f>
        <v>1.1036737061815124E-2</v>
      </c>
      <c r="J28" s="218">
        <f>'AX7'!J7/1000/'AX1'!N38</f>
        <v>1.248545161609893E-2</v>
      </c>
      <c r="K28" s="545">
        <f>(SUM('AX7'!H7:Q7)-'AX7'!J7)/1000/'AX1'!N38</f>
        <v>2.2932648685792249E-2</v>
      </c>
      <c r="L28" s="451">
        <f>SUM('AX7'!R7:X7)/1000/'AX1'!N38</f>
        <v>4.4674792193695127E-2</v>
      </c>
      <c r="M28" s="452">
        <f>'AX7'!AM7/1000/'AX1'!N38</f>
        <v>2.0563063523659275E-2</v>
      </c>
      <c r="N28" s="568">
        <f>'AX7'!Z7/1000/'AX1'!N38</f>
        <v>1.1196689772855922E-3</v>
      </c>
      <c r="O28" s="545">
        <f>'AX7'!AA7/1000/'AX1'!N38</f>
        <v>4.7528805566408812E-4</v>
      </c>
      <c r="P28" s="563">
        <f>('AX7'!AB12+'AX7'!AC12+'AX7'!AD12)/1000/'AX1'!N38</f>
        <v>4.2090413391021649E-3</v>
      </c>
      <c r="Q28" s="211">
        <f>'AX7'!AE7/1000/'AX1'!N38</f>
        <v>1.5805612889560085E-2</v>
      </c>
      <c r="R28" s="535">
        <f>SUM('AX7'!AF7:AL7)/1000/'AX1'!N38</f>
        <v>2.6209394223399474E-3</v>
      </c>
    </row>
    <row r="29" spans="2:18" s="654" customFormat="1" ht="12.75">
      <c r="B29" s="644">
        <v>1990</v>
      </c>
      <c r="C29" s="645">
        <f>'AX7'!AN8/1000/'AX1'!N39</f>
        <v>0.18255944144694974</v>
      </c>
      <c r="D29" s="646">
        <f>'AX7'!Y8/1000/'AX1'!N39</f>
        <v>0.16599482924381345</v>
      </c>
      <c r="E29" s="647">
        <f>'AX7'!C8/1000/'AX1'!N39</f>
        <v>4.3315145612066702E-2</v>
      </c>
      <c r="F29" s="648">
        <f>('AX7'!E8+'AX7'!B8)/1000/'AX1'!N39</f>
        <v>2.3349108669938503E-3</v>
      </c>
      <c r="G29" s="648">
        <f>'AX7'!F8/1000/'AX1'!N39</f>
        <v>2.6728101950819559E-2</v>
      </c>
      <c r="H29" s="649">
        <f>'AX7'!D8/1000/'AX1'!N39</f>
        <v>1.7272222745360621E-3</v>
      </c>
      <c r="I29" s="647">
        <f>'AX7'!G8/1000/'AX1'!N39</f>
        <v>1.1998790865844381E-2</v>
      </c>
      <c r="J29" s="648">
        <f>'AX7'!J8/1000/'AX1'!N39</f>
        <v>1.211094815639867E-2</v>
      </c>
      <c r="K29" s="649">
        <f>(SUM('AX7'!H8:Q8)-'AX7'!J8)/1000/'AX1'!N39</f>
        <v>2.6424257654590666E-2</v>
      </c>
      <c r="L29" s="645">
        <f>SUM('AX7'!R8:X8)/1000/'AX1'!N39</f>
        <v>4.1355451862563571E-2</v>
      </c>
      <c r="M29" s="646">
        <f>'AX7'!AM8/1000/'AX1'!N39</f>
        <v>1.6564612203136285E-2</v>
      </c>
      <c r="N29" s="650">
        <f>'AX7'!Z8/1000/'AX1'!N39</f>
        <v>1.3377305927929834E-3</v>
      </c>
      <c r="O29" s="649">
        <f>'AX7'!AA8/1000/'AX1'!N39</f>
        <v>2.7733439118878922E-4</v>
      </c>
      <c r="P29" s="651">
        <f>('AX7'!AB13+'AX7'!AC13+'AX7'!AD13)/1000/'AX1'!N39</f>
        <v>1.9760075372201231E-3</v>
      </c>
      <c r="Q29" s="652">
        <f>'AX7'!AE8/1000/'AX1'!N39</f>
        <v>6.8150848187715704E-3</v>
      </c>
      <c r="R29" s="653">
        <f>SUM('AX7'!AF8:AL8)/1000/'AX1'!N39</f>
        <v>7.1515566904344395E-3</v>
      </c>
    </row>
    <row r="30" spans="2:18" s="9" customFormat="1" ht="12.75">
      <c r="B30" s="462">
        <v>1991</v>
      </c>
      <c r="C30" s="451">
        <f>'AX7'!AN9/1000/'AX1'!N40</f>
        <v>0.20720686845544553</v>
      </c>
      <c r="D30" s="452">
        <f>'AX7'!Y9/1000/'AX1'!N40</f>
        <v>0.18060079912203256</v>
      </c>
      <c r="E30" s="217">
        <f>'AX7'!C9/1000/'AX1'!N40</f>
        <v>4.5529112263036887E-2</v>
      </c>
      <c r="F30" s="218">
        <f>('AX7'!E9+'AX7'!B9)/1000/'AX1'!N40</f>
        <v>2.207537800477367E-3</v>
      </c>
      <c r="G30" s="218">
        <f>'AX7'!F9/1000/'AX1'!N40</f>
        <v>3.1463736391910233E-2</v>
      </c>
      <c r="H30" s="545">
        <f>'AX7'!D9/1000/'AX1'!N40</f>
        <v>1.8570776259334968E-3</v>
      </c>
      <c r="I30" s="217">
        <f>'AX7'!G9/1000/'AX1'!N40</f>
        <v>1.2844184747458329E-2</v>
      </c>
      <c r="J30" s="218">
        <f>'AX7'!J9/1000/'AX1'!N40</f>
        <v>1.7286357784589135E-2</v>
      </c>
      <c r="K30" s="545">
        <f>(SUM('AX7'!H9:Q9)-'AX7'!J9)/1000/'AX1'!N40</f>
        <v>2.9604852270231661E-2</v>
      </c>
      <c r="L30" s="451">
        <f>SUM('AX7'!R9:X9)/1000/'AX1'!N40</f>
        <v>3.9807940238395463E-2</v>
      </c>
      <c r="M30" s="452">
        <f>'AX7'!AM9/1000/'AX1'!N40</f>
        <v>2.6606069333412977E-2</v>
      </c>
      <c r="N30" s="568">
        <f>'AX7'!Z9/1000/'AX1'!N40</f>
        <v>1.2338365938838311E-3</v>
      </c>
      <c r="O30" s="545">
        <f>'AX7'!AA9/1000/'AX1'!N40</f>
        <v>5.4556171501159146E-4</v>
      </c>
      <c r="P30" s="563">
        <f>('AX7'!AB14+'AX7'!AC14+'AX7'!AD14)/1000/'AX1'!N40</f>
        <v>2.7783904559199593E-3</v>
      </c>
      <c r="Q30" s="211">
        <f>'AX7'!AE9/1000/'AX1'!N40</f>
        <v>1.5235985113932987E-2</v>
      </c>
      <c r="R30" s="535">
        <f>SUM('AX7'!AF9:AL9)/1000/'AX1'!N40</f>
        <v>8.6892445337938898E-3</v>
      </c>
    </row>
    <row r="31" spans="2:18" s="9" customFormat="1" ht="12.75">
      <c r="B31" s="462">
        <v>1992</v>
      </c>
      <c r="C31" s="451">
        <f>'AX7'!AN10/1000/'AX1'!N41</f>
        <v>0.21093024739279995</v>
      </c>
      <c r="D31" s="452">
        <f>'AX7'!Y10/1000/'AX1'!N41</f>
        <v>0.18590126931903803</v>
      </c>
      <c r="E31" s="217">
        <f>'AX7'!C10/1000/'AX1'!N41</f>
        <v>5.0269960446105724E-2</v>
      </c>
      <c r="F31" s="218">
        <f>('AX7'!E10+'AX7'!B10)/1000/'AX1'!N41</f>
        <v>2.0327470981680064E-3</v>
      </c>
      <c r="G31" s="218">
        <f>'AX7'!F10/1000/'AX1'!N41</f>
        <v>3.1488873759964515E-2</v>
      </c>
      <c r="H31" s="545">
        <f>'AX7'!D10/1000/'AX1'!N41</f>
        <v>2.0405413738511656E-3</v>
      </c>
      <c r="I31" s="217">
        <f>'AX7'!G10/1000/'AX1'!N41</f>
        <v>1.2187129458188246E-2</v>
      </c>
      <c r="J31" s="218">
        <f>'AX7'!J10/1000/'AX1'!N41</f>
        <v>2.0902688527097237E-2</v>
      </c>
      <c r="K31" s="545">
        <f>(SUM('AX7'!H10:Q10)-'AX7'!J10)/1000/'AX1'!N41</f>
        <v>3.039767516432218E-2</v>
      </c>
      <c r="L31" s="451">
        <f>SUM('AX7'!R10:X10)/1000/'AX1'!N41</f>
        <v>3.6581653491340953E-2</v>
      </c>
      <c r="M31" s="452">
        <f>'AX7'!AM10/1000/'AX1'!N41</f>
        <v>2.5028978073761896E-2</v>
      </c>
      <c r="N31" s="568">
        <f>'AX7'!Z10/1000/'AX1'!N41</f>
        <v>1.5978265150477042E-3</v>
      </c>
      <c r="O31" s="545">
        <f>'AX7'!AA10/1000/'AX1'!N41</f>
        <v>0</v>
      </c>
      <c r="P31" s="563">
        <f>('AX7'!AB15+'AX7'!AC15+'AX7'!AD15)/1000/'AX1'!N41</f>
        <v>3.1412489858269554E-2</v>
      </c>
      <c r="Q31" s="211">
        <f>'AX7'!AE10/1000/'AX1'!N41</f>
        <v>1.31473842223535E-2</v>
      </c>
      <c r="R31" s="535">
        <f>SUM('AX7'!AF10:AL10)/1000/'AX1'!N41</f>
        <v>9.5027809129081039E-3</v>
      </c>
    </row>
    <row r="32" spans="2:18" s="9" customFormat="1" ht="12.75">
      <c r="B32" s="462">
        <v>1993</v>
      </c>
      <c r="C32" s="451">
        <f>'AX7'!AN11/1000/'AX1'!N42</f>
        <v>0.22784041990556228</v>
      </c>
      <c r="D32" s="452">
        <f>'AX7'!Y11/1000/'AX1'!N42</f>
        <v>0.19112928659416797</v>
      </c>
      <c r="E32" s="217">
        <f>'AX7'!C11/1000/'AX1'!N42</f>
        <v>5.4508730126864621E-2</v>
      </c>
      <c r="F32" s="218">
        <f>('AX7'!E11+'AX7'!B11)/1000/'AX1'!N42</f>
        <v>2.0664030112321854E-3</v>
      </c>
      <c r="G32" s="218">
        <f>'AX7'!F11/1000/'AX1'!N42</f>
        <v>3.0777233466433046E-2</v>
      </c>
      <c r="H32" s="545">
        <f>'AX7'!D11/1000/'AX1'!N42</f>
        <v>2.1402519606739711E-3</v>
      </c>
      <c r="I32" s="217">
        <f>'AX7'!G11/1000/'AX1'!N42</f>
        <v>1.3787872375408933E-2</v>
      </c>
      <c r="J32" s="218">
        <f>'AX7'!J11/1000/'AX1'!N42</f>
        <v>2.4583494725287734E-2</v>
      </c>
      <c r="K32" s="545">
        <f>(SUM('AX7'!H11:Q11)-'AX7'!J11)/1000/'AX1'!N42</f>
        <v>2.6130219944151798E-2</v>
      </c>
      <c r="L32" s="451">
        <f>SUM('AX7'!R11:X11)/1000/'AX1'!N42</f>
        <v>3.7135080984115665E-2</v>
      </c>
      <c r="M32" s="452">
        <f>'AX7'!AM11/1000/'AX1'!N42</f>
        <v>3.6711133311394299E-2</v>
      </c>
      <c r="N32" s="568">
        <f>'AX7'!Z11/1000/'AX1'!N42</f>
        <v>1.621941741443661E-3</v>
      </c>
      <c r="O32" s="545">
        <f>'AX7'!AA11/1000/'AX1'!N42</f>
        <v>0</v>
      </c>
      <c r="P32" s="563">
        <f>('AX7'!AB16+'AX7'!AC16+'AX7'!AD16)/1000/'AX1'!N42</f>
        <v>3.3546569070500003E-3</v>
      </c>
      <c r="Q32" s="211">
        <f>'AX7'!AE11/1000/'AX1'!N42</f>
        <v>2.4781792830270304E-2</v>
      </c>
      <c r="R32" s="535">
        <f>SUM('AX7'!AF11:AL11)/1000/'AX1'!N42</f>
        <v>6.2662201174492876E-3</v>
      </c>
    </row>
    <row r="33" spans="2:18" s="9" customFormat="1" ht="12.75">
      <c r="B33" s="462">
        <v>1994</v>
      </c>
      <c r="C33" s="451">
        <f>'AX7'!AN12/1000/'AX1'!N43</f>
        <v>0.20864987796181445</v>
      </c>
      <c r="D33" s="452">
        <f>'AX7'!Y12/1000/'AX1'!N43</f>
        <v>0.17540859178954168</v>
      </c>
      <c r="E33" s="217">
        <f>'AX7'!C12/1000/'AX1'!N43</f>
        <v>5.6550724646732303E-2</v>
      </c>
      <c r="F33" s="218">
        <f>('AX7'!E12+'AX7'!B12)/1000/'AX1'!N43</f>
        <v>1.7669865892147854E-3</v>
      </c>
      <c r="G33" s="218">
        <f>'AX7'!F12/1000/'AX1'!N43</f>
        <v>2.8166863146835419E-2</v>
      </c>
      <c r="H33" s="545">
        <f>'AX7'!D12/1000/'AX1'!N43</f>
        <v>2.0972533133797621E-3</v>
      </c>
      <c r="I33" s="217">
        <f>'AX7'!G12/1000/'AX1'!N43</f>
        <v>1.115037691115835E-2</v>
      </c>
      <c r="J33" s="218">
        <f>'AX7'!J12/1000/'AX1'!N43</f>
        <v>1.5158884949579475E-2</v>
      </c>
      <c r="K33" s="545">
        <f>(SUM('AX7'!H12:Q12)-'AX7'!J12)/1000/'AX1'!N43</f>
        <v>2.4072509606104266E-2</v>
      </c>
      <c r="L33" s="451">
        <f>SUM('AX7'!R12:X12)/1000/'AX1'!N43</f>
        <v>3.6444992626537345E-2</v>
      </c>
      <c r="M33" s="452">
        <f>'AX7'!AM12/1000/'AX1'!N43</f>
        <v>3.3241286172272753E-2</v>
      </c>
      <c r="N33" s="568">
        <f>'AX7'!Z12/1000/'AX1'!N43</f>
        <v>1.7395637204213037E-3</v>
      </c>
      <c r="O33" s="545">
        <f>'AX7'!AA12/1000/'AX1'!N43</f>
        <v>7.5472504114234759E-4</v>
      </c>
      <c r="P33" s="563">
        <f>('AX7'!AB17+'AX7'!AC17+'AX7'!AD17)/1000/'AX1'!N43</f>
        <v>2.4132124538264006E-3</v>
      </c>
      <c r="Q33" s="211">
        <f>'AX7'!AE12/1000/'AX1'!N43</f>
        <v>2.2062294093677728E-2</v>
      </c>
      <c r="R33" s="535">
        <f>SUM('AX7'!AF12:AL12)/1000/'AX1'!N43</f>
        <v>6.4884892162664388E-3</v>
      </c>
    </row>
    <row r="34" spans="2:18" s="9" customFormat="1" ht="12.75">
      <c r="B34" s="462">
        <v>1995</v>
      </c>
      <c r="C34" s="451">
        <f>'AX7'!AN13/1000/'AX1'!N44</f>
        <v>0.19854851076985422</v>
      </c>
      <c r="D34" s="452">
        <f>'AX7'!Y13/1000/'AX1'!N44</f>
        <v>0.16646116584013973</v>
      </c>
      <c r="E34" s="217">
        <f>'AX7'!C13/1000/'AX1'!N44</f>
        <v>5.1506049843188163E-2</v>
      </c>
      <c r="F34" s="218">
        <f>('AX7'!E13+'AX7'!B13)/1000/'AX1'!N44</f>
        <v>1.8063398630399135E-3</v>
      </c>
      <c r="G34" s="218">
        <f>'AX7'!F13/1000/'AX1'!N44</f>
        <v>2.895657638809649E-2</v>
      </c>
      <c r="H34" s="545">
        <f>'AX7'!D13/1000/'AX1'!N44</f>
        <v>3.1065075666565551E-3</v>
      </c>
      <c r="I34" s="217">
        <f>'AX7'!G13/1000/'AX1'!N44</f>
        <v>1.2186728831779051E-2</v>
      </c>
      <c r="J34" s="218">
        <f>'AX7'!J13/1000/'AX1'!N44</f>
        <v>1.2367583372400874E-2</v>
      </c>
      <c r="K34" s="545">
        <f>(SUM('AX7'!H13:Q13)-'AX7'!J13)/1000/'AX1'!N44</f>
        <v>2.7773302472930538E-2</v>
      </c>
      <c r="L34" s="451">
        <f>SUM('AX7'!R13:X13)/1000/'AX1'!N44</f>
        <v>2.875807750204815E-2</v>
      </c>
      <c r="M34" s="452">
        <f>'AX7'!AM13/1000/'AX1'!N44</f>
        <v>3.2087344929714511E-2</v>
      </c>
      <c r="N34" s="568">
        <f>'AX7'!Z13/1000/'AX1'!N44</f>
        <v>1.4082393193540718E-3</v>
      </c>
      <c r="O34" s="545">
        <f>'AX7'!AA13/1000/'AX1'!N44</f>
        <v>0</v>
      </c>
      <c r="P34" s="563">
        <f>('AX7'!AB18+'AX7'!AC18+'AX7'!AD18)/1000/'AX1'!N44</f>
        <v>1.3886099850670693E-2</v>
      </c>
      <c r="Q34" s="211">
        <f>'AX7'!AE13/1000/'AX1'!N44</f>
        <v>2.0944940792867569E-2</v>
      </c>
      <c r="R34" s="535">
        <f>SUM('AX7'!AF13:AL13)/1000/'AX1'!N44</f>
        <v>8.6655791475992918E-3</v>
      </c>
    </row>
    <row r="35" spans="2:18" s="9" customFormat="1" ht="12.75">
      <c r="B35" s="462">
        <v>1996</v>
      </c>
      <c r="C35" s="451">
        <f>'AX7'!AN14/1000/'AX1'!N45</f>
        <v>0.21097195568597948</v>
      </c>
      <c r="D35" s="452">
        <f>'AX7'!Y14/1000/'AX1'!N45</f>
        <v>0.17295188463493827</v>
      </c>
      <c r="E35" s="217">
        <f>'AX7'!C14/1000/'AX1'!N45</f>
        <v>5.069106546188383E-2</v>
      </c>
      <c r="F35" s="218">
        <f>('AX7'!E14+'AX7'!B14)/1000/'AX1'!N45</f>
        <v>1.59678425650462E-3</v>
      </c>
      <c r="G35" s="218">
        <f>'AX7'!F14/1000/'AX1'!N45</f>
        <v>2.9069168814198566E-2</v>
      </c>
      <c r="H35" s="545">
        <f>'AX7'!D14/1000/'AX1'!N45</f>
        <v>3.6623770803913829E-3</v>
      </c>
      <c r="I35" s="217">
        <f>'AX7'!G14/1000/'AX1'!N45</f>
        <v>1.234394221372722E-2</v>
      </c>
      <c r="J35" s="218">
        <f>'AX7'!J14/1000/'AX1'!N45</f>
        <v>2.071769351448385E-2</v>
      </c>
      <c r="K35" s="545">
        <f>(SUM('AX7'!H14:Q14)-'AX7'!J14)/1000/'AX1'!N45</f>
        <v>2.7699194750120729E-2</v>
      </c>
      <c r="L35" s="451">
        <f>SUM('AX7'!R14:X14)/1000/'AX1'!N45</f>
        <v>2.7171658543628081E-2</v>
      </c>
      <c r="M35" s="452">
        <f>'AX7'!AM14/1000/'AX1'!N45</f>
        <v>3.8020071051041208E-2</v>
      </c>
      <c r="N35" s="568">
        <f>'AX7'!Z14/1000/'AX1'!N45</f>
        <v>1.5289437078769667E-3</v>
      </c>
      <c r="O35" s="545">
        <f>'AX7'!AA14/1000/'AX1'!N45</f>
        <v>0</v>
      </c>
      <c r="P35" s="563">
        <f>('AX7'!AB19+'AX7'!AC19+'AX7'!AD19)/1000/'AX1'!N45</f>
        <v>3.3535507023102736E-3</v>
      </c>
      <c r="Q35" s="211">
        <f>'AX7'!AE14/1000/'AX1'!N45</f>
        <v>2.6560081060477296E-2</v>
      </c>
      <c r="R35" s="535">
        <f>SUM('AX7'!AF14:AL14)/1000/'AX1'!N45</f>
        <v>8.3737513007566319E-3</v>
      </c>
    </row>
    <row r="36" spans="2:18" s="9" customFormat="1" ht="12.75">
      <c r="B36" s="462">
        <v>1997</v>
      </c>
      <c r="C36" s="451">
        <f>'AX7'!AN15/1000/'AX1'!N46</f>
        <v>0.25743758598448319</v>
      </c>
      <c r="D36" s="452">
        <f>'AX7'!Y15/1000/'AX1'!N46</f>
        <v>0.18711748585093924</v>
      </c>
      <c r="E36" s="217">
        <f>'AX7'!C15/1000/'AX1'!N46</f>
        <v>5.0665294359281118E-2</v>
      </c>
      <c r="F36" s="218">
        <f>('AX7'!E15+'AX7'!B15)/1000/'AX1'!N46</f>
        <v>1.4509276303947924E-3</v>
      </c>
      <c r="G36" s="218">
        <f>'AX7'!F15/1000/'AX1'!N46</f>
        <v>2.7607903094685516E-2</v>
      </c>
      <c r="H36" s="545">
        <f>'AX7'!D15/1000/'AX1'!N46</f>
        <v>4.0580203063344568E-3</v>
      </c>
      <c r="I36" s="217">
        <f>'AX7'!G15/1000/'AX1'!N46</f>
        <v>1.2315034329148985E-2</v>
      </c>
      <c r="J36" s="218">
        <f>'AX7'!J15/1000/'AX1'!N46</f>
        <v>2.6635735811733296E-2</v>
      </c>
      <c r="K36" s="545">
        <f>(SUM('AX7'!H15:Q15)-'AX7'!J15)/1000/'AX1'!N46</f>
        <v>2.6446245578615492E-2</v>
      </c>
      <c r="L36" s="451">
        <f>SUM('AX7'!R15:X15)/1000/'AX1'!N46</f>
        <v>3.7938324740745599E-2</v>
      </c>
      <c r="M36" s="452">
        <f>'AX7'!AM15/1000/'AX1'!N46</f>
        <v>7.032010013354395E-2</v>
      </c>
      <c r="N36" s="568">
        <f>'AX7'!Z15/1000/'AX1'!N46</f>
        <v>1.4536738656573693E-3</v>
      </c>
      <c r="O36" s="545">
        <f>'AX7'!AA15/1000/'AX1'!N46</f>
        <v>2.1054470346422856E-5</v>
      </c>
      <c r="P36" s="563">
        <f>('AX7'!AB20+'AX7'!AC20+'AX7'!AD20)/1000/'AX1'!N46</f>
        <v>2.5265364415707424E-3</v>
      </c>
      <c r="Q36" s="211">
        <f>'AX7'!AE15/1000/'AX1'!N46</f>
        <v>4.0842926236797757E-2</v>
      </c>
      <c r="R36" s="535">
        <f>SUM('AX7'!AF15:AL15)/1000/'AX1'!N46</f>
        <v>9.577037772359822E-3</v>
      </c>
    </row>
    <row r="37" spans="2:18" s="9" customFormat="1" ht="12.75">
      <c r="B37" s="462">
        <v>1998</v>
      </c>
      <c r="C37" s="451">
        <f>'AX7'!AN16/1000/'AX1'!N47</f>
        <v>0.20723034861060124</v>
      </c>
      <c r="D37" s="452">
        <f>'AX7'!Y16/1000/'AX1'!N47</f>
        <v>0.16951531693046717</v>
      </c>
      <c r="E37" s="217">
        <f>'AX7'!C16/1000/'AX1'!N47</f>
        <v>4.3391655994849627E-2</v>
      </c>
      <c r="F37" s="218">
        <f>('AX7'!E16+'AX7'!B16)/1000/'AX1'!N47</f>
        <v>1.2781993600533578E-3</v>
      </c>
      <c r="G37" s="218">
        <f>'AX7'!F16/1000/'AX1'!N47</f>
        <v>2.403264108103324E-2</v>
      </c>
      <c r="H37" s="545">
        <f>'AX7'!D16/1000/'AX1'!N47</f>
        <v>3.9295281151527839E-3</v>
      </c>
      <c r="I37" s="217">
        <f>'AX7'!G16/1000/'AX1'!N47</f>
        <v>1.1725297655463211E-2</v>
      </c>
      <c r="J37" s="218">
        <f>'AX7'!J16/1000/'AX1'!N47</f>
        <v>9.7701224903103262E-3</v>
      </c>
      <c r="K37" s="545">
        <f>(SUM('AX7'!H16:Q16)-'AX7'!J16)/1000/'AX1'!N47</f>
        <v>2.0434888643733766E-2</v>
      </c>
      <c r="L37" s="451">
        <f>SUM('AX7'!R16:X16)/1000/'AX1'!N47</f>
        <v>5.4952983589870878E-2</v>
      </c>
      <c r="M37" s="452">
        <f>'AX7'!AM16/1000/'AX1'!N47</f>
        <v>3.7715031680134042E-2</v>
      </c>
      <c r="N37" s="568">
        <f>'AX7'!Z16/1000/'AX1'!N47</f>
        <v>1.1861459927876999E-3</v>
      </c>
      <c r="O37" s="545">
        <f>'AX7'!AA16/1000/'AX1'!N47</f>
        <v>0</v>
      </c>
      <c r="P37" s="563">
        <f>('AX7'!AB21+'AX7'!AC21+'AX7'!AD21)/1000/'AX1'!N47</f>
        <v>1.7902462154685815E-3</v>
      </c>
      <c r="Q37" s="211">
        <f>'AX7'!AE16/1000/'AX1'!N47</f>
        <v>1.845957680449152E-2</v>
      </c>
      <c r="R37" s="535">
        <f>SUM('AX7'!AF16:AL16)/1000/'AX1'!N47</f>
        <v>1.5717153571368783E-2</v>
      </c>
    </row>
    <row r="38" spans="2:18" s="9" customFormat="1" ht="12.75">
      <c r="B38" s="462">
        <v>1999</v>
      </c>
      <c r="C38" s="451">
        <f>'AX7'!AN17/1000/'AX1'!N48</f>
        <v>0.22758125610814936</v>
      </c>
      <c r="D38" s="452">
        <f>'AX7'!Y17/1000/'AX1'!N48</f>
        <v>0.17112524193705159</v>
      </c>
      <c r="E38" s="556">
        <f>'AX7'!C17/1000/'AX1'!N48</f>
        <v>3.6823046734999129E-2</v>
      </c>
      <c r="F38" s="218">
        <f>('AX7'!E17+'AX7'!B17)/1000/'AX1'!N48</f>
        <v>1.1408609933016521E-3</v>
      </c>
      <c r="G38" s="218">
        <f>'AX7'!F17/1000/'AX1'!N48</f>
        <v>2.4254040517699766E-2</v>
      </c>
      <c r="H38" s="545">
        <f>'AX7'!D17/1000/'AX1'!N48</f>
        <v>3.1412747897757824E-3</v>
      </c>
      <c r="I38" s="217">
        <f>'AX7'!G17/1000/'AX1'!N48</f>
        <v>1.1660615186673908E-2</v>
      </c>
      <c r="J38" s="218">
        <f>'AX7'!J17/1000/'AX1'!N48</f>
        <v>1.1834479276406523E-2</v>
      </c>
      <c r="K38" s="545">
        <f>(SUM('AX7'!H17:Q17)-'AX7'!J17)/1000/'AX1'!N48</f>
        <v>2.3886777047253342E-2</v>
      </c>
      <c r="L38" s="451">
        <f>SUM('AX7'!R17:X17)/1000/'AX1'!N48</f>
        <v>5.8384147390941492E-2</v>
      </c>
      <c r="M38" s="452">
        <f>'AX7'!AM17/1000/'AX1'!N48</f>
        <v>5.6456014171097774E-2</v>
      </c>
      <c r="N38" s="568">
        <f>'AX7'!Z17/1000/'AX1'!N48</f>
        <v>1.2424445064038541E-3</v>
      </c>
      <c r="O38" s="545">
        <f>'AX7'!AA17/1000/'AX1'!N48</f>
        <v>0</v>
      </c>
      <c r="P38" s="563">
        <f>('AX7'!AB22+'AX7'!AC22+'AX7'!AD22)/1000/'AX1'!N48</f>
        <v>2.1723243571086259E-3</v>
      </c>
      <c r="Q38" s="211">
        <f>'AX7'!AE17/1000/'AX1'!N48</f>
        <v>3.4001173952765855E-2</v>
      </c>
      <c r="R38" s="535">
        <f>SUM('AX7'!AF17:AL17)/1000/'AX1'!N48</f>
        <v>1.923542426463137E-2</v>
      </c>
    </row>
    <row r="39" spans="2:18" s="654" customFormat="1" ht="12.75">
      <c r="B39" s="644">
        <v>2000</v>
      </c>
      <c r="C39" s="645">
        <f>'AX7'!AN18/1000/'AX1'!N49</f>
        <v>0.20465858734721279</v>
      </c>
      <c r="D39" s="646">
        <f>'AX7'!Y18/1000/'AX1'!N49</f>
        <v>0.15579005236081264</v>
      </c>
      <c r="E39" s="655">
        <f>'AX7'!C18/1000/'AX1'!N49</f>
        <v>3.9073912910878819E-2</v>
      </c>
      <c r="F39" s="648">
        <f>('AX7'!E18+'AX7'!B18)/1000/'AX1'!N49</f>
        <v>1.0393884534695824E-3</v>
      </c>
      <c r="G39" s="648">
        <f>'AX7'!F18/1000/'AX1'!N49</f>
        <v>2.3918665346990751E-2</v>
      </c>
      <c r="H39" s="649">
        <f>'AX7'!D18/1000/'AX1'!N49</f>
        <v>3.1418084923336897E-3</v>
      </c>
      <c r="I39" s="647">
        <f>'AX7'!G18/1000/'AX1'!N49</f>
        <v>1.1485106008154704E-2</v>
      </c>
      <c r="J39" s="648">
        <f>'AX7'!J18/1000/'AX1'!N49</f>
        <v>9.9219312474248585E-3</v>
      </c>
      <c r="K39" s="649">
        <f>(SUM('AX7'!H18:Q18)-'AX7'!J18)/1000/'AX1'!N49</f>
        <v>2.9171078039239486E-2</v>
      </c>
      <c r="L39" s="645">
        <f>SUM('AX7'!R18:X18)/1000/'AX1'!N49</f>
        <v>3.8038161862320764E-2</v>
      </c>
      <c r="M39" s="646">
        <f>'AX7'!AM18/1000/'AX1'!N49</f>
        <v>4.886853498640014E-2</v>
      </c>
      <c r="N39" s="650">
        <f>'AX7'!Z18/1000/'AX1'!N49</f>
        <v>1.366754895507246E-3</v>
      </c>
      <c r="O39" s="649">
        <f>'AX7'!AA18/1000/'AX1'!N49</f>
        <v>0</v>
      </c>
      <c r="P39" s="651">
        <f>('AX7'!AB23+'AX7'!AC23+'AX7'!AD23)/1000/'AX1'!N49</f>
        <v>2.7125947127731973E-3</v>
      </c>
      <c r="Q39" s="652">
        <f>'AX7'!AE18/1000/'AX1'!N49</f>
        <v>2.6854051110595134E-2</v>
      </c>
      <c r="R39" s="653">
        <f>SUM('AX7'!AF18:AL18)/1000/'AX1'!N49</f>
        <v>9.1971783188025871E-3</v>
      </c>
    </row>
    <row r="40" spans="2:18" s="9" customFormat="1" ht="12.75">
      <c r="B40" s="462">
        <v>2001</v>
      </c>
      <c r="C40" s="451">
        <f>'AX7'!AN19/1000/'AX1'!N50</f>
        <v>0.15906720638593064</v>
      </c>
      <c r="D40" s="452">
        <f>'AX7'!Y19/1000/'AX1'!N50</f>
        <v>0.13718220303636858</v>
      </c>
      <c r="E40" s="556">
        <f>'AX7'!C19/1000/'AX1'!N50</f>
        <v>4.0207373877625519E-2</v>
      </c>
      <c r="F40" s="218">
        <f>('AX7'!E19+'AX7'!B19)/1000/'AX1'!N50</f>
        <v>1.0292855760993011E-3</v>
      </c>
      <c r="G40" s="218">
        <f>'AX7'!F19/1000/'AX1'!N50</f>
        <v>2.5944157734179039E-2</v>
      </c>
      <c r="H40" s="545">
        <f>'AX7'!D19/1000/'AX1'!N50</f>
        <v>3.2645386713783292E-3</v>
      </c>
      <c r="I40" s="217">
        <f>'AX7'!G19/1000/'AX1'!N50</f>
        <v>1.0484034684018498E-2</v>
      </c>
      <c r="J40" s="533">
        <f>'AX7'!J19/1000/'AX1'!N50</f>
        <v>7.8256509865930138E-3</v>
      </c>
      <c r="K40" s="545">
        <f>(SUM('AX7'!H19:Q19)-'AX7'!J19)/1000/'AX1'!N50</f>
        <v>2.7037773658784549E-2</v>
      </c>
      <c r="L40" s="451">
        <f>SUM('AX7'!R19:X19)/1000/'AX1'!N50</f>
        <v>2.1389387847690317E-2</v>
      </c>
      <c r="M40" s="452">
        <f>'AX7'!AM19/1000/'AX1'!N50</f>
        <v>2.1885003349562077E-2</v>
      </c>
      <c r="N40" s="568">
        <f>'AX7'!Z19/1000/'AX1'!N50</f>
        <v>1.7468860833797998E-3</v>
      </c>
      <c r="O40" s="545">
        <f>'AX7'!AA19/1000/'AX1'!N50</f>
        <v>0</v>
      </c>
      <c r="P40" s="563">
        <f>('AX7'!AB24+'AX7'!AC24+'AX7'!AD24)/1000/'AX1'!N50</f>
        <v>3.3143720399394748E-3</v>
      </c>
      <c r="Q40" s="565">
        <f>'AX7'!AE19/1000/'AX1'!N50</f>
        <v>9.3568944932900383E-3</v>
      </c>
      <c r="R40" s="535">
        <f>SUM('AX7'!AF19:AL19)/1000/'AX1'!N50</f>
        <v>7.7803479242646995E-3</v>
      </c>
    </row>
    <row r="41" spans="2:18" s="9" customFormat="1" ht="12.75">
      <c r="B41" s="462">
        <v>2002</v>
      </c>
      <c r="C41" s="451">
        <f>'AX7'!AN20/1000/'AX1'!N51</f>
        <v>0.16737851583672766</v>
      </c>
      <c r="D41" s="452">
        <f>'AX7'!Y20/1000/'AX1'!N51</f>
        <v>0.14460136743313937</v>
      </c>
      <c r="E41" s="556">
        <f>'AX7'!C20/1000/'AX1'!N51</f>
        <v>3.658885359627468E-2</v>
      </c>
      <c r="F41" s="218">
        <f>('AX7'!E20+'AX7'!B20)/1000/'AX1'!N51</f>
        <v>1.1127824748989438E-3</v>
      </c>
      <c r="G41" s="218">
        <f>'AX7'!F20/1000/'AX1'!N51</f>
        <v>2.8039289259466353E-2</v>
      </c>
      <c r="H41" s="545">
        <f>'AX7'!D20/1000/'AX1'!N51</f>
        <v>3.1271073616651675E-3</v>
      </c>
      <c r="I41" s="217">
        <f>'AX7'!G20/1000/'AX1'!N51</f>
        <v>1.0298896108789292E-2</v>
      </c>
      <c r="J41" s="533">
        <f>'AX7'!J20/1000/'AX1'!N51</f>
        <v>7.0331624557595958E-3</v>
      </c>
      <c r="K41" s="545">
        <f>(SUM('AX7'!H20:Q20)-'AX7'!J20)/1000/'AX1'!N51</f>
        <v>2.3184539953720794E-2</v>
      </c>
      <c r="L41" s="451">
        <f>SUM('AX7'!R20:X20)/1000/'AX1'!N51</f>
        <v>3.5216736222564542E-2</v>
      </c>
      <c r="M41" s="452">
        <f>'AX7'!AM20/1000/'AX1'!N51</f>
        <v>2.2777148403588295E-2</v>
      </c>
      <c r="N41" s="568">
        <f>'AX7'!Z20/1000/'AX1'!N51</f>
        <v>1.3230795019349307E-3</v>
      </c>
      <c r="O41" s="545">
        <f>'AX7'!AA20/1000/'AX1'!N51</f>
        <v>0</v>
      </c>
      <c r="P41" s="563">
        <f>('AX7'!AB25+'AX7'!AC25+'AX7'!AD25)/1000/'AX1'!N51</f>
        <v>7.62727513303615E-3</v>
      </c>
      <c r="Q41" s="565">
        <f>'AX7'!AE20/1000/'AX1'!N51</f>
        <v>1.0822281086390068E-2</v>
      </c>
      <c r="R41" s="535">
        <f>SUM('AX7'!AF20:AL20)/1000/'AX1'!N51</f>
        <v>8.0290084671945823E-3</v>
      </c>
    </row>
    <row r="42" spans="2:18" s="9" customFormat="1" ht="12.75">
      <c r="B42" s="462">
        <v>2003</v>
      </c>
      <c r="C42" s="451">
        <f>'AX7'!AN21/1000/'AX1'!N52</f>
        <v>0.19494879213787342</v>
      </c>
      <c r="D42" s="452">
        <f>'AX7'!Y21/1000/'AX1'!N52</f>
        <v>0.16417735072194298</v>
      </c>
      <c r="E42" s="556">
        <f>'AX7'!C21/1000/'AX1'!N52</f>
        <v>4.5855813177343697E-2</v>
      </c>
      <c r="F42" s="218">
        <f>('AX7'!E21+'AX7'!B21)/1000/'AX1'!N52</f>
        <v>9.2426213560239587E-4</v>
      </c>
      <c r="G42" s="218">
        <f>'AX7'!F21/1000/'AX1'!N52</f>
        <v>2.6305271381229126E-2</v>
      </c>
      <c r="H42" s="545">
        <f>'AX7'!D21/1000/'AX1'!N52</f>
        <v>2.5800359105727106E-3</v>
      </c>
      <c r="I42" s="217">
        <f>'AX7'!G21/1000/'AX1'!N52</f>
        <v>1.0940706215533549E-2</v>
      </c>
      <c r="J42" s="533">
        <f>'AX7'!J21/1000/'AX1'!N52</f>
        <v>1.0574010149526495E-2</v>
      </c>
      <c r="K42" s="545">
        <f>(SUM('AX7'!H21:Q21)-'AX7'!J21)/1000/'AX1'!N52</f>
        <v>2.6046703642377999E-2</v>
      </c>
      <c r="L42" s="451">
        <f>SUM('AX7'!R21:X21)/1000/'AX1'!N52</f>
        <v>4.0950548109757019E-2</v>
      </c>
      <c r="M42" s="452">
        <f>'AX7'!AM21/1000/'AX1'!N52</f>
        <v>3.0771441415930426E-2</v>
      </c>
      <c r="N42" s="568">
        <f>'AX7'!Z21/1000/'AX1'!N52</f>
        <v>1.3680584001032412E-3</v>
      </c>
      <c r="O42" s="545">
        <f>'AX7'!AA21/1000/'AX1'!N52</f>
        <v>0</v>
      </c>
      <c r="P42" s="563">
        <f>('AX7'!AB26+'AX7'!AC26+'AX7'!AD26)/1000/'AX1'!N52</f>
        <v>3.7224351931331493E-3</v>
      </c>
      <c r="Q42" s="565">
        <f>'AX7'!AE21/1000/'AX1'!N52</f>
        <v>5.0914338395594855E-3</v>
      </c>
      <c r="R42" s="535">
        <f>SUM('AX7'!AF21:AL21)/1000/'AX1'!N52</f>
        <v>2.2556509291049315E-2</v>
      </c>
    </row>
    <row r="43" spans="2:18" s="9" customFormat="1" ht="12.75">
      <c r="B43" s="462">
        <v>2004</v>
      </c>
      <c r="C43" s="451">
        <f>'AX7'!AN22/1000/'AX1'!N53</f>
        <v>0.236937902262046</v>
      </c>
      <c r="D43" s="452">
        <f>'AX7'!Y22/1000/'AX1'!N53</f>
        <v>0.16899390865725195</v>
      </c>
      <c r="E43" s="556">
        <f>'AX7'!C22/1000/'AX1'!N53</f>
        <v>5.271059553871861E-2</v>
      </c>
      <c r="F43" s="218">
        <f>('AX7'!E22+'AX7'!B22)/1000/'AX1'!N53</f>
        <v>1.0031552629810704E-3</v>
      </c>
      <c r="G43" s="218">
        <f>'AX7'!F22/1000/'AX1'!N53</f>
        <v>3.0553089057998733E-2</v>
      </c>
      <c r="H43" s="545">
        <f>'AX7'!D22/1000/'AX1'!N53</f>
        <v>2.6633952009076272E-3</v>
      </c>
      <c r="I43" s="217">
        <f>'AX7'!G22/1000/'AX1'!N53</f>
        <v>1.0837852155701403E-2</v>
      </c>
      <c r="J43" s="533">
        <f>'AX7'!J22/1000/'AX1'!N53</f>
        <v>1.4248220495979345E-2</v>
      </c>
      <c r="K43" s="545">
        <f>(SUM('AX7'!H22:Q22)-'AX7'!J22)/1000/'AX1'!N53</f>
        <v>2.7161597295250004E-2</v>
      </c>
      <c r="L43" s="451">
        <f>SUM('AX7'!R22:X22)/1000/'AX1'!N53</f>
        <v>2.981600364971515E-2</v>
      </c>
      <c r="M43" s="452">
        <f>'AX7'!AM22/1000/'AX1'!N53</f>
        <v>6.7943993604794056E-2</v>
      </c>
      <c r="N43" s="568">
        <f>'AX7'!Z22/1000/'AX1'!N53</f>
        <v>1.3204615424007103E-3</v>
      </c>
      <c r="O43" s="545">
        <f>'AX7'!AA22/1000/'AX1'!N53</f>
        <v>0</v>
      </c>
      <c r="P43" s="563">
        <f>('AX7'!AB27+'AX7'!AC27+'AX7'!AD27)/1000/'AX1'!N53</f>
        <v>6.1214044273307251E-3</v>
      </c>
      <c r="Q43" s="565">
        <f>'AX7'!AE22/1000/'AX1'!N53</f>
        <v>2.8793971809204864E-2</v>
      </c>
      <c r="R43" s="535">
        <f>SUM('AX7'!AF22:AL22)/1000/'AX1'!N53</f>
        <v>3.5830440804380324E-2</v>
      </c>
    </row>
    <row r="44" spans="2:18" s="9" customFormat="1" ht="12.75">
      <c r="B44" s="462">
        <v>2005</v>
      </c>
      <c r="C44" s="451">
        <f>'AX7'!AN23/1000/'AX1'!N54</f>
        <v>0.21095062891800187</v>
      </c>
      <c r="D44" s="452">
        <f>'AX7'!Y23/1000/'AX1'!N54</f>
        <v>0.17466969961308904</v>
      </c>
      <c r="E44" s="556">
        <f>'AX7'!C23/1000/'AX1'!N54</f>
        <v>5.96017610726811E-2</v>
      </c>
      <c r="F44" s="218">
        <f>('AX7'!E23+'AX7'!B23)/1000/'AX1'!N54</f>
        <v>1.081929470881083E-3</v>
      </c>
      <c r="G44" s="218">
        <f>'AX7'!F23/1000/'AX1'!N54</f>
        <v>3.2017256180911863E-2</v>
      </c>
      <c r="H44" s="545">
        <f>'AX7'!D23/1000/'AX1'!N54</f>
        <v>2.7274528255676238E-3</v>
      </c>
      <c r="I44" s="217">
        <f>'AX7'!G23/1000/'AX1'!N54</f>
        <v>1.0194217855862961E-2</v>
      </c>
      <c r="J44" s="533">
        <f>'AX7'!J23/1000/'AX1'!N54</f>
        <v>1.5257169578715321E-2</v>
      </c>
      <c r="K44" s="545">
        <f>(SUM('AX7'!H23:Q23)-'AX7'!J23)/1000/'AX1'!N54</f>
        <v>2.7629763188499076E-2</v>
      </c>
      <c r="L44" s="451">
        <f>SUM('AX7'!R23:X23)/1000/'AX1'!N54</f>
        <v>2.6160149439969995E-2</v>
      </c>
      <c r="M44" s="452">
        <f>'AX7'!AM23/1000/'AX1'!N54</f>
        <v>3.6280929304912848E-2</v>
      </c>
      <c r="N44" s="568">
        <f>'AX7'!Z23/1000/'AX1'!N54</f>
        <v>1.4311868928150713E-3</v>
      </c>
      <c r="O44" s="545">
        <f>'AX7'!AA23/1000/'AX1'!N54</f>
        <v>0</v>
      </c>
      <c r="P44" s="563">
        <f>('AX7'!AB28+'AX7'!AC28+'AX7'!AD28)/1000/'AX1'!N54</f>
        <v>1.1562213919281662E-3</v>
      </c>
      <c r="Q44" s="565">
        <f>'AX7'!AE23/1000/'AX1'!N54</f>
        <v>2.5167028702294619E-2</v>
      </c>
      <c r="R44" s="535">
        <f>SUM('AX7'!AF23:AL23)/1000/'AX1'!N54</f>
        <v>7.1354401410278854E-3</v>
      </c>
    </row>
    <row r="45" spans="2:18" s="9" customFormat="1" ht="12.75">
      <c r="B45" s="462">
        <v>2006</v>
      </c>
      <c r="C45" s="451">
        <f>'AX7'!AN24/1000/'AX1'!N55</f>
        <v>0.22478445928684551</v>
      </c>
      <c r="D45" s="452">
        <f>'AX7'!Y24/1000/'AX1'!N55</f>
        <v>0.1829562901318072</v>
      </c>
      <c r="E45" s="556">
        <f>'AX7'!C24/1000/'AX1'!N55</f>
        <v>5.6130165642818197E-2</v>
      </c>
      <c r="F45" s="218">
        <f>('AX7'!E24+'AX7'!B24)/1000/'AX1'!N55</f>
        <v>9.7323817845902064E-4</v>
      </c>
      <c r="G45" s="218">
        <f>'AX7'!F24/1000/'AX1'!N55</f>
        <v>3.0114970612686261E-2</v>
      </c>
      <c r="H45" s="545">
        <f>'AX7'!D24/1000/'AX1'!N55</f>
        <v>2.7831333956574718E-3</v>
      </c>
      <c r="I45" s="217">
        <f>'AX7'!G24/1000/'AX1'!N55</f>
        <v>9.4022456582965683E-3</v>
      </c>
      <c r="J45" s="533">
        <f>'AX7'!J24/1000/'AX1'!N55</f>
        <v>1.9571687089989461E-2</v>
      </c>
      <c r="K45" s="545">
        <f>(SUM('AX7'!H24:Q24)-'AX7'!J24)/1000/'AX1'!N55</f>
        <v>2.7395054773127571E-2</v>
      </c>
      <c r="L45" s="451">
        <f>SUM('AX7'!R24:X24)/1000/'AX1'!N55</f>
        <v>3.658579478077266E-2</v>
      </c>
      <c r="M45" s="452">
        <f>'AX7'!AM24/1000/'AX1'!N55</f>
        <v>4.1828169155038293E-2</v>
      </c>
      <c r="N45" s="568">
        <f>'AX7'!Z24/1000/'AX1'!N55</f>
        <v>6.0720072401051963E-4</v>
      </c>
      <c r="O45" s="545">
        <f>'AX7'!AA24/1000/'AX1'!N55</f>
        <v>0</v>
      </c>
      <c r="P45" s="563">
        <f>('AX7'!AB29+'AX7'!AC29+'AX7'!AD29)/1000/'AX1'!N55</f>
        <v>1.9683293392731755E-3</v>
      </c>
      <c r="Q45" s="565">
        <f>'AX7'!AE24/1000/'AX1'!N55</f>
        <v>2.8877935718654546E-2</v>
      </c>
      <c r="R45" s="535">
        <f>SUM('AX7'!AF24:AL24)/1000/'AX1'!N55</f>
        <v>9.4880966604060247E-3</v>
      </c>
    </row>
    <row r="46" spans="2:18" s="9" customFormat="1" ht="12.75">
      <c r="B46" s="462">
        <v>2007</v>
      </c>
      <c r="C46" s="451">
        <f>'AX7'!AN25/1000/'AX1'!N56</f>
        <v>0.25434714908322636</v>
      </c>
      <c r="D46" s="452">
        <f>'AX7'!Y25/1000/'AX1'!N56</f>
        <v>0.1960572947199381</v>
      </c>
      <c r="E46" s="556">
        <f>'AX7'!C25/1000/'AX1'!N56</f>
        <v>6.4868758206898317E-2</v>
      </c>
      <c r="F46" s="218">
        <f>('AX7'!E25+'AX7'!B25)/1000/'AX1'!N56</f>
        <v>8.8054569347714262E-4</v>
      </c>
      <c r="G46" s="218">
        <f>'AX7'!F25/1000/'AX1'!N56</f>
        <v>2.659304757923435E-2</v>
      </c>
      <c r="H46" s="545">
        <f>'AX7'!D25/1000/'AX1'!N56</f>
        <v>2.5444293769613484E-3</v>
      </c>
      <c r="I46" s="217">
        <f>'AX7'!G25/1000/'AX1'!N56</f>
        <v>9.2581468239240593E-3</v>
      </c>
      <c r="J46" s="533">
        <f>'AX7'!J25/1000/'AX1'!N56</f>
        <v>3.6576349680139585E-2</v>
      </c>
      <c r="K46" s="545">
        <f>(SUM('AX7'!H25:Q25)-'AX7'!J25)/1000/'AX1'!N56</f>
        <v>2.2254887732401755E-2</v>
      </c>
      <c r="L46" s="451">
        <f>SUM('AX7'!R25:X25)/1000/'AX1'!N56</f>
        <v>3.3081129626901545E-2</v>
      </c>
      <c r="M46" s="452">
        <f>'AX7'!AM25/1000/'AX1'!N56</f>
        <v>5.8289854363288263E-2</v>
      </c>
      <c r="N46" s="217">
        <f>'AX7'!Z25/1000/'AX1'!N56</f>
        <v>2.5117902940443871E-4</v>
      </c>
      <c r="O46" s="545">
        <f>'AX7'!AA25/1000/'AX1'!N56</f>
        <v>0</v>
      </c>
      <c r="P46" s="563">
        <f>('AX7'!AB30+'AX7'!AC30+'AX7'!AD30)/1000/'AX1'!N56</f>
        <v>1.1411616751162678E-2</v>
      </c>
      <c r="Q46" s="565">
        <f>'AX7'!AE25/1000/'AX1'!N56</f>
        <v>4.4217442809112467E-2</v>
      </c>
      <c r="R46" s="535">
        <f>SUM('AX7'!AF25:AL25)/1000/'AX1'!N56</f>
        <v>8.0824302936326597E-3</v>
      </c>
    </row>
    <row r="47" spans="2:18" s="9" customFormat="1" ht="12.75">
      <c r="B47" s="462">
        <v>2008</v>
      </c>
      <c r="C47" s="451">
        <f>'AX7'!AN26/1000/'AX1'!N57</f>
        <v>0.2172242939914949</v>
      </c>
      <c r="D47" s="452">
        <f>'AX7'!Y26/1000/'AX1'!N57</f>
        <v>0.19315451758011368</v>
      </c>
      <c r="E47" s="556">
        <f>'AX7'!C26/1000/'AX1'!N57</f>
        <v>7.1468235111947054E-2</v>
      </c>
      <c r="F47" s="218">
        <f>('AX7'!E26+'AX7'!B26)/1000/'AX1'!N57</f>
        <v>5.7160315165722753E-4</v>
      </c>
      <c r="G47" s="218">
        <f>'AX7'!F26/1000/'AX1'!N57</f>
        <v>2.6767221776524769E-2</v>
      </c>
      <c r="H47" s="545">
        <f>'AX7'!D26/1000/'AX1'!N57</f>
        <v>1.4760124600416522E-3</v>
      </c>
      <c r="I47" s="217">
        <f>'AX7'!G26/1000/'AX1'!N57</f>
        <v>8.6598220575200609E-3</v>
      </c>
      <c r="J47" s="533">
        <f>'AX7'!J26/1000/'AX1'!N57</f>
        <v>2.2069508479711585E-2</v>
      </c>
      <c r="K47" s="545">
        <f>(SUM('AX7'!H26:Q26)-'AX7'!J26)/1000/'AX1'!N57</f>
        <v>1.8740760714178319E-2</v>
      </c>
      <c r="L47" s="451">
        <f>SUM('AX7'!R26:X26)/1000/'AX1'!N57</f>
        <v>4.3401353828532996E-2</v>
      </c>
      <c r="M47" s="452">
        <f>'AX7'!AM26/1000/'AX1'!N57</f>
        <v>2.4069776411381236E-2</v>
      </c>
      <c r="N47" s="217">
        <f>'AX7'!Z26/1000/'AX1'!N57</f>
        <v>1.2077089398760149E-4</v>
      </c>
      <c r="O47" s="545">
        <f>'AX7'!AA26/1000/'AX1'!N57</f>
        <v>0</v>
      </c>
      <c r="P47" s="563">
        <f>('AX7'!AB31+'AX7'!AC31+'AX7'!AD31)/1000/'AX1'!N57</f>
        <v>2.0709463525828481E-3</v>
      </c>
      <c r="Q47" s="565">
        <f>'AX7'!AE26/1000/'AX1'!N57</f>
        <v>1.1621453753261471E-2</v>
      </c>
      <c r="R47" s="535">
        <f>SUM('AX7'!AF26:AL26)/1000/'AX1'!N57</f>
        <v>9.6108928476724229E-3</v>
      </c>
    </row>
    <row r="48" spans="2:18" s="9" customFormat="1" ht="12.75">
      <c r="B48" s="462">
        <v>2009</v>
      </c>
      <c r="C48" s="451">
        <f>'AX7'!AN27/1000/'AX1'!N58</f>
        <v>0.23403576149379995</v>
      </c>
      <c r="D48" s="452">
        <f>'AX7'!Y27/1000/'AX1'!N58</f>
        <v>0.19318632676047839</v>
      </c>
      <c r="E48" s="556">
        <f>'AX7'!C27/1000/'AX1'!N58</f>
        <v>5.6300078222196029E-2</v>
      </c>
      <c r="F48" s="218">
        <f>('AX7'!E27+'AX7'!B27)/1000/'AX1'!N58</f>
        <v>1.2332293095339067E-3</v>
      </c>
      <c r="G48" s="218">
        <f>'AX7'!F27/1000/'AX1'!N58</f>
        <v>3.0312600042744924E-2</v>
      </c>
      <c r="H48" s="545">
        <f>'AX7'!D27/1000/'AX1'!N58</f>
        <v>2.6869406171966407E-3</v>
      </c>
      <c r="I48" s="217">
        <f>'AX7'!G27/1000/'AX1'!N58</f>
        <v>9.3829789003691214E-3</v>
      </c>
      <c r="J48" s="533">
        <f>'AX7'!J27/1000/'AX1'!N58</f>
        <v>3.1148961755646944E-2</v>
      </c>
      <c r="K48" s="545">
        <f>(SUM('AX7'!H27:Q27)-'AX7'!J27)/1000/'AX1'!N58</f>
        <v>2.1567549056961875E-2</v>
      </c>
      <c r="L48" s="451">
        <f>SUM('AX7'!R27:X27)/1000/'AX1'!N58</f>
        <v>4.0553988855828949E-2</v>
      </c>
      <c r="M48" s="452">
        <f>'AX7'!AM27/1000/'AX1'!N58</f>
        <v>4.0849434733321574E-2</v>
      </c>
      <c r="N48" s="217">
        <f>'AX7'!Z27/1000/'AX1'!N58</f>
        <v>1.359638988461101E-4</v>
      </c>
      <c r="O48" s="545">
        <f>'AX7'!AA27/1000/'AX1'!N58</f>
        <v>0</v>
      </c>
      <c r="P48" s="563">
        <f>('AX7'!AB32+'AX7'!AC32+'AX7'!AD32)/1000/'AX1'!N58</f>
        <v>1.2119160497147867E-3</v>
      </c>
      <c r="Q48" s="565">
        <f>'AX7'!AE27/1000/'AX1'!N58</f>
        <v>2.9127141832805594E-2</v>
      </c>
      <c r="R48" s="535">
        <f>SUM('AX7'!AF27:AL27)/1000/'AX1'!N58</f>
        <v>6.5813876441454915E-3</v>
      </c>
    </row>
    <row r="49" spans="2:18" s="654" customFormat="1" ht="12.75">
      <c r="B49" s="644">
        <v>2010</v>
      </c>
      <c r="C49" s="645">
        <f>'AX7'!AN28/1000/'AX1'!N59</f>
        <v>0.25183853528352157</v>
      </c>
      <c r="D49" s="646">
        <f>'AX7'!Y28/1000/'AX1'!N59</f>
        <v>0.20054449727343415</v>
      </c>
      <c r="E49" s="655">
        <f>'AX7'!C28/1000/'AX1'!N59</f>
        <v>6.2332681419047416E-2</v>
      </c>
      <c r="F49" s="648">
        <f>('AX7'!E28+'AX7'!B28)/1000/'AX1'!N59</f>
        <v>1.1017237725461843E-3</v>
      </c>
      <c r="G49" s="648">
        <f>'AX7'!F28/1000/'AX1'!N59</f>
        <v>2.9603391350352996E-2</v>
      </c>
      <c r="H49" s="649">
        <f>'AX7'!D28/1000/'AX1'!N59</f>
        <v>2.6235340837438585E-3</v>
      </c>
      <c r="I49" s="647">
        <f>'AX7'!G28/1000/'AX1'!N59</f>
        <v>9.8727025859193292E-3</v>
      </c>
      <c r="J49" s="656">
        <f>'AX7'!J28/1000/'AX1'!N59</f>
        <v>3.4118652713247197E-2</v>
      </c>
      <c r="K49" s="649">
        <f>(SUM('AX7'!H28:Q28)-'AX7'!J28)/1000/'AX1'!N59</f>
        <v>2.176824226241526E-2</v>
      </c>
      <c r="L49" s="645">
        <f>SUM('AX7'!R28:X28)/1000/'AX1'!N59</f>
        <v>3.9123569086161922E-2</v>
      </c>
      <c r="M49" s="646">
        <f>'AX7'!AM28/1000/'AX1'!N59</f>
        <v>5.1294038010087403E-2</v>
      </c>
      <c r="N49" s="647">
        <f>'AX7'!Z28/1000/'AX1'!N59</f>
        <v>1.4248158078466135E-4</v>
      </c>
      <c r="O49" s="649">
        <f>'AX7'!AA28/1000/'AX1'!N59</f>
        <v>0</v>
      </c>
      <c r="P49" s="651">
        <f>('AX7'!AB33+'AX7'!AC33+'AX7'!AD33)/1000/'AX1'!N59</f>
        <v>1.6448929913121233E-3</v>
      </c>
      <c r="Q49" s="657">
        <f>'AX7'!AE28/1000/'AX1'!N59</f>
        <v>4.3844860152725956E-2</v>
      </c>
      <c r="R49" s="653">
        <f>SUM('AX7'!AF28:AL28)/1000/'AX1'!N59</f>
        <v>6.4009682935606792E-3</v>
      </c>
    </row>
    <row r="50" spans="2:18" s="9" customFormat="1" ht="12.75">
      <c r="B50" s="462">
        <v>2011</v>
      </c>
      <c r="C50" s="451">
        <f>'AX7'!AN29/1000/'AX1'!N60</f>
        <v>0.26457642640789603</v>
      </c>
      <c r="D50" s="452">
        <f>'AX7'!Y29/1000/'AX1'!N60</f>
        <v>0.20515895949674673</v>
      </c>
      <c r="E50" s="556">
        <f>'AX7'!C29/1000/'AX1'!N60</f>
        <v>7.1686349979271063E-2</v>
      </c>
      <c r="F50" s="218">
        <f>('AX7'!E29+'AX7'!B29)/1000/'AX1'!N60</f>
        <v>1.1780497142462E-3</v>
      </c>
      <c r="G50" s="218">
        <f>'AX7'!F29/1000/'AX1'!N60</f>
        <v>3.1286316705540045E-2</v>
      </c>
      <c r="H50" s="545">
        <f>'AX7'!D29/1000/'AX1'!N60</f>
        <v>2.727224376951695E-3</v>
      </c>
      <c r="I50" s="217">
        <f>'AX7'!G29/1000/'AX1'!N60</f>
        <v>9.5265477404999251E-3</v>
      </c>
      <c r="J50" s="533">
        <f>'AX7'!J29/1000/'AX1'!N60</f>
        <v>2.6810453117036656E-2</v>
      </c>
      <c r="K50" s="545">
        <f>(SUM('AX7'!H29:Q29)-'AX7'!J29)/1000/'AX1'!N60</f>
        <v>2.3018208936851609E-2</v>
      </c>
      <c r="L50" s="451">
        <f>SUM('AX7'!R29:X29)/1000/'AX1'!N60</f>
        <v>3.8925808926349552E-2</v>
      </c>
      <c r="M50" s="452">
        <f>'AX7'!AM29/1000/'AX1'!N60</f>
        <v>5.9417466911149276E-2</v>
      </c>
      <c r="N50" s="217">
        <f>'AX7'!Z29/1000/'AX1'!N60</f>
        <v>5.6817174519826984E-5</v>
      </c>
      <c r="O50" s="545">
        <f>'AX7'!AA29/1000/'AX1'!N60</f>
        <v>0</v>
      </c>
      <c r="P50" s="563">
        <f>('AX7'!AB34+'AX7'!AC34+'AX7'!AD34)/1000/'AX1'!N60</f>
        <v>1.4590529529086207E-2</v>
      </c>
      <c r="Q50" s="565">
        <f>'AX7'!AE29/1000/'AX1'!N60</f>
        <v>5.1162052341023778E-2</v>
      </c>
      <c r="R50" s="535">
        <f>SUM('AX7'!AF29:AL29)/1000/'AX1'!N60</f>
        <v>6.67420469199925E-3</v>
      </c>
    </row>
    <row r="51" spans="2:18" s="9" customFormat="1" ht="12.75">
      <c r="B51" s="462">
        <v>2012</v>
      </c>
      <c r="C51" s="451">
        <f>'AX7'!AN30/1000/'AX1'!N61</f>
        <v>0.25648178362130236</v>
      </c>
      <c r="D51" s="452">
        <f>'AX7'!Y30/1000/'AX1'!N61</f>
        <v>0.19989858990524151</v>
      </c>
      <c r="E51" s="556">
        <f>'AX7'!C30/1000/'AX1'!N61</f>
        <v>7.2879923850759226E-2</v>
      </c>
      <c r="F51" s="218">
        <f>('AX7'!E30+'AX7'!B30)/1000/'AX1'!N61</f>
        <v>1.3103977138991792E-3</v>
      </c>
      <c r="G51" s="218">
        <f>'AX7'!F30/1000/'AX1'!N61</f>
        <v>2.9274830202456786E-2</v>
      </c>
      <c r="H51" s="545">
        <f>'AX7'!D30/1000/'AX1'!N61</f>
        <v>2.365560813316004E-3</v>
      </c>
      <c r="I51" s="217">
        <f>'AX7'!G30/1000/'AX1'!N61</f>
        <v>9.6090031565913697E-3</v>
      </c>
      <c r="J51" s="533">
        <f>'AX7'!J30/1000/'AX1'!N61</f>
        <v>2.4873773338644007E-2</v>
      </c>
      <c r="K51" s="545">
        <f>(SUM('AX7'!H30:Q30)-'AX7'!J30)/1000/'AX1'!N61</f>
        <v>2.1775573166029787E-2</v>
      </c>
      <c r="L51" s="451">
        <f>SUM('AX7'!R30:X30)/1000/'AX1'!N61</f>
        <v>3.7809527663545159E-2</v>
      </c>
      <c r="M51" s="452">
        <f>'AX7'!AM30/1000/'AX1'!N61</f>
        <v>5.6583193716060881E-2</v>
      </c>
      <c r="N51" s="217">
        <f>'AX7'!Z30/1000/'AX1'!N61</f>
        <v>7.9470777691096752E-5</v>
      </c>
      <c r="O51" s="545">
        <f>'AX7'!AA30/1000/'AX1'!N61</f>
        <v>0</v>
      </c>
      <c r="P51" s="563">
        <f>('AX7'!AB35+'AX7'!AC35+'AX7'!AD35)/1000/'AX1'!N61</f>
        <v>8.9390122935751888E-4</v>
      </c>
      <c r="Q51" s="565">
        <f>'AX7'!AE30/1000/'AX1'!N61</f>
        <v>4.0352012470990975E-2</v>
      </c>
      <c r="R51" s="535">
        <f>SUM('AX7'!AF30:AL30)/1000/'AX1'!N61</f>
        <v>6.8223052293794805E-3</v>
      </c>
    </row>
    <row r="52" spans="2:18" s="9" customFormat="1" ht="12.75">
      <c r="B52" s="462">
        <v>2013</v>
      </c>
      <c r="C52" s="451">
        <f>'AX7'!AN31/1000/'AX1'!N62</f>
        <v>0.25219820400533394</v>
      </c>
      <c r="D52" s="452">
        <f>'AX7'!Y31/1000/'AX1'!N62</f>
        <v>0.19678223657935523</v>
      </c>
      <c r="E52" s="556">
        <f>'AX7'!C31/1000/'AX1'!N62</f>
        <v>6.6951775784947654E-2</v>
      </c>
      <c r="F52" s="218">
        <f>('AX7'!E31+'AX7'!B31)/1000/'AX1'!N62</f>
        <v>1.4311757633750661E-3</v>
      </c>
      <c r="G52" s="218">
        <f>'AX7'!F31/1000/'AX1'!N62</f>
        <v>3.0805725990294571E-2</v>
      </c>
      <c r="H52" s="545">
        <f>'AX7'!D31/1000/'AX1'!N62</f>
        <v>2.4480638057731395E-3</v>
      </c>
      <c r="I52" s="217">
        <f>'AX7'!G31/1000/'AX1'!N62</f>
        <v>1.0006045410655551E-2</v>
      </c>
      <c r="J52" s="533">
        <f>'AX7'!J31/1000/'AX1'!N62</f>
        <v>2.2993522374812642E-2</v>
      </c>
      <c r="K52" s="545">
        <f>(SUM('AX7'!H31:Q31)-'AX7'!J31)/1000/'AX1'!N62</f>
        <v>2.4696643687652554E-2</v>
      </c>
      <c r="L52" s="451">
        <f>SUM('AX7'!R31:X31)/1000/'AX1'!N62</f>
        <v>3.7449283761844074E-2</v>
      </c>
      <c r="M52" s="452">
        <f>'AX7'!AM31/1000/'AX1'!N62</f>
        <v>5.5415967425978666E-2</v>
      </c>
      <c r="N52" s="217">
        <f>'AX7'!Z31/1000/'AX1'!N62</f>
        <v>2.1489790874207649E-4</v>
      </c>
      <c r="O52" s="545">
        <f>'AX7'!AA31/1000/'AX1'!N62</f>
        <v>0</v>
      </c>
      <c r="P52" s="563">
        <f>('AX7'!AB36+'AX7'!AC36+'AX7'!AD36)/1000/'AX1'!N62</f>
        <v>5.7845199971707393E-3</v>
      </c>
      <c r="Q52" s="565">
        <f>'AX7'!AE31/1000/'AX1'!N62</f>
        <v>4.666552397181354E-2</v>
      </c>
      <c r="R52" s="535">
        <f>SUM('AX7'!AF31:AL31)/1000/'AX1'!N62</f>
        <v>6.8639942861869951E-3</v>
      </c>
    </row>
    <row r="53" spans="2:18" s="9" customFormat="1" ht="12.75">
      <c r="B53" s="462">
        <v>2014</v>
      </c>
      <c r="C53" s="451">
        <f>'AX7'!AN32/1000/'AX1'!N63</f>
        <v>0.2517953136924016</v>
      </c>
      <c r="D53" s="452">
        <f>'AX7'!Y32/1000/'AX1'!N63</f>
        <v>0.20722240697958197</v>
      </c>
      <c r="E53" s="556">
        <f>'AX7'!C32/1000/'AX1'!N63</f>
        <v>7.2512114046805909E-2</v>
      </c>
      <c r="F53" s="218">
        <f>('AX7'!E32+'AX7'!B32)/1000/'AX1'!N63</f>
        <v>1.5460119058344581E-3</v>
      </c>
      <c r="G53" s="218">
        <f>'AX7'!F32/1000/'AX1'!N63</f>
        <v>3.1218499004953243E-2</v>
      </c>
      <c r="H53" s="545">
        <f>'AX7'!D32/1000/'AX1'!N63</f>
        <v>2.5339024669631116E-3</v>
      </c>
      <c r="I53" s="217">
        <f>'AX7'!G32/1000/'AX1'!N63</f>
        <v>1.0246602896818445E-2</v>
      </c>
      <c r="J53" s="533">
        <f>'AX7'!J32/1000/'AX1'!N63</f>
        <v>3.9370963284171494E-2</v>
      </c>
      <c r="K53" s="545">
        <f>(SUM('AX7'!H32:Q32)-'AX7'!J32)/1000/'AX1'!N63</f>
        <v>2.8707742003746074E-2</v>
      </c>
      <c r="L53" s="451">
        <f>SUM('AX7'!R32:X32)/1000/'AX1'!N63</f>
        <v>2.1086571370289242E-2</v>
      </c>
      <c r="M53" s="452">
        <f>'AX7'!AM32/1000/'AX1'!N63</f>
        <v>4.4572906712819653E-2</v>
      </c>
      <c r="N53" s="217">
        <f>'AX7'!Z32/1000/'AX1'!N63</f>
        <v>9.3633929649041683E-5</v>
      </c>
      <c r="O53" s="545">
        <f>'AX7'!AA32/1000/'AX1'!N63</f>
        <v>0</v>
      </c>
      <c r="P53" s="563">
        <f>('AX7'!AB37+'AX7'!AC37+'AX7'!AD37)/1000/'AX1'!N63</f>
        <v>0</v>
      </c>
      <c r="Q53" s="565">
        <f>'AX7'!AE32/1000/'AX1'!N63</f>
        <v>4.0927495856258649E-2</v>
      </c>
      <c r="R53" s="535">
        <f>SUM('AX7'!AF32:AL32)/1000/'AX1'!N63</f>
        <v>2.6843479943767399E-3</v>
      </c>
    </row>
    <row r="54" spans="2:18" s="9" customFormat="1" ht="12.75">
      <c r="B54" s="462">
        <v>2015</v>
      </c>
      <c r="C54" s="451">
        <f>'AX7'!AN33/1000/'AX1'!N64</f>
        <v>0.225407004978742</v>
      </c>
      <c r="D54" s="452">
        <f>'AX7'!Y33/1000/'AX1'!N64</f>
        <v>0.19110810592623981</v>
      </c>
      <c r="E54" s="556">
        <f>'AX7'!C33/1000/'AX1'!N64</f>
        <v>7.0239236472219441E-2</v>
      </c>
      <c r="F54" s="218">
        <f>('AX7'!E33+'AX7'!B33)/1000/'AX1'!N64</f>
        <v>1.5016881980197388E-3</v>
      </c>
      <c r="G54" s="218">
        <f>'AX7'!F33/1000/'AX1'!N64</f>
        <v>2.8985888139761922E-2</v>
      </c>
      <c r="H54" s="545">
        <f>'AX7'!D33/1000/'AX1'!N64</f>
        <v>2.3992950195178614E-3</v>
      </c>
      <c r="I54" s="217">
        <f>'AX7'!G33/1000/'AX1'!N64</f>
        <v>1.0081547151949059E-2</v>
      </c>
      <c r="J54" s="533">
        <f>'AX7'!J33/1000/'AX1'!N64</f>
        <v>3.1396202885882997E-2</v>
      </c>
      <c r="K54" s="545">
        <f>(SUM('AX7'!H33:Q33)-'AX7'!J33)/1000/'AX1'!N64</f>
        <v>2.7989103778834876E-2</v>
      </c>
      <c r="L54" s="451">
        <f>SUM('AX7'!R33:X33)/1000/'AX1'!N64</f>
        <v>1.8515144280053908E-2</v>
      </c>
      <c r="M54" s="452">
        <f>'AX7'!AM33/1000/'AX1'!N64</f>
        <v>3.4298899052502198E-2</v>
      </c>
      <c r="N54" s="217">
        <f>'AX7'!Z33/1000/'AX1'!N64</f>
        <v>1.5026899913473035E-5</v>
      </c>
      <c r="O54" s="545">
        <f>'AX7'!AA33/1000/'AX1'!N64</f>
        <v>0</v>
      </c>
      <c r="P54" s="563">
        <f>('AX7'!AB38+'AX7'!AC38+'AX7'!AD38)/1000/'AX1'!N64</f>
        <v>0</v>
      </c>
      <c r="Q54" s="565">
        <f>'AX7'!AE33/1000/'AX1'!N64</f>
        <v>3.0501100547703785E-2</v>
      </c>
      <c r="R54" s="535">
        <f>SUM('AX7'!AF33:AL33)/1000/'AX1'!N64</f>
        <v>2.5510667086439389E-3</v>
      </c>
    </row>
    <row r="55" spans="2:18" s="9" customFormat="1" ht="12.75">
      <c r="B55" s="462">
        <v>2016</v>
      </c>
      <c r="C55" s="451">
        <f>'AX7'!AN34/1000/'AX1'!N65</f>
        <v>0.27408054968718265</v>
      </c>
      <c r="D55" s="452">
        <f>'AX7'!Y34/1000/'AX1'!N65</f>
        <v>0.19689694111754985</v>
      </c>
      <c r="E55" s="556">
        <f>'AX7'!C34/1000/'AX1'!N65</f>
        <v>6.6586685564282669E-2</v>
      </c>
      <c r="F55" s="218">
        <f>('AX7'!E34+'AX7'!B34)/1000/'AX1'!N65</f>
        <v>1.6125648438124732E-3</v>
      </c>
      <c r="G55" s="218">
        <f>'AX7'!F34/1000/'AX1'!N65</f>
        <v>2.8251925645880627E-2</v>
      </c>
      <c r="H55" s="545">
        <f>'AX7'!D34/1000/'AX1'!N65</f>
        <v>2.4963192422008036E-3</v>
      </c>
      <c r="I55" s="217">
        <f>'AX7'!G34/1000/'AX1'!N65</f>
        <v>1.0099572045218157E-2</v>
      </c>
      <c r="J55" s="533">
        <f>'AX7'!J34/1000/'AX1'!N65</f>
        <v>2.9601468347315623E-2</v>
      </c>
      <c r="K55" s="545">
        <f>(SUM('AX7'!H34:Q34)-'AX7'!J34)/1000/'AX1'!N65</f>
        <v>2.7665625379417375E-2</v>
      </c>
      <c r="L55" s="451">
        <f>SUM('AX7'!R34:X34)/1000/'AX1'!N65</f>
        <v>3.0582780049422147E-2</v>
      </c>
      <c r="M55" s="452">
        <f>'AX7'!AM34/1000/'AX1'!N65</f>
        <v>7.7183608569632772E-2</v>
      </c>
      <c r="N55" s="217">
        <f>'AX7'!Z34/1000/'AX1'!N65</f>
        <v>9.0862194639492862E-6</v>
      </c>
      <c r="O55" s="545">
        <f>'AX7'!AA34/1000/'AX1'!N65</f>
        <v>6.7429312864044697E-5</v>
      </c>
      <c r="P55" s="563">
        <f>('AX7'!AB39+'AX7'!AC39+'AX7'!AD39)/1000/'AX1'!N65</f>
        <v>0</v>
      </c>
      <c r="Q55" s="565">
        <f>'AX7'!AE34/1000/'AX1'!N65</f>
        <v>6.1198079200083688E-2</v>
      </c>
      <c r="R55" s="535">
        <f>SUM('AX7'!AF34:AL34)/1000/'AX1'!N65</f>
        <v>4.3652111193120567E-3</v>
      </c>
    </row>
    <row r="56" spans="2:18">
      <c r="B56" s="462">
        <v>2017</v>
      </c>
      <c r="C56" s="451">
        <f>'AX7'!AN35/1000/'AX1'!N66</f>
        <v>0.25969338102805128</v>
      </c>
      <c r="D56" s="452">
        <f>'AX7'!Y35/1000/'AX1'!N66</f>
        <v>0.18550293333666587</v>
      </c>
      <c r="E56" s="556">
        <f>'AX7'!C35/1000/'AX1'!N66</f>
        <v>5.8278788295958346E-2</v>
      </c>
      <c r="F56" s="218">
        <f>('AX7'!E35+'AX7'!B35)/1000/'AX1'!N66</f>
        <v>1.4446100793994564E-3</v>
      </c>
      <c r="G56" s="218">
        <f>'AX7'!F35/1000/'AX1'!N66</f>
        <v>2.5489742639380374E-2</v>
      </c>
      <c r="H56" s="545">
        <f>'AX7'!D35/1000/'AX1'!N66</f>
        <v>2.2381400940115707E-3</v>
      </c>
      <c r="I56" s="217">
        <f>'AX7'!G35/1000/'AX1'!N66</f>
        <v>9.2001719064769907E-3</v>
      </c>
      <c r="J56" s="533">
        <f>'AX7'!J35/1000/'AX1'!N66</f>
        <v>3.9874673749038421E-2</v>
      </c>
      <c r="K56" s="545">
        <f>(SUM('AX7'!H35:Q35)-'AX7'!J35)/1000/'AX1'!N66</f>
        <v>2.3306068702654746E-2</v>
      </c>
      <c r="L56" s="451">
        <f>SUM('AX7'!R35:X35)/1000/'AX1'!N66</f>
        <v>2.5670737869745969E-2</v>
      </c>
      <c r="M56" s="452">
        <f>'AX7'!AM35/1000/'AX1'!N66</f>
        <v>7.4190447691385428E-2</v>
      </c>
      <c r="N56" s="217">
        <f>'AX7'!Z35/1000/'AX1'!N66</f>
        <v>1.2988083660493953E-5</v>
      </c>
      <c r="O56" s="545">
        <f>'AX7'!AA35/1000/'AX1'!N66</f>
        <v>0</v>
      </c>
      <c r="P56" s="563">
        <f>('AX7'!AB40+'AX7'!AC40+'AX7'!AD40)/1000/'AX1'!N66</f>
        <v>0</v>
      </c>
      <c r="Q56" s="565">
        <f>'AX7'!AE35/1000/'AX1'!N66</f>
        <v>6.905093729579577E-2</v>
      </c>
      <c r="R56" s="535">
        <f>SUM('AX7'!AF35:AL35)/1000/'AX1'!N66</f>
        <v>4.4808888628704137E-3</v>
      </c>
    </row>
    <row r="57" spans="2:18" ht="16.5" thickBot="1">
      <c r="B57" s="464">
        <v>2018</v>
      </c>
      <c r="C57" s="465">
        <f>'AX7'!AN36/1000/'AX1'!N67</f>
        <v>0.23654750758294202</v>
      </c>
      <c r="D57" s="466">
        <f>'AX7'!Y36/1000/'AX1'!N67</f>
        <v>0.1792236084924281</v>
      </c>
      <c r="E57" s="557">
        <f>'AX7'!C36/1000/'AX1'!N67</f>
        <v>6.5715638637302315E-2</v>
      </c>
      <c r="F57" s="309">
        <f>('AX7'!E36+'AX7'!B36)/1000/'AX1'!N67</f>
        <v>1.4293210564253007E-3</v>
      </c>
      <c r="G57" s="309">
        <f>'AX7'!F36/1000/'AX1'!N67</f>
        <v>2.3721838923773768E-2</v>
      </c>
      <c r="H57" s="546">
        <f>'AX7'!D36/1000/'AX1'!N67</f>
        <v>2.3518326323024468E-3</v>
      </c>
      <c r="I57" s="278">
        <f>'AX7'!G36/1000/'AX1'!N67</f>
        <v>8.7534082578099113E-3</v>
      </c>
      <c r="J57" s="536">
        <f>'AX7'!J36/1000/'AX1'!N67</f>
        <v>3.1544058711876134E-2</v>
      </c>
      <c r="K57" s="546">
        <f>(SUM('AX7'!H36:Q36)-'AX7'!J36)/1000/'AX1'!N67</f>
        <v>2.0369008266855591E-2</v>
      </c>
      <c r="L57" s="465">
        <f>SUM('AX7'!R36:X36)/1000/'AX1'!N67</f>
        <v>2.533850200608263E-2</v>
      </c>
      <c r="M57" s="466">
        <f>'AX7'!AM36/1000/'AX1'!N67</f>
        <v>5.732389909051392E-2</v>
      </c>
      <c r="N57" s="278">
        <f>'AX7'!Z36/1000/'AX1'!N67</f>
        <v>3.5101979586603682E-5</v>
      </c>
      <c r="O57" s="546">
        <f>'AX7'!AA36/1000/'AX1'!N67</f>
        <v>0</v>
      </c>
      <c r="P57" s="564">
        <f>('AX7'!AB41+'AX7'!AC41+'AX7'!AD41)/1000/'AX1'!N67</f>
        <v>0</v>
      </c>
      <c r="Q57" s="566">
        <f>'AX7'!AE36/1000/'AX1'!N67</f>
        <v>4.6090476814270712E-2</v>
      </c>
      <c r="R57" s="537">
        <f>SUM('AX7'!AF36:AL36)/1000/'AX1'!N67</f>
        <v>7.0791621528084221E-3</v>
      </c>
    </row>
    <row r="58" spans="2:18" ht="16.5" thickTop="1"/>
  </sheetData>
  <mergeCells count="10">
    <mergeCell ref="I4:K4"/>
    <mergeCell ref="D4:D5"/>
    <mergeCell ref="M4:M5"/>
    <mergeCell ref="N4:O4"/>
    <mergeCell ref="B2:R2"/>
    <mergeCell ref="D3:L3"/>
    <mergeCell ref="M3:R3"/>
    <mergeCell ref="C3:C4"/>
    <mergeCell ref="E4:H4"/>
    <mergeCell ref="Q4:R4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D575-6176-48E5-BBD5-3C0CC2559AFC}">
  <sheetPr>
    <tabColor theme="5" tint="0.39997558519241921"/>
  </sheetPr>
  <dimension ref="A1:W52"/>
  <sheetViews>
    <sheetView workbookViewId="0">
      <pane xSplit="1" ySplit="7" topLeftCell="B17" activePane="bottomRight" state="frozen"/>
      <selection activeCell="A2" sqref="A2:S2"/>
      <selection pane="topRight" activeCell="A2" sqref="A2:S2"/>
      <selection pane="bottomLeft" activeCell="A2" sqref="A2:S2"/>
      <selection pane="bottomRight" activeCell="S9" sqref="S9"/>
    </sheetView>
  </sheetViews>
  <sheetFormatPr defaultColWidth="9" defaultRowHeight="15"/>
  <cols>
    <col min="1" max="3" width="8.625" style="183" customWidth="1"/>
    <col min="4" max="12" width="8.625" style="184" customWidth="1"/>
    <col min="13" max="22" width="9" style="164"/>
    <col min="23" max="23" width="14.125" style="164" bestFit="1" customWidth="1"/>
    <col min="24" max="16384" width="9" style="164"/>
  </cols>
  <sheetData>
    <row r="1" spans="1:23" ht="15.75" thickBot="1">
      <c r="A1" s="162"/>
      <c r="B1" s="162"/>
      <c r="C1" s="162"/>
      <c r="D1" s="163"/>
      <c r="E1" s="163"/>
      <c r="F1" s="163"/>
      <c r="G1" s="163"/>
      <c r="H1" s="163"/>
      <c r="I1" s="163"/>
      <c r="J1" s="163"/>
      <c r="K1" s="163"/>
      <c r="L1" s="163"/>
    </row>
    <row r="2" spans="1:23" s="165" customFormat="1" ht="45" customHeight="1" thickTop="1" thickBot="1">
      <c r="A2" s="1081" t="s">
        <v>1315</v>
      </c>
      <c r="B2" s="1082"/>
      <c r="C2" s="1082"/>
      <c r="D2" s="1082"/>
      <c r="E2" s="1082"/>
      <c r="F2" s="1082"/>
      <c r="G2" s="1082"/>
      <c r="H2" s="1082"/>
      <c r="I2" s="1082"/>
      <c r="J2" s="1082"/>
      <c r="K2" s="1082"/>
      <c r="L2" s="1082"/>
      <c r="M2" s="1082"/>
      <c r="N2" s="1082"/>
      <c r="O2" s="1082"/>
      <c r="P2" s="1082"/>
      <c r="Q2" s="1082"/>
      <c r="R2" s="1083"/>
    </row>
    <row r="3" spans="1:23" s="171" customFormat="1" ht="12.75">
      <c r="A3" s="166"/>
      <c r="B3" s="167" t="s">
        <v>1157</v>
      </c>
      <c r="C3" s="167" t="s">
        <v>1201</v>
      </c>
      <c r="D3" s="287" t="s">
        <v>1159</v>
      </c>
      <c r="E3" s="167" t="s">
        <v>1160</v>
      </c>
      <c r="F3" s="167" t="s">
        <v>1161</v>
      </c>
      <c r="G3" s="167" t="s">
        <v>1162</v>
      </c>
      <c r="H3" s="167" t="s">
        <v>1163</v>
      </c>
      <c r="I3" s="167" t="s">
        <v>1164</v>
      </c>
      <c r="J3" s="167" t="s">
        <v>1165</v>
      </c>
      <c r="K3" s="167" t="s">
        <v>1166</v>
      </c>
      <c r="L3" s="288" t="s">
        <v>1167</v>
      </c>
      <c r="M3" s="167" t="s">
        <v>1168</v>
      </c>
      <c r="N3" s="167" t="s">
        <v>1169</v>
      </c>
      <c r="O3" s="167" t="s">
        <v>1170</v>
      </c>
      <c r="P3" s="167" t="s">
        <v>1171</v>
      </c>
      <c r="Q3" s="167" t="s">
        <v>1172</v>
      </c>
      <c r="R3" s="288" t="s">
        <v>1173</v>
      </c>
    </row>
    <row r="4" spans="1:23" s="171" customFormat="1" ht="15.75" customHeight="1">
      <c r="A4" s="166"/>
      <c r="B4" s="1092" t="s">
        <v>1219</v>
      </c>
      <c r="C4" s="1095" t="s">
        <v>1219</v>
      </c>
      <c r="D4" s="1091" t="s">
        <v>1266</v>
      </c>
      <c r="E4" s="1084"/>
      <c r="F4" s="1084"/>
      <c r="G4" s="1084"/>
      <c r="H4" s="1084"/>
      <c r="I4" s="1084"/>
      <c r="J4" s="1084"/>
      <c r="K4" s="1084"/>
      <c r="L4" s="221"/>
      <c r="M4" s="1084" t="s">
        <v>1436</v>
      </c>
      <c r="N4" s="1085"/>
      <c r="O4" s="1085"/>
      <c r="P4" s="1085"/>
      <c r="Q4" s="1085"/>
      <c r="R4" s="1086"/>
    </row>
    <row r="5" spans="1:23" s="175" customFormat="1" ht="60" customHeight="1">
      <c r="A5" s="179" t="s">
        <v>1191</v>
      </c>
      <c r="B5" s="1092"/>
      <c r="C5" s="1095"/>
      <c r="D5" s="363" t="s">
        <v>1249</v>
      </c>
      <c r="E5" s="359" t="s">
        <v>1225</v>
      </c>
      <c r="F5" s="1093" t="s">
        <v>1310</v>
      </c>
      <c r="G5" s="1088"/>
      <c r="H5" s="1088" t="s">
        <v>1311</v>
      </c>
      <c r="I5" s="1094"/>
      <c r="J5" s="358" t="s">
        <v>1222</v>
      </c>
      <c r="K5" s="358" t="s">
        <v>1223</v>
      </c>
      <c r="L5" s="725" t="s">
        <v>1484</v>
      </c>
      <c r="M5" s="1087" t="s">
        <v>1312</v>
      </c>
      <c r="N5" s="1088"/>
      <c r="O5" s="1089" t="s">
        <v>1221</v>
      </c>
      <c r="P5" s="1090"/>
      <c r="Q5" s="358" t="s">
        <v>1314</v>
      </c>
      <c r="R5" s="362" t="s">
        <v>1313</v>
      </c>
    </row>
    <row r="6" spans="1:23" s="175" customFormat="1" ht="49.9" customHeight="1">
      <c r="A6" s="176" t="s">
        <v>1224</v>
      </c>
      <c r="B6" s="206" t="s">
        <v>1227</v>
      </c>
      <c r="C6" s="768" t="s">
        <v>1506</v>
      </c>
      <c r="D6" s="352" t="s">
        <v>1227</v>
      </c>
      <c r="E6" s="353" t="s">
        <v>1254</v>
      </c>
      <c r="F6" s="206" t="s">
        <v>1262</v>
      </c>
      <c r="G6" s="205" t="s">
        <v>1261</v>
      </c>
      <c r="H6" s="205" t="s">
        <v>1262</v>
      </c>
      <c r="I6" s="272" t="s">
        <v>1261</v>
      </c>
      <c r="J6" s="353" t="s">
        <v>1199</v>
      </c>
      <c r="K6" s="353" t="s">
        <v>1199</v>
      </c>
      <c r="L6" s="737"/>
      <c r="M6" s="301" t="s">
        <v>1262</v>
      </c>
      <c r="N6" s="205" t="s">
        <v>1261</v>
      </c>
      <c r="O6" s="205" t="s">
        <v>1262</v>
      </c>
      <c r="P6" s="272" t="s">
        <v>1261</v>
      </c>
      <c r="Q6" s="353" t="s">
        <v>1199</v>
      </c>
      <c r="R6" s="354" t="s">
        <v>1199</v>
      </c>
    </row>
    <row r="7" spans="1:23" s="182" customFormat="1" ht="18.75" customHeight="1">
      <c r="A7" s="179" t="s">
        <v>1200</v>
      </c>
      <c r="B7" s="356"/>
      <c r="C7" s="254"/>
      <c r="D7" s="363" t="s">
        <v>1226</v>
      </c>
      <c r="E7" s="358"/>
      <c r="F7" s="357"/>
      <c r="G7" s="358"/>
      <c r="H7" s="358"/>
      <c r="I7" s="359"/>
      <c r="J7" s="358"/>
      <c r="K7" s="358"/>
      <c r="L7" s="725"/>
      <c r="M7" s="299"/>
      <c r="N7" s="296"/>
      <c r="O7" s="296"/>
      <c r="P7" s="477"/>
      <c r="Q7" s="296"/>
      <c r="R7" s="297"/>
    </row>
    <row r="8" spans="1:23" s="182" customFormat="1" ht="12.75">
      <c r="A8" s="207">
        <v>1980</v>
      </c>
      <c r="B8" s="208">
        <f>'AX1'!N29</f>
        <v>117.95515034006232</v>
      </c>
      <c r="C8" s="689">
        <f>B8/'AX1'!FU29</f>
        <v>561.63966079350769</v>
      </c>
      <c r="D8" s="209">
        <f>'AX1'!Q29</f>
        <v>65.534999999999997</v>
      </c>
      <c r="E8" s="210">
        <f t="shared" ref="E8:E47" si="0">D8/B8</f>
        <v>0.55559252657526115</v>
      </c>
      <c r="F8" s="357"/>
      <c r="G8" s="358"/>
      <c r="H8" s="358"/>
      <c r="I8" s="359"/>
      <c r="J8" s="358"/>
      <c r="K8" s="358"/>
      <c r="L8" s="725"/>
      <c r="M8" s="299"/>
      <c r="N8" s="296"/>
      <c r="O8" s="296"/>
      <c r="P8" s="477"/>
      <c r="Q8" s="296"/>
      <c r="R8" s="297"/>
      <c r="S8" s="643"/>
    </row>
    <row r="9" spans="1:23" s="182" customFormat="1" ht="12.75">
      <c r="A9" s="207">
        <v>1981</v>
      </c>
      <c r="B9" s="208">
        <f>'AX1'!N30</f>
        <v>145.1914096462969</v>
      </c>
      <c r="C9" s="689">
        <f>B9/'AX1'!FU30</f>
        <v>610.15661219779827</v>
      </c>
      <c r="D9" s="209">
        <f>'AX1'!Q30</f>
        <v>80.284000000000006</v>
      </c>
      <c r="E9" s="210">
        <f t="shared" si="0"/>
        <v>0.55295282410702629</v>
      </c>
      <c r="F9" s="357">
        <f>'[4]1981'!$C$7*'AX3'!E5/1000/1000/1000</f>
        <v>42.664681031835933</v>
      </c>
      <c r="G9" s="358">
        <f>F9/'AX1'!FU30</f>
        <v>179.29529923500283</v>
      </c>
      <c r="H9" s="358">
        <f>'[4]1981'!$C$10*'AX3'!E5/1000/1000/1000</f>
        <v>52.332325966406252</v>
      </c>
      <c r="I9" s="359">
        <f>H9/'AX1'!FU30</f>
        <v>219.92289211793397</v>
      </c>
      <c r="J9" s="210">
        <f>F9/D9</f>
        <v>0.53142196492247429</v>
      </c>
      <c r="K9" s="210">
        <f>H9/D9</f>
        <v>0.65184004242945359</v>
      </c>
      <c r="L9" s="210">
        <f>K9*E9</f>
        <v>0.36043679232741022</v>
      </c>
      <c r="M9" s="363">
        <f>'[4]1981'!$B$7*'AX3'!E5/1000/1000/1000</f>
        <v>57.918640492968755</v>
      </c>
      <c r="N9" s="358">
        <f>M9/'AX1'!FU30</f>
        <v>243.39898312429784</v>
      </c>
      <c r="O9" s="358">
        <f>'[4]1981'!$B$13*'AX3'!E5/1000/1000/1000</f>
        <v>84.716759647265633</v>
      </c>
      <c r="P9" s="359">
        <f>O9/'AX1'!FU30</f>
        <v>356.01618021806365</v>
      </c>
      <c r="Q9" s="475">
        <f>M9/B9</f>
        <v>0.39891230916529619</v>
      </c>
      <c r="R9" s="476">
        <f>O9/B9</f>
        <v>0.58348327806476619</v>
      </c>
      <c r="S9" s="643"/>
      <c r="T9" s="643"/>
    </row>
    <row r="10" spans="1:23" s="182" customFormat="1" ht="12.75">
      <c r="A10" s="207">
        <v>1982</v>
      </c>
      <c r="B10" s="208">
        <f>'AX1'!N31</f>
        <v>160.46207993583536</v>
      </c>
      <c r="C10" s="689">
        <f>B10/'AX1'!FU31</f>
        <v>610.10856766812128</v>
      </c>
      <c r="D10" s="209">
        <f>'AX1'!Q31</f>
        <v>93.497</v>
      </c>
      <c r="E10" s="210">
        <f t="shared" si="0"/>
        <v>0.58267348919686845</v>
      </c>
      <c r="F10" s="357"/>
      <c r="G10" s="358"/>
      <c r="H10" s="358"/>
      <c r="I10" s="359"/>
      <c r="J10" s="358"/>
      <c r="K10" s="358"/>
      <c r="L10" s="725"/>
      <c r="M10" s="363"/>
      <c r="N10" s="296"/>
      <c r="O10" s="358"/>
      <c r="P10" s="477"/>
      <c r="Q10" s="296"/>
      <c r="R10" s="297"/>
      <c r="S10" s="643"/>
    </row>
    <row r="11" spans="1:23" s="182" customFormat="1" ht="12.75">
      <c r="A11" s="207">
        <v>1983</v>
      </c>
      <c r="B11" s="208">
        <f>'AX1'!N32</f>
        <v>176.34697627204031</v>
      </c>
      <c r="C11" s="689">
        <f>B11/'AX1'!FU32</f>
        <v>606.1197396370128</v>
      </c>
      <c r="D11" s="209">
        <f>'AX1'!Q32</f>
        <v>105.503</v>
      </c>
      <c r="E11" s="210">
        <f t="shared" si="0"/>
        <v>0.5982694017800827</v>
      </c>
      <c r="F11" s="357"/>
      <c r="G11" s="358"/>
      <c r="H11" s="358"/>
      <c r="I11" s="359"/>
      <c r="J11" s="358"/>
      <c r="K11" s="358"/>
      <c r="L11" s="725"/>
      <c r="M11" s="363"/>
      <c r="N11" s="296"/>
      <c r="O11" s="358"/>
      <c r="P11" s="477"/>
      <c r="Q11" s="296"/>
      <c r="R11" s="297"/>
      <c r="S11" s="643"/>
      <c r="W11" s="735"/>
    </row>
    <row r="12" spans="1:23" s="182" customFormat="1" ht="12.75">
      <c r="A12" s="207">
        <v>1984</v>
      </c>
      <c r="B12" s="208">
        <f>'AX1'!N33</f>
        <v>209.93848647066483</v>
      </c>
      <c r="C12" s="689">
        <f>B12/'AX1'!FU33</f>
        <v>685.27090866839649</v>
      </c>
      <c r="D12" s="209">
        <f>'AX1'!Q33</f>
        <v>124.21299999999999</v>
      </c>
      <c r="E12" s="210">
        <f t="shared" si="0"/>
        <v>0.59166378727492897</v>
      </c>
      <c r="F12" s="273"/>
      <c r="G12" s="256"/>
      <c r="H12" s="256"/>
      <c r="I12" s="274"/>
      <c r="J12" s="256"/>
      <c r="K12" s="256"/>
      <c r="L12" s="256"/>
      <c r="M12" s="302"/>
      <c r="N12" s="296"/>
      <c r="O12" s="256"/>
      <c r="P12" s="477"/>
      <c r="Q12" s="296"/>
      <c r="R12" s="297"/>
      <c r="S12" s="643"/>
      <c r="W12" s="735"/>
    </row>
    <row r="13" spans="1:23" s="182" customFormat="1" ht="12.75">
      <c r="A13" s="207">
        <v>1985</v>
      </c>
      <c r="B13" s="208">
        <f>'AX1'!N34</f>
        <v>220.21891335739065</v>
      </c>
      <c r="C13" s="689">
        <f>B13/'AX1'!FU34</f>
        <v>696.91229288101067</v>
      </c>
      <c r="D13" s="209">
        <f>'AX1'!Q34</f>
        <v>137.62799999999999</v>
      </c>
      <c r="E13" s="210">
        <f t="shared" si="0"/>
        <v>0.62495994509175123</v>
      </c>
      <c r="F13" s="273"/>
      <c r="G13" s="256"/>
      <c r="H13" s="256"/>
      <c r="I13" s="274"/>
      <c r="J13" s="256"/>
      <c r="K13" s="256"/>
      <c r="L13" s="256"/>
      <c r="M13" s="302"/>
      <c r="N13" s="296"/>
      <c r="O13" s="256"/>
      <c r="P13" s="477"/>
      <c r="Q13" s="296"/>
      <c r="R13" s="297"/>
      <c r="S13" s="643"/>
      <c r="W13" s="735"/>
    </row>
    <row r="14" spans="1:23" s="182" customFormat="1" ht="12.75">
      <c r="A14" s="207">
        <v>1986</v>
      </c>
      <c r="B14" s="208">
        <f>'AX1'!N35</f>
        <v>258.85560837117146</v>
      </c>
      <c r="C14" s="689">
        <f>B14/'AX1'!FU35</f>
        <v>785.64947803881853</v>
      </c>
      <c r="D14" s="209">
        <f>'AX1'!Q35</f>
        <v>155.95400000000001</v>
      </c>
      <c r="E14" s="210">
        <f t="shared" si="0"/>
        <v>0.6024748738546879</v>
      </c>
      <c r="F14" s="357">
        <f>'[4]1986'!$C$7*'AX3'!E10/1000/1000/1000</f>
        <v>91.360432923046872</v>
      </c>
      <c r="G14" s="358">
        <f>F14/'AX1'!FU35</f>
        <v>277.28692799451062</v>
      </c>
      <c r="H14" s="358">
        <f>'[4]1986'!$C$10*'AX3'!E10/1000/1000/1000</f>
        <v>112.75055391269532</v>
      </c>
      <c r="I14" s="359">
        <f>H14/'AX1'!FU35</f>
        <v>342.2078215244963</v>
      </c>
      <c r="J14" s="210">
        <f>F14/D14</f>
        <v>0.58581654156383844</v>
      </c>
      <c r="K14" s="210">
        <f>H14/D14</f>
        <v>0.72297314536783486</v>
      </c>
      <c r="L14" s="210">
        <f>K14*E14</f>
        <v>0.43557315455581325</v>
      </c>
      <c r="M14" s="363">
        <f>'[4]1986'!$B$7*'AX3'!E10/1000/1000/1000</f>
        <v>125.76755665019532</v>
      </c>
      <c r="N14" s="358">
        <f>M14/'AX1'!FU35</f>
        <v>381.71556667515415</v>
      </c>
      <c r="O14" s="358">
        <f>'[4]1986'!$B$13*'AX3'!E10/1000/1000/1000</f>
        <v>154.66824029179685</v>
      </c>
      <c r="P14" s="359">
        <f>O14/'AX1'!FU35</f>
        <v>469.43167667510261</v>
      </c>
      <c r="Q14" s="475">
        <f>M14/B14</f>
        <v>0.48585988706822991</v>
      </c>
      <c r="R14" s="476">
        <f>O14/B14</f>
        <v>0.59750778151972284</v>
      </c>
      <c r="S14" s="741"/>
      <c r="T14" s="643"/>
      <c r="V14" s="643"/>
      <c r="W14" s="735"/>
    </row>
    <row r="15" spans="1:23" s="182" customFormat="1" ht="12.75">
      <c r="A15" s="207">
        <v>1987</v>
      </c>
      <c r="B15" s="208">
        <f>'AX1'!N36</f>
        <v>323.94258731765353</v>
      </c>
      <c r="C15" s="689">
        <f>B15/'AX1'!FU36</f>
        <v>913.72936314055528</v>
      </c>
      <c r="D15" s="209">
        <f>'AX1'!Q36</f>
        <v>184.56899999999999</v>
      </c>
      <c r="E15" s="210">
        <f t="shared" si="0"/>
        <v>0.56975836838338956</v>
      </c>
      <c r="F15" s="273"/>
      <c r="G15" s="211">
        <f>(G14/G9)^(1/5)-1</f>
        <v>9.1118950359873052E-2</v>
      </c>
      <c r="H15" s="304">
        <f>H14+(H$19-H$14)/5</f>
        <v>135.10380579760937</v>
      </c>
      <c r="I15" s="279">
        <f>(I14/I9)^(1/5)-1</f>
        <v>9.2455860243595867E-2</v>
      </c>
      <c r="J15" s="256"/>
      <c r="K15" s="256"/>
      <c r="L15" s="256"/>
      <c r="M15" s="302"/>
      <c r="N15" s="296"/>
      <c r="O15" s="256"/>
      <c r="P15" s="477"/>
      <c r="Q15" s="296"/>
      <c r="R15" s="297"/>
      <c r="S15" s="643"/>
      <c r="W15" s="735"/>
    </row>
    <row r="16" spans="1:23" s="182" customFormat="1" ht="12.75">
      <c r="A16" s="207">
        <v>1988</v>
      </c>
      <c r="B16" s="208">
        <f>'AX1'!N37</f>
        <v>387.57464117583015</v>
      </c>
      <c r="C16" s="689">
        <f>B16/'AX1'!FU37</f>
        <v>1010.8102450766626</v>
      </c>
      <c r="D16" s="209">
        <f>'AX1'!Q37</f>
        <v>216.828</v>
      </c>
      <c r="E16" s="210">
        <f t="shared" si="0"/>
        <v>0.55944836675119858</v>
      </c>
      <c r="F16" s="273"/>
      <c r="G16" s="256"/>
      <c r="H16" s="304">
        <f>H15+(H$19-H$14)/5</f>
        <v>157.45705768252341</v>
      </c>
      <c r="I16" s="274"/>
      <c r="J16" s="256"/>
      <c r="K16" s="256"/>
      <c r="L16" s="256"/>
      <c r="M16" s="302"/>
      <c r="N16" s="296"/>
      <c r="O16" s="256"/>
      <c r="P16" s="477"/>
      <c r="Q16" s="296"/>
      <c r="R16" s="297"/>
      <c r="S16" s="643"/>
      <c r="W16" s="735"/>
    </row>
    <row r="17" spans="1:23" s="182" customFormat="1" ht="12.75">
      <c r="A17" s="207">
        <v>1989</v>
      </c>
      <c r="B17" s="208">
        <f>'AX1'!N38</f>
        <v>437.62934397620313</v>
      </c>
      <c r="C17" s="689">
        <f>B17/'AX1'!FU38</f>
        <v>1037.1215959983992</v>
      </c>
      <c r="D17" s="209">
        <f>'AX1'!Q38</f>
        <v>252.49799999999999</v>
      </c>
      <c r="E17" s="210">
        <f t="shared" si="0"/>
        <v>0.57696770903399475</v>
      </c>
      <c r="F17" s="273"/>
      <c r="G17" s="256"/>
      <c r="H17" s="304">
        <f>H16+(H$19-H$14)/5</f>
        <v>179.81030956743746</v>
      </c>
      <c r="I17" s="274"/>
      <c r="J17" s="256"/>
      <c r="K17" s="256"/>
      <c r="L17" s="256"/>
      <c r="M17" s="302"/>
      <c r="N17" s="296"/>
      <c r="O17" s="256"/>
      <c r="P17" s="477"/>
      <c r="Q17" s="296"/>
      <c r="R17" s="297"/>
      <c r="S17" s="643"/>
      <c r="W17" s="735"/>
    </row>
    <row r="18" spans="1:23" s="182" customFormat="1" ht="12.75">
      <c r="A18" s="207">
        <v>1990</v>
      </c>
      <c r="B18" s="208">
        <f>'AX1'!N39</f>
        <v>490.38274487717979</v>
      </c>
      <c r="C18" s="689">
        <f>B18/'AX1'!FU39</f>
        <v>1043.0682155379357</v>
      </c>
      <c r="D18" s="209">
        <f>'AX1'!Q39</f>
        <v>290.83800000000002</v>
      </c>
      <c r="E18" s="210">
        <f t="shared" si="0"/>
        <v>0.59308367400415507</v>
      </c>
      <c r="F18" s="273"/>
      <c r="G18" s="256"/>
      <c r="H18" s="304">
        <f>H17+(H$19-H$14)/5</f>
        <v>202.1635614523515</v>
      </c>
      <c r="I18" s="274"/>
      <c r="J18" s="256"/>
      <c r="K18" s="256"/>
      <c r="L18" s="256"/>
      <c r="M18" s="302"/>
      <c r="N18" s="296"/>
      <c r="O18" s="256"/>
      <c r="P18" s="477"/>
      <c r="Q18" s="296"/>
      <c r="R18" s="297"/>
      <c r="S18" s="643"/>
      <c r="W18" s="735"/>
    </row>
    <row r="19" spans="1:23" s="182" customFormat="1" ht="12.75">
      <c r="A19" s="207">
        <v>1991</v>
      </c>
      <c r="B19" s="208">
        <f>'AX1'!N40</f>
        <v>553.55790498162696</v>
      </c>
      <c r="C19" s="689">
        <f>B19/'AX1'!FU40</f>
        <v>1072.0020622591953</v>
      </c>
      <c r="D19" s="209">
        <f>'AX1'!Q40</f>
        <v>327.16500000000002</v>
      </c>
      <c r="E19" s="210">
        <f t="shared" si="0"/>
        <v>0.59102218043631571</v>
      </c>
      <c r="F19" s="357">
        <f>'[4]1991'!$C$7*'AX3'!E15/1000/1000/1000</f>
        <v>209.63959076414062</v>
      </c>
      <c r="G19" s="358">
        <f>F19/'AX1'!FU40</f>
        <v>405.98114778577974</v>
      </c>
      <c r="H19" s="358">
        <f>'[4]1991'!$C$10*'AX3'!E15/1000/1000/1000</f>
        <v>224.5168133372656</v>
      </c>
      <c r="I19" s="359">
        <f>H19/'AX1'!FU40</f>
        <v>434.79188851507774</v>
      </c>
      <c r="J19" s="210">
        <f>F19/D19</f>
        <v>0.64077633843516457</v>
      </c>
      <c r="K19" s="210">
        <f>H19/D19</f>
        <v>0.68624948676437147</v>
      </c>
      <c r="L19" s="210">
        <f>K19*E19</f>
        <v>0.40558866799078142</v>
      </c>
      <c r="M19" s="363">
        <f>'[4]1991'!$B$7*'AX3'!E15/1000/1000/1000</f>
        <v>310.73866221750001</v>
      </c>
      <c r="N19" s="358">
        <f>M19/'AX1'!FU40</f>
        <v>601.76628989135259</v>
      </c>
      <c r="O19" s="358">
        <f>'[4]1991'!$B$13*'AX3'!E15/1000/1000/1000</f>
        <v>332.14278883156248</v>
      </c>
      <c r="P19" s="359">
        <f>O19/'AX1'!FU40</f>
        <v>643.21681867007806</v>
      </c>
      <c r="Q19" s="475">
        <f>M19/B19</f>
        <v>0.56134807112512231</v>
      </c>
      <c r="R19" s="476">
        <f>O19/B19</f>
        <v>0.60001453478039768</v>
      </c>
      <c r="S19" s="741"/>
      <c r="T19" s="643"/>
      <c r="U19" s="625"/>
      <c r="V19" s="643"/>
      <c r="W19" s="735"/>
    </row>
    <row r="20" spans="1:23" s="182" customFormat="1" ht="12.75">
      <c r="A20" s="207">
        <v>1992</v>
      </c>
      <c r="B20" s="208">
        <f>'AX1'!N41</f>
        <v>641.49642676908377</v>
      </c>
      <c r="C20" s="689">
        <f>B20/'AX1'!FU41</f>
        <v>1132.4375697046071</v>
      </c>
      <c r="D20" s="209">
        <f>'AX1'!Q41</f>
        <v>371.75599999999997</v>
      </c>
      <c r="E20" s="210">
        <f t="shared" si="0"/>
        <v>0.57951375017373108</v>
      </c>
      <c r="F20" s="273"/>
      <c r="G20" s="211">
        <f>(G19/G14)^(1/5)-1</f>
        <v>7.9233193191149631E-2</v>
      </c>
      <c r="H20" s="256"/>
      <c r="I20" s="279">
        <f>(I19/I14)^(1/5)-1</f>
        <v>4.9055102175334042E-2</v>
      </c>
      <c r="J20" s="256"/>
      <c r="K20" s="256"/>
      <c r="L20" s="256"/>
      <c r="M20" s="302"/>
      <c r="N20" s="296"/>
      <c r="O20" s="256"/>
      <c r="P20" s="477"/>
      <c r="Q20" s="296"/>
      <c r="R20" s="297"/>
      <c r="S20" s="643"/>
      <c r="W20" s="735"/>
    </row>
    <row r="21" spans="1:23" s="182" customFormat="1" ht="12.75">
      <c r="A21" s="207">
        <v>1993</v>
      </c>
      <c r="B21" s="208">
        <f>'AX1'!N42</f>
        <v>731.22231809902291</v>
      </c>
      <c r="C21" s="689">
        <f>B21/'AX1'!FU42</f>
        <v>1184.1010392929577</v>
      </c>
      <c r="D21" s="209">
        <f>'AX1'!Q42</f>
        <v>421.96199999999999</v>
      </c>
      <c r="E21" s="210">
        <f t="shared" si="0"/>
        <v>0.57706389637693944</v>
      </c>
      <c r="F21" s="273"/>
      <c r="G21" s="256"/>
      <c r="H21" s="256"/>
      <c r="I21" s="274"/>
      <c r="J21" s="256"/>
      <c r="K21" s="256"/>
      <c r="L21" s="256"/>
      <c r="M21" s="302"/>
      <c r="N21" s="296"/>
      <c r="O21" s="256"/>
      <c r="P21" s="477"/>
      <c r="Q21" s="296"/>
      <c r="R21" s="297"/>
      <c r="S21" s="643"/>
      <c r="W21" s="735"/>
    </row>
    <row r="22" spans="1:23" s="182" customFormat="1" ht="12.75">
      <c r="A22" s="207">
        <v>1994</v>
      </c>
      <c r="B22" s="208">
        <f>'AX1'!N43</f>
        <v>838.7160429206042</v>
      </c>
      <c r="C22" s="689">
        <f>B22/'AX1'!FU43</f>
        <v>1240.1527814125172</v>
      </c>
      <c r="D22" s="209">
        <f>'AX1'!Q43</f>
        <v>469.64499999999998</v>
      </c>
      <c r="E22" s="210">
        <f t="shared" si="0"/>
        <v>0.55995709628325097</v>
      </c>
      <c r="F22" s="273"/>
      <c r="G22" s="256"/>
      <c r="H22" s="256"/>
      <c r="I22" s="274"/>
      <c r="J22" s="256"/>
      <c r="K22" s="256"/>
      <c r="L22" s="256"/>
      <c r="M22" s="302"/>
      <c r="N22" s="296"/>
      <c r="O22" s="256"/>
      <c r="P22" s="477"/>
      <c r="Q22" s="296"/>
      <c r="R22" s="297"/>
      <c r="S22" s="643"/>
      <c r="W22" s="735"/>
    </row>
    <row r="23" spans="1:23" s="182" customFormat="1" ht="12.75">
      <c r="A23" s="207">
        <v>1995</v>
      </c>
      <c r="B23" s="208">
        <f>'AX1'!N44</f>
        <v>906.80609641387628</v>
      </c>
      <c r="C23" s="689">
        <f>B23/'AX1'!FU44</f>
        <v>1253.3485060953444</v>
      </c>
      <c r="D23" s="209">
        <f>'AX1'!Q44</f>
        <v>529.63800000000015</v>
      </c>
      <c r="E23" s="210">
        <f t="shared" si="0"/>
        <v>0.58406973893817704</v>
      </c>
      <c r="F23" s="273"/>
      <c r="G23" s="256"/>
      <c r="H23" s="256"/>
      <c r="I23" s="274"/>
      <c r="J23" s="256"/>
      <c r="K23" s="256"/>
      <c r="L23" s="256"/>
      <c r="M23" s="302"/>
      <c r="N23" s="296"/>
      <c r="O23" s="256"/>
      <c r="P23" s="477"/>
      <c r="Q23" s="296"/>
      <c r="R23" s="297"/>
      <c r="S23" s="643"/>
      <c r="W23" s="735"/>
    </row>
    <row r="24" spans="1:23" s="182" customFormat="1" ht="12.75">
      <c r="A24" s="207">
        <v>1996</v>
      </c>
      <c r="B24" s="208">
        <f>'AX1'!N45</f>
        <v>987.60993764559771</v>
      </c>
      <c r="C24" s="689">
        <f>B24/'AX1'!FU45</f>
        <v>1279.8241139527222</v>
      </c>
      <c r="D24" s="209">
        <f>'AX1'!Q45</f>
        <v>584.35500000000002</v>
      </c>
      <c r="E24" s="210">
        <f t="shared" si="0"/>
        <v>0.59168602676585758</v>
      </c>
      <c r="F24" s="357">
        <f>'[4]1996'!$C$7*'AX3'!E20/1000/1000/1000</f>
        <v>501.41923086625002</v>
      </c>
      <c r="G24" s="358">
        <f>F24/'AX1'!FU45</f>
        <v>649.77922801394209</v>
      </c>
      <c r="H24" s="358">
        <f>'[4]1996'!$C$10*'AX3'!E20/1000/1000/1000</f>
        <v>501.243169013125</v>
      </c>
      <c r="I24" s="359">
        <f>H24/'AX1'!FU45</f>
        <v>649.55107295333812</v>
      </c>
      <c r="J24" s="210">
        <f>F24/D24</f>
        <v>0.85807297082466993</v>
      </c>
      <c r="K24" s="210">
        <f>H24/D24</f>
        <v>0.85777167819754252</v>
      </c>
      <c r="L24" s="210">
        <f>K24*E24</f>
        <v>0.50753151614498571</v>
      </c>
      <c r="M24" s="363">
        <f>'[4]1996'!$B$7*'AX3'!E20/1000/1000/1000</f>
        <v>660.5009688321876</v>
      </c>
      <c r="N24" s="358">
        <f>M24/'AX1'!FU45</f>
        <v>855.93009444171139</v>
      </c>
      <c r="O24" s="358">
        <f>'[4]1996'!$B$13*'AX3'!E20/1000/1000/1000</f>
        <v>656.16868799031249</v>
      </c>
      <c r="P24" s="359">
        <f>O24/'AX1'!FU45</f>
        <v>850.3159776953114</v>
      </c>
      <c r="Q24" s="475">
        <f>M24/B24</f>
        <v>0.66878728499510842</v>
      </c>
      <c r="R24" s="476">
        <f>O24/B24</f>
        <v>0.66440065351567734</v>
      </c>
      <c r="S24" s="741"/>
      <c r="T24" s="643"/>
      <c r="U24" s="625"/>
      <c r="V24" s="643"/>
      <c r="W24" s="735"/>
    </row>
    <row r="25" spans="1:23" s="182" customFormat="1" ht="12.75">
      <c r="A25" s="207">
        <v>1997</v>
      </c>
      <c r="B25" s="208">
        <f>'AX1'!N46</f>
        <v>1092.4045877937599</v>
      </c>
      <c r="C25" s="689">
        <f>B25/'AX1'!FU46</f>
        <v>1345.0960404862667</v>
      </c>
      <c r="D25" s="209">
        <f>'AX1'!Q46</f>
        <v>649.58899999999994</v>
      </c>
      <c r="E25" s="210">
        <f t="shared" si="0"/>
        <v>0.5946414059940206</v>
      </c>
      <c r="F25" s="273"/>
      <c r="G25" s="211">
        <f>(G24/G19)^(1/5)-1</f>
        <v>9.8631359293791077E-2</v>
      </c>
      <c r="H25" s="256"/>
      <c r="I25" s="279">
        <f>(I24/I19)^(1/5)-1</f>
        <v>8.3593457618623024E-2</v>
      </c>
      <c r="J25" s="256"/>
      <c r="K25" s="256"/>
      <c r="L25" s="256"/>
      <c r="M25" s="302"/>
      <c r="N25" s="296"/>
      <c r="O25" s="256"/>
      <c r="P25" s="477"/>
      <c r="Q25" s="296"/>
      <c r="R25" s="297"/>
      <c r="S25" s="643"/>
      <c r="W25" s="735"/>
    </row>
    <row r="26" spans="1:23" s="182" customFormat="1" ht="12.75">
      <c r="A26" s="207">
        <v>1998</v>
      </c>
      <c r="B26" s="208">
        <f>'AX1'!N47</f>
        <v>1042.8733119881663</v>
      </c>
      <c r="C26" s="689">
        <f>B26/'AX1'!FU47</f>
        <v>1305.7931216450138</v>
      </c>
      <c r="D26" s="209">
        <f>'AX1'!Q47</f>
        <v>654.25000000000011</v>
      </c>
      <c r="E26" s="210">
        <f t="shared" si="0"/>
        <v>0.62735328680788416</v>
      </c>
      <c r="F26" s="273"/>
      <c r="G26" s="256"/>
      <c r="H26" s="256"/>
      <c r="I26" s="274"/>
      <c r="J26" s="256"/>
      <c r="K26" s="256"/>
      <c r="L26" s="256"/>
      <c r="M26" s="302"/>
      <c r="N26" s="296"/>
      <c r="O26" s="256"/>
      <c r="P26" s="477"/>
      <c r="Q26" s="296"/>
      <c r="R26" s="297"/>
      <c r="S26" s="643"/>
      <c r="W26" s="735"/>
    </row>
    <row r="27" spans="1:23" s="182" customFormat="1" ht="12.75">
      <c r="A27" s="207">
        <v>1999</v>
      </c>
      <c r="B27" s="208">
        <f>'AX1'!N48</f>
        <v>1023.7881800304237</v>
      </c>
      <c r="C27" s="689">
        <f>B27/'AX1'!FU48</f>
        <v>1336.7196614736854</v>
      </c>
      <c r="D27" s="209">
        <f>'AX1'!Q48</f>
        <v>648.39400000000001</v>
      </c>
      <c r="E27" s="210">
        <f t="shared" si="0"/>
        <v>0.63332827302297223</v>
      </c>
      <c r="F27" s="273"/>
      <c r="G27" s="256"/>
      <c r="H27" s="256"/>
      <c r="I27" s="274"/>
      <c r="J27" s="256"/>
      <c r="K27" s="256"/>
      <c r="L27" s="256"/>
      <c r="M27" s="302"/>
      <c r="N27" s="296"/>
      <c r="O27" s="256"/>
      <c r="P27" s="477"/>
      <c r="Q27" s="296"/>
      <c r="R27" s="297"/>
      <c r="S27" s="643"/>
      <c r="W27" s="735"/>
    </row>
    <row r="28" spans="1:23">
      <c r="A28" s="207">
        <v>2000</v>
      </c>
      <c r="B28" s="208">
        <f>'AX1'!N49</f>
        <v>1099.6851044328537</v>
      </c>
      <c r="C28" s="689">
        <f>B28/'AX1'!FU49</f>
        <v>1465.3056975626471</v>
      </c>
      <c r="D28" s="209">
        <f>'AX1'!Q49</f>
        <v>662.40700000000004</v>
      </c>
      <c r="E28" s="210">
        <f t="shared" si="0"/>
        <v>0.60236061880789649</v>
      </c>
      <c r="F28" s="273"/>
      <c r="G28" s="256"/>
      <c r="H28" s="256"/>
      <c r="I28" s="274"/>
      <c r="J28" s="256"/>
      <c r="K28" s="256"/>
      <c r="L28" s="256"/>
      <c r="M28" s="302"/>
      <c r="N28" s="225"/>
      <c r="O28" s="256"/>
      <c r="P28" s="478"/>
      <c r="Q28" s="225"/>
      <c r="R28" s="298"/>
      <c r="S28" s="643"/>
      <c r="W28" s="736"/>
    </row>
    <row r="29" spans="1:23">
      <c r="A29" s="207">
        <v>2001</v>
      </c>
      <c r="B29" s="208">
        <f>'AX1'!N50</f>
        <v>1103.67814956187</v>
      </c>
      <c r="C29" s="689">
        <f>B29/'AX1'!FU50</f>
        <v>1525.4566168378444</v>
      </c>
      <c r="D29" s="209">
        <f>'AX1'!Q50</f>
        <v>667.76100000000008</v>
      </c>
      <c r="E29" s="210">
        <f t="shared" si="0"/>
        <v>0.60503236406834993</v>
      </c>
      <c r="F29" s="357">
        <f>'[4]2001'!$C$7*'AX3'!E25/1000/1000/1000</f>
        <v>606.61955757812507</v>
      </c>
      <c r="G29" s="358">
        <f>F29/'AX1'!FU50</f>
        <v>838.44354296417293</v>
      </c>
      <c r="H29" s="358">
        <f>'[4]2001'!$C$10*'AX3'!E25/1000/1000/1000</f>
        <v>604.11362156250004</v>
      </c>
      <c r="I29" s="359">
        <f>H29/'AX1'!FU50</f>
        <v>834.97994564830242</v>
      </c>
      <c r="J29" s="210">
        <f>F29/D29</f>
        <v>0.90843813516830874</v>
      </c>
      <c r="K29" s="210">
        <f>H29/D29</f>
        <v>0.90468539127397374</v>
      </c>
      <c r="L29" s="210">
        <f>K29*E29</f>
        <v>0.54736394102059249</v>
      </c>
      <c r="M29" s="363">
        <f>'[4]2001'!$B$7*'AX3'!E25/1000/1000/1000</f>
        <v>772.43334875000005</v>
      </c>
      <c r="N29" s="358">
        <f>M29/'AX1'!FU50</f>
        <v>1067.6242556624502</v>
      </c>
      <c r="O29" s="358">
        <f>'[4]2001'!$B$13*'AX3'!E25/1000/1000/1000</f>
        <v>776.39327937500002</v>
      </c>
      <c r="P29" s="359">
        <f>O29/'AX1'!FU50</f>
        <v>1073.097501985686</v>
      </c>
      <c r="Q29" s="475">
        <f>M29/B29</f>
        <v>0.69987192285779598</v>
      </c>
      <c r="R29" s="476">
        <f>O29/B29</f>
        <v>0.70345986253619941</v>
      </c>
      <c r="S29" s="741"/>
      <c r="T29" s="643"/>
      <c r="U29" s="625"/>
      <c r="V29" s="643"/>
      <c r="W29" s="735"/>
    </row>
    <row r="30" spans="1:23">
      <c r="A30" s="207">
        <v>2002</v>
      </c>
      <c r="B30" s="208">
        <f>'AX1'!N51</f>
        <v>1060.4049098698831</v>
      </c>
      <c r="C30" s="689">
        <f>B30/'AX1'!FU51</f>
        <v>1487.4328330337007</v>
      </c>
      <c r="D30" s="209">
        <f>'AX1'!Q51</f>
        <v>653.38900000000001</v>
      </c>
      <c r="E30" s="210">
        <f t="shared" si="0"/>
        <v>0.61616934617944574</v>
      </c>
      <c r="F30" s="273"/>
      <c r="G30" s="211">
        <f>(G29/G24)^(1/5)-1</f>
        <v>5.2304918082007656E-2</v>
      </c>
      <c r="H30" s="256"/>
      <c r="I30" s="279">
        <f>(I29/I24)^(1/5)-1</f>
        <v>5.1507919778572386E-2</v>
      </c>
      <c r="J30" s="256"/>
      <c r="K30" s="256"/>
      <c r="L30" s="256"/>
      <c r="M30" s="302"/>
      <c r="N30" s="225"/>
      <c r="O30" s="256"/>
      <c r="P30" s="478"/>
      <c r="Q30" s="225"/>
      <c r="R30" s="298"/>
      <c r="S30" s="643"/>
      <c r="W30" s="736"/>
    </row>
    <row r="31" spans="1:23">
      <c r="A31" s="207">
        <v>2003</v>
      </c>
      <c r="B31" s="208">
        <f>'AX1'!N52</f>
        <v>1063.5510880896588</v>
      </c>
      <c r="C31" s="689">
        <f>B31/'AX1'!FU52</f>
        <v>1520.6143656157933</v>
      </c>
      <c r="D31" s="209">
        <f>'AX1'!Q52</f>
        <v>633.62400000000002</v>
      </c>
      <c r="E31" s="210">
        <f t="shared" si="0"/>
        <v>0.59576263622475334</v>
      </c>
      <c r="F31" s="273"/>
      <c r="G31" s="256"/>
      <c r="H31" s="256"/>
      <c r="I31" s="274"/>
      <c r="J31" s="256"/>
      <c r="K31" s="256"/>
      <c r="L31" s="256"/>
      <c r="M31" s="302"/>
      <c r="N31" s="225"/>
      <c r="O31" s="256"/>
      <c r="P31" s="478"/>
      <c r="Q31" s="225"/>
      <c r="R31" s="298"/>
      <c r="S31" s="643"/>
      <c r="W31" s="736"/>
    </row>
    <row r="32" spans="1:23">
      <c r="A32" s="207">
        <v>2004</v>
      </c>
      <c r="B32" s="208">
        <f>'AX1'!N53</f>
        <v>1112.4898021105821</v>
      </c>
      <c r="C32" s="689">
        <f>B32/'AX1'!FU53</f>
        <v>1584.0389774907876</v>
      </c>
      <c r="D32" s="209">
        <f>'AX1'!Q53</f>
        <v>642.12600000000009</v>
      </c>
      <c r="E32" s="210">
        <f t="shared" si="0"/>
        <v>0.57719720107256534</v>
      </c>
      <c r="F32" s="273"/>
      <c r="G32" s="256"/>
      <c r="H32" s="256"/>
      <c r="I32" s="274"/>
      <c r="J32" s="256"/>
      <c r="K32" s="256"/>
      <c r="L32" s="256"/>
      <c r="M32" s="302"/>
      <c r="N32" s="225"/>
      <c r="O32" s="256"/>
      <c r="P32" s="478"/>
      <c r="Q32" s="225"/>
      <c r="R32" s="298"/>
      <c r="S32" s="643"/>
      <c r="W32" s="736"/>
    </row>
    <row r="33" spans="1:23">
      <c r="A33" s="207">
        <v>2005</v>
      </c>
      <c r="B33" s="208">
        <f>'AX1'!N54</f>
        <v>1171.0560014306684</v>
      </c>
      <c r="C33" s="689">
        <f>B33/'AX1'!FU54</f>
        <v>1647.0950264024848</v>
      </c>
      <c r="D33" s="209">
        <f>'AX1'!Q54</f>
        <v>672.78899999999999</v>
      </c>
      <c r="E33" s="210">
        <f t="shared" si="0"/>
        <v>0.57451479619937884</v>
      </c>
      <c r="F33" s="273"/>
      <c r="G33" s="256"/>
      <c r="H33" s="256"/>
      <c r="I33" s="274"/>
      <c r="J33" s="256"/>
      <c r="K33" s="256"/>
      <c r="L33" s="256"/>
      <c r="M33" s="302"/>
      <c r="N33" s="225"/>
      <c r="O33" s="256"/>
      <c r="P33" s="478"/>
      <c r="Q33" s="225"/>
      <c r="R33" s="298"/>
      <c r="S33" s="643"/>
      <c r="W33" s="736"/>
    </row>
    <row r="34" spans="1:23">
      <c r="A34" s="207">
        <v>2006</v>
      </c>
      <c r="B34" s="208">
        <f>'AX1'!N55</f>
        <v>1281.2896448168947</v>
      </c>
      <c r="C34" s="689">
        <f>B34/'AX1'!FU55</f>
        <v>1761.5611275760748</v>
      </c>
      <c r="D34" s="209">
        <f>'AX1'!Q55</f>
        <v>710.63799999999992</v>
      </c>
      <c r="E34" s="210">
        <f t="shared" si="0"/>
        <v>0.55462713124599949</v>
      </c>
      <c r="F34" s="357">
        <f>'[4]2006'!$C$7*'AX3'!E30/1000/1000/1000</f>
        <v>600.20717856750002</v>
      </c>
      <c r="G34" s="358">
        <f>F34/'AX1'!FU55</f>
        <v>825.18549848088071</v>
      </c>
      <c r="H34" s="358">
        <f>'[4]2006'!$C$10*'AX3'!E30/1000/1000/1000</f>
        <v>711.68604917999994</v>
      </c>
      <c r="I34" s="359">
        <f>H34/'AX1'!FU55</f>
        <v>978.45048880641036</v>
      </c>
      <c r="J34" s="210">
        <f>F34/D34</f>
        <v>0.84460326997360136</v>
      </c>
      <c r="K34" s="210">
        <f>H34/D34</f>
        <v>1.0014748003624911</v>
      </c>
      <c r="L34" s="210">
        <f>K34*E34</f>
        <v>0.55544509554020849</v>
      </c>
      <c r="M34" s="363">
        <f>'[4]2006'!$B$7*'AX3'!E30/1000/1000/1000</f>
        <v>808.38186839999992</v>
      </c>
      <c r="N34" s="358">
        <f>M34/'AX1'!FU55</f>
        <v>1111.3912309923176</v>
      </c>
      <c r="O34" s="358">
        <f>'[4]2006'!$B$13*'AX3'!E30/1000/1000/1000</f>
        <v>976.15747586999998</v>
      </c>
      <c r="P34" s="359">
        <f>O34/'AX1'!FU55</f>
        <v>1342.0549138451124</v>
      </c>
      <c r="Q34" s="475">
        <f>M34/B34</f>
        <v>0.63091266808413438</v>
      </c>
      <c r="R34" s="476">
        <f>O34/B34</f>
        <v>0.76185543200070094</v>
      </c>
      <c r="S34" s="741"/>
      <c r="T34" s="643"/>
      <c r="U34" s="625"/>
      <c r="V34" s="643"/>
      <c r="W34" s="735"/>
    </row>
    <row r="35" spans="1:23">
      <c r="A35" s="207">
        <v>2007</v>
      </c>
      <c r="B35" s="208">
        <f>'AX1'!N56</f>
        <v>1409.3533239592343</v>
      </c>
      <c r="C35" s="689">
        <f>B35/'AX1'!FU56</f>
        <v>1865.9550386092922</v>
      </c>
      <c r="D35" s="209">
        <f>'AX1'!Q56</f>
        <v>779.04600000000005</v>
      </c>
      <c r="E35" s="210">
        <f t="shared" si="0"/>
        <v>0.55276841282884293</v>
      </c>
      <c r="F35" s="273"/>
      <c r="G35" s="211">
        <f>(G34/G29)^(1/5)-1</f>
        <v>-3.1827323950586184E-3</v>
      </c>
      <c r="H35" s="256"/>
      <c r="I35" s="279">
        <f>(I34/I29)^(1/5)-1</f>
        <v>3.2220694877133305E-2</v>
      </c>
      <c r="J35" s="256"/>
      <c r="K35" s="256"/>
      <c r="L35" s="256"/>
      <c r="M35" s="302"/>
      <c r="N35" s="225"/>
      <c r="O35" s="256"/>
      <c r="P35" s="478"/>
      <c r="Q35" s="225"/>
      <c r="R35" s="298"/>
      <c r="S35" s="643"/>
      <c r="W35" s="736"/>
    </row>
    <row r="36" spans="1:23">
      <c r="A36" s="207">
        <v>2008</v>
      </c>
      <c r="B36" s="208">
        <f>'AX1'!N57</f>
        <v>1457.3047709497655</v>
      </c>
      <c r="C36" s="689">
        <f>B36/'AX1'!FU57</f>
        <v>1890.8529403073208</v>
      </c>
      <c r="D36" s="209">
        <f>'AX1'!Q57</f>
        <v>802.36199999999997</v>
      </c>
      <c r="E36" s="210">
        <f t="shared" si="0"/>
        <v>0.55057940932772675</v>
      </c>
      <c r="F36" s="273"/>
      <c r="G36" s="256"/>
      <c r="H36" s="256"/>
      <c r="I36" s="274"/>
      <c r="J36" s="211"/>
      <c r="K36" s="211"/>
      <c r="L36" s="211"/>
      <c r="M36" s="302"/>
      <c r="N36" s="225"/>
      <c r="O36" s="256"/>
      <c r="P36" s="478"/>
      <c r="Q36" s="225"/>
      <c r="R36" s="298"/>
      <c r="S36" s="643"/>
      <c r="W36" s="736"/>
    </row>
    <row r="37" spans="1:23">
      <c r="A37" s="207">
        <v>2009</v>
      </c>
      <c r="B37" s="208">
        <f>'AX1'!N58</f>
        <v>1360.6553031359531</v>
      </c>
      <c r="C37" s="689">
        <f>B37/'AX1'!FU58</f>
        <v>1737.2204239300361</v>
      </c>
      <c r="D37" s="209">
        <f>'AX1'!Q58</f>
        <v>819.43500000000006</v>
      </c>
      <c r="E37" s="210">
        <f t="shared" si="0"/>
        <v>0.60223555378898508</v>
      </c>
      <c r="F37" s="273"/>
      <c r="G37" s="256"/>
      <c r="H37" s="256"/>
      <c r="I37" s="274"/>
      <c r="J37" s="256"/>
      <c r="K37" s="256"/>
      <c r="L37" s="256"/>
      <c r="M37" s="302"/>
      <c r="N37" s="225"/>
      <c r="O37" s="256"/>
      <c r="P37" s="478"/>
      <c r="Q37" s="225"/>
      <c r="R37" s="298"/>
      <c r="S37" s="643"/>
      <c r="W37" s="736"/>
    </row>
    <row r="38" spans="1:23">
      <c r="A38" s="207">
        <v>2010</v>
      </c>
      <c r="B38" s="208">
        <f>'AX1'!N59</f>
        <v>1494.9300732556878</v>
      </c>
      <c r="C38" s="689">
        <f>B38/'AX1'!FU59</f>
        <v>1856.1452344968948</v>
      </c>
      <c r="D38" s="209">
        <f>'AX1'!Q59</f>
        <v>879.98200000000008</v>
      </c>
      <c r="E38" s="210">
        <f t="shared" si="0"/>
        <v>0.58864425550257216</v>
      </c>
      <c r="F38" s="273"/>
      <c r="G38" s="256"/>
      <c r="H38" s="256"/>
      <c r="I38" s="274"/>
      <c r="J38" s="211"/>
      <c r="K38" s="211"/>
      <c r="L38" s="211"/>
      <c r="M38" s="302"/>
      <c r="N38" s="225"/>
      <c r="O38" s="256"/>
      <c r="P38" s="478"/>
      <c r="Q38" s="225"/>
      <c r="R38" s="298"/>
      <c r="S38" s="643"/>
      <c r="W38" s="736"/>
    </row>
    <row r="39" spans="1:23">
      <c r="A39" s="207">
        <v>2011</v>
      </c>
      <c r="B39" s="208">
        <f>'AX1'!N60</f>
        <v>1654.4293304693929</v>
      </c>
      <c r="C39" s="689">
        <f>B39/'AX1'!FU60</f>
        <v>1942.6443948271829</v>
      </c>
      <c r="D39" s="209">
        <f>'AX1'!Q60</f>
        <v>959.14799999999991</v>
      </c>
      <c r="E39" s="210">
        <f t="shared" si="0"/>
        <v>0.57974552453556383</v>
      </c>
      <c r="F39" s="357">
        <f>'[4]2011'!$C$7*'AX3'!E35/1000/1000/1000</f>
        <v>791.68686446281254</v>
      </c>
      <c r="G39" s="358">
        <f>F39/'AX1'!FU60</f>
        <v>929.60516438054219</v>
      </c>
      <c r="H39" s="358">
        <f>'[4]2011'!$C$10*'AX3'!E35/1000/1000/1000</f>
        <v>933.15193939406254</v>
      </c>
      <c r="I39" s="359">
        <f>H39/'AX1'!FU60</f>
        <v>1095.7146075690462</v>
      </c>
      <c r="J39" s="210">
        <f>F39/D39</f>
        <v>0.82540636529796507</v>
      </c>
      <c r="K39" s="210">
        <f>H39/D39</f>
        <v>0.97289671603763195</v>
      </c>
      <c r="L39" s="210">
        <f>K39*E39</f>
        <v>0.56403251695816448</v>
      </c>
      <c r="M39" s="363">
        <f>'[4]2011'!$B$7*'AX3'!E35/1000/1000/1000</f>
        <v>1037.8525126709376</v>
      </c>
      <c r="N39" s="358">
        <f>M39/'AX1'!FU60</f>
        <v>1218.6548734756032</v>
      </c>
      <c r="O39" s="358">
        <f>'[4]2011'!$B$13*'AX3'!E35/1000/1000/1000</f>
        <v>1235.0891921124999</v>
      </c>
      <c r="P39" s="359">
        <f>O39/'AX1'!FU60</f>
        <v>1450.2517889284782</v>
      </c>
      <c r="Q39" s="475">
        <f>M39/B39</f>
        <v>0.62731752487516601</v>
      </c>
      <c r="R39" s="476">
        <f>O39/B39</f>
        <v>0.74653487421072362</v>
      </c>
      <c r="S39" s="741"/>
      <c r="T39" s="643"/>
      <c r="U39" s="625"/>
      <c r="V39" s="643"/>
      <c r="W39" s="735"/>
    </row>
    <row r="40" spans="1:23">
      <c r="A40" s="207">
        <v>2012</v>
      </c>
      <c r="B40" s="208">
        <f>'AX1'!N61</f>
        <v>1723.9041063939198</v>
      </c>
      <c r="C40" s="689">
        <f>B40/'AX1'!FU61</f>
        <v>1951.3767311198351</v>
      </c>
      <c r="D40" s="209">
        <f>'AX1'!Q61</f>
        <v>1025.627</v>
      </c>
      <c r="E40" s="210">
        <f t="shared" si="0"/>
        <v>0.59494434533566776</v>
      </c>
      <c r="F40" s="273"/>
      <c r="G40" s="211">
        <f>(G39/G34)^(1/5)-1</f>
        <v>2.4116558472661476E-2</v>
      </c>
      <c r="H40" s="256"/>
      <c r="I40" s="279">
        <f>(I39/I34)^(1/5)-1</f>
        <v>2.2896563094346734E-2</v>
      </c>
      <c r="J40" s="211"/>
      <c r="K40" s="211"/>
      <c r="L40" s="211"/>
      <c r="M40" s="302"/>
      <c r="N40" s="225"/>
      <c r="O40" s="256"/>
      <c r="P40" s="478"/>
      <c r="Q40" s="225"/>
      <c r="R40" s="298"/>
      <c r="S40" s="643"/>
      <c r="W40" s="736"/>
    </row>
    <row r="41" spans="1:23">
      <c r="A41" s="207">
        <v>2013</v>
      </c>
      <c r="B41" s="208">
        <f>'AX1'!N62</f>
        <v>1805.5084959699775</v>
      </c>
      <c r="C41" s="689">
        <f>B41/'AX1'!FU62</f>
        <v>1960.3742874653103</v>
      </c>
      <c r="D41" s="209">
        <f>'AX1'!Q62</f>
        <v>1064.6530000000002</v>
      </c>
      <c r="E41" s="210">
        <f t="shared" si="0"/>
        <v>0.58966933823705669</v>
      </c>
      <c r="F41" s="273"/>
      <c r="G41" s="256"/>
      <c r="H41" s="256"/>
      <c r="I41" s="274"/>
      <c r="J41" s="256"/>
      <c r="K41" s="256"/>
      <c r="L41" s="256"/>
      <c r="M41" s="302"/>
      <c r="N41" s="225"/>
      <c r="O41" s="256"/>
      <c r="P41" s="478"/>
      <c r="Q41" s="225"/>
      <c r="R41" s="298"/>
      <c r="S41" s="643"/>
      <c r="W41" s="736"/>
    </row>
    <row r="42" spans="1:23">
      <c r="A42" s="207">
        <v>2014</v>
      </c>
      <c r="B42" s="208">
        <f>'AX1'!N63</f>
        <v>1901.0202889826248</v>
      </c>
      <c r="C42" s="689">
        <f>B42/'AX1'!FU63</f>
        <v>1967.3569889969735</v>
      </c>
      <c r="D42" s="209">
        <f>'AX1'!Q63</f>
        <v>1126.5919999999999</v>
      </c>
      <c r="E42" s="210">
        <f t="shared" si="0"/>
        <v>0.59262492174816384</v>
      </c>
      <c r="F42" s="273"/>
      <c r="G42" s="256"/>
      <c r="H42" s="256"/>
      <c r="I42" s="274"/>
      <c r="J42" s="211"/>
      <c r="K42" s="211"/>
      <c r="L42" s="211"/>
      <c r="M42" s="302"/>
      <c r="N42" s="225"/>
      <c r="O42" s="256"/>
      <c r="P42" s="478"/>
      <c r="Q42" s="225"/>
      <c r="R42" s="298"/>
      <c r="S42" s="643"/>
      <c r="W42" s="736"/>
    </row>
    <row r="43" spans="1:23">
      <c r="A43" s="207">
        <v>2015</v>
      </c>
      <c r="B43" s="208">
        <f>'AX1'!N64</f>
        <v>1996.4197654036523</v>
      </c>
      <c r="C43" s="689">
        <f>B43/'AX1'!FU64</f>
        <v>2019.7697041803031</v>
      </c>
      <c r="D43" s="209">
        <f>'AX1'!Q64</f>
        <v>1178.2079999999999</v>
      </c>
      <c r="E43" s="210">
        <f t="shared" si="0"/>
        <v>0.59016045644177451</v>
      </c>
      <c r="F43" s="273"/>
      <c r="G43" s="256"/>
      <c r="H43" s="256"/>
      <c r="I43" s="274"/>
      <c r="J43" s="256"/>
      <c r="K43" s="256"/>
      <c r="L43" s="256"/>
      <c r="M43" s="302"/>
      <c r="N43" s="225"/>
      <c r="O43" s="256"/>
      <c r="P43" s="478"/>
      <c r="Q43" s="225"/>
      <c r="R43" s="298"/>
      <c r="S43" s="643"/>
      <c r="W43" s="736"/>
    </row>
    <row r="44" spans="1:23">
      <c r="A44" s="207">
        <v>2016</v>
      </c>
      <c r="B44" s="208">
        <f>'AX1'!N65</f>
        <v>2091.0787016960003</v>
      </c>
      <c r="C44" s="689">
        <f>B44/'AX1'!FU65</f>
        <v>2091.0787016960003</v>
      </c>
      <c r="D44" s="209">
        <f>'AX1'!Q65</f>
        <v>1244.7640000000001</v>
      </c>
      <c r="E44" s="210">
        <f t="shared" si="0"/>
        <v>0.59527362551701946</v>
      </c>
      <c r="F44" s="623">
        <f>'[4]2016'!$C$7*'AX3'!E40/1000/1000/1000</f>
        <v>967.37517140249997</v>
      </c>
      <c r="G44" s="622">
        <f>F44/'AX1'!FU65</f>
        <v>967.37517140249997</v>
      </c>
      <c r="H44" s="622">
        <f>'[4]2016'!$C$10*'AX3'!E40/1000/1000/1000</f>
        <v>1108.5897360168751</v>
      </c>
      <c r="I44" s="624">
        <f>H44/'AX1'!FU65</f>
        <v>1108.5897360168751</v>
      </c>
      <c r="J44" s="210">
        <f>F44/D44</f>
        <v>0.77715548602184825</v>
      </c>
      <c r="K44" s="210">
        <f>H44/D44</f>
        <v>0.89060234391167725</v>
      </c>
      <c r="L44" s="210">
        <f>K44*E44</f>
        <v>0.53015208615425957</v>
      </c>
      <c r="M44" s="621">
        <f>'[4]2016'!$B$7*'AX3'!E40/1000/1000/1000</f>
        <v>1208.5978912349999</v>
      </c>
      <c r="N44" s="622">
        <f>M44/'AX1'!FU65</f>
        <v>1208.5978912349999</v>
      </c>
      <c r="O44" s="622">
        <f>'[4]2016'!$B$13*'AX3'!E40/1000/1000/1000</f>
        <v>1387.1230348368751</v>
      </c>
      <c r="P44" s="622">
        <f>O44/'AX1'!FU65</f>
        <v>1387.1230348368751</v>
      </c>
      <c r="Q44" s="637">
        <f>M44/B44</f>
        <v>0.57797819386460625</v>
      </c>
      <c r="R44" s="476">
        <f>O44/B44</f>
        <v>0.66335285884353778</v>
      </c>
      <c r="S44" s="741"/>
      <c r="T44" s="643"/>
      <c r="U44" s="625"/>
      <c r="V44" s="643"/>
      <c r="W44" s="735"/>
    </row>
    <row r="45" spans="1:23">
      <c r="A45" s="207">
        <v>2017</v>
      </c>
      <c r="B45" s="208">
        <f>'AX1'!N66</f>
        <v>2386.8032275071619</v>
      </c>
      <c r="C45" s="689">
        <f>B45/'AX1'!FU66</f>
        <v>2346.1190815837444</v>
      </c>
      <c r="D45" s="209">
        <f>'AX1'!Q66</f>
        <v>1313.7060000000001</v>
      </c>
      <c r="E45" s="210">
        <f t="shared" si="0"/>
        <v>0.55040398171912486</v>
      </c>
      <c r="F45" s="633"/>
      <c r="G45" s="634"/>
      <c r="H45" s="634"/>
      <c r="I45" s="635"/>
      <c r="M45" s="636"/>
      <c r="N45" s="225"/>
      <c r="O45" s="225"/>
      <c r="P45" s="225"/>
      <c r="Q45" s="638"/>
      <c r="R45" s="298"/>
      <c r="S45" s="643"/>
    </row>
    <row r="46" spans="1:23">
      <c r="A46" s="207">
        <v>2018</v>
      </c>
      <c r="B46" s="208">
        <f>'AX1'!N67</f>
        <v>2535.4695389876515</v>
      </c>
      <c r="C46" s="689">
        <f>B46/'AX1'!FU67</f>
        <v>2430.1176190851174</v>
      </c>
      <c r="D46" s="209">
        <f>'AX1'!Q67</f>
        <v>1373.7270000000001</v>
      </c>
      <c r="E46" s="210">
        <f t="shared" si="0"/>
        <v>0.54180378777040816</v>
      </c>
      <c r="F46" s="633"/>
      <c r="G46" s="634"/>
      <c r="H46" s="831">
        <f>'[4]2018'!$C$10*'AX3'!E42/1000/1000/1000</f>
        <v>1313.6400623437498</v>
      </c>
      <c r="I46" s="832">
        <f>H46/'AX1'!FU67</f>
        <v>1259.0566802519043</v>
      </c>
      <c r="M46" s="636"/>
      <c r="N46" s="225"/>
      <c r="O46" s="225"/>
      <c r="P46" s="225"/>
      <c r="Q46" s="638"/>
      <c r="R46" s="298"/>
      <c r="S46" s="643"/>
    </row>
    <row r="47" spans="1:23">
      <c r="A47" s="207">
        <v>2019</v>
      </c>
      <c r="B47" s="208">
        <f>'AX1'!N68</f>
        <v>2543.8794372154507</v>
      </c>
      <c r="C47" s="904">
        <f>B47/'AX1'!FU68</f>
        <v>2370.3293140301957</v>
      </c>
      <c r="D47" s="209">
        <f>'AX1'!Q68</f>
        <v>1436.5010805367181</v>
      </c>
      <c r="E47" s="210">
        <f t="shared" si="0"/>
        <v>0.56468913562551648</v>
      </c>
      <c r="F47" s="633"/>
      <c r="G47" s="634"/>
      <c r="H47" s="634"/>
      <c r="I47" s="635"/>
      <c r="J47" s="634"/>
      <c r="K47" s="634"/>
      <c r="L47" s="634"/>
      <c r="M47" s="636"/>
      <c r="N47" s="225"/>
      <c r="O47" s="225"/>
      <c r="P47" s="225"/>
      <c r="Q47" s="638"/>
      <c r="R47" s="298"/>
      <c r="S47" s="643"/>
    </row>
    <row r="48" spans="1:23" ht="15.75" thickBot="1">
      <c r="A48" s="212">
        <v>2020</v>
      </c>
      <c r="B48" s="257">
        <f>'AX1'!N69</f>
        <v>2364.8788841759088</v>
      </c>
      <c r="C48" s="769">
        <f>B48/'AX1'!FU69</f>
        <v>2133.1468034003501</v>
      </c>
      <c r="D48" s="731"/>
      <c r="E48" s="213"/>
      <c r="F48" s="639"/>
      <c r="G48" s="640"/>
      <c r="H48" s="640"/>
      <c r="I48" s="919"/>
      <c r="J48" s="640"/>
      <c r="K48" s="640"/>
      <c r="L48" s="640"/>
      <c r="M48" s="920"/>
      <c r="N48" s="641"/>
      <c r="O48" s="641"/>
      <c r="P48" s="921"/>
      <c r="Q48" s="641"/>
      <c r="R48" s="642"/>
      <c r="S48" s="643"/>
    </row>
    <row r="49" spans="2:16" ht="15.75" thickTop="1">
      <c r="B49" s="679"/>
      <c r="C49" s="689"/>
      <c r="D49" s="679"/>
      <c r="G49" s="679"/>
      <c r="I49" s="679"/>
      <c r="N49" s="679"/>
      <c r="P49" s="679"/>
    </row>
    <row r="50" spans="2:16">
      <c r="B50" s="680"/>
      <c r="C50" s="689"/>
      <c r="D50" s="680"/>
    </row>
    <row r="51" spans="2:16">
      <c r="B51" s="572"/>
      <c r="C51" s="572"/>
      <c r="D51" s="677"/>
      <c r="E51" s="677"/>
    </row>
    <row r="52" spans="2:16">
      <c r="E52" s="677"/>
    </row>
  </sheetData>
  <mergeCells count="9">
    <mergeCell ref="A2:R2"/>
    <mergeCell ref="M4:R4"/>
    <mergeCell ref="M5:N5"/>
    <mergeCell ref="O5:P5"/>
    <mergeCell ref="D4:K4"/>
    <mergeCell ref="B4:B5"/>
    <mergeCell ref="F5:G5"/>
    <mergeCell ref="H5:I5"/>
    <mergeCell ref="C4:C5"/>
  </mergeCells>
  <phoneticPr fontId="1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D5C9C9F7-3D9D-4BBD-B2DB-5060E0979B11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A28</xm:sqref>
            </x14:sparkline>
            <x14:sparkline>
              <xm:sqref>A29</xm:sqref>
            </x14:sparkline>
            <x14:sparkline>
              <xm:sqref>A30</xm:sqref>
            </x14:sparkline>
            <x14:sparkline>
              <xm:sqref>A31</xm:sqref>
            </x14:sparkline>
            <x14:sparkline>
              <xm:sqref>A32</xm:sqref>
            </x14:sparkline>
            <x14:sparkline>
              <xm:sqref>A33</xm:sqref>
            </x14:sparkline>
            <x14:sparkline>
              <xm:sqref>A34</xm:sqref>
            </x14:sparkline>
            <x14:sparkline>
              <xm:sqref>A35</xm:sqref>
            </x14:sparkline>
            <x14:sparkline>
              <xm:sqref>A36</xm:sqref>
            </x14:sparkline>
            <x14:sparkline>
              <xm:sqref>A37</xm:sqref>
            </x14:sparkline>
            <x14:sparkline>
              <xm:sqref>A38</xm:sqref>
            </x14:sparkline>
            <x14:sparkline>
              <xm:sqref>A39</xm:sqref>
            </x14:sparkline>
            <x14:sparkline>
              <xm:sqref>A40</xm:sqref>
            </x14:sparkline>
            <x14:sparkline>
              <xm:sqref>A41</xm:sqref>
            </x14:sparkline>
            <x14:sparkline>
              <xm:sqref>A42</xm:sqref>
            </x14:sparkline>
            <x14:sparkline>
              <xm:sqref>A43</xm:sqref>
            </x14:sparkline>
            <x14:sparkline>
              <xm:sqref>A26</xm:sqref>
            </x14:sparkline>
            <x14:sparkline>
              <xm:sqref>A27</xm:sqref>
            </x14:sparkline>
            <x14:sparkline>
              <xm:sqref>A24</xm:sqref>
            </x14:sparkline>
            <x14:sparkline>
              <xm:sqref>A25</xm:sqref>
            </x14:sparkline>
            <x14:sparkline>
              <xm:sqref>A22</xm:sqref>
            </x14:sparkline>
            <x14:sparkline>
              <xm:sqref>A23</xm:sqref>
            </x14:sparkline>
            <x14:sparkline>
              <xm:sqref>A20</xm:sqref>
            </x14:sparkline>
            <x14:sparkline>
              <xm:sqref>A21</xm:sqref>
            </x14:sparkline>
            <x14:sparkline>
              <xm:sqref>A18</xm:sqref>
            </x14:sparkline>
            <x14:sparkline>
              <xm:sqref>A19</xm:sqref>
            </x14:sparkline>
            <x14:sparkline>
              <xm:sqref>A16</xm:sqref>
            </x14:sparkline>
            <x14:sparkline>
              <xm:sqref>A17</xm:sqref>
            </x14:sparkline>
            <x14:sparkline>
              <xm:sqref>A14</xm:sqref>
            </x14:sparkline>
            <x14:sparkline>
              <xm:sqref>A15</xm:sqref>
            </x14:sparkline>
            <x14:sparkline>
              <xm:sqref>A12</xm:sqref>
            </x14:sparkline>
            <x14:sparkline>
              <xm:sqref>A13</xm:sqref>
            </x14:sparkline>
            <x14:sparkline>
              <xm:sqref>A10</xm:sqref>
            </x14:sparkline>
            <x14:sparkline>
              <xm:sqref>A11</xm:sqref>
            </x14:sparkline>
            <x14:sparkline>
              <xm:sqref>A8</xm:sqref>
            </x14:sparkline>
            <x14:sparkline>
              <xm:sqref>A9</xm:sqref>
            </x14:sparkline>
            <x14:sparkline>
              <xm:sqref>A45</xm:sqref>
            </x14:sparkline>
            <x14:sparkline>
              <xm:sqref>A47</xm:sqref>
            </x14:sparkline>
          </x14:sparklines>
        </x14:sparklineGroup>
        <x14:sparklineGroup manualMax="0" manualMin="0" displayEmptyCellsAs="gap" xr2:uid="{82D59368-F2FF-4D70-B973-417A348FEB92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A44</xm:sqref>
            </x14:sparkline>
            <x14:sparkline>
              <xm:sqref>A46</xm:sqref>
            </x14:sparkline>
            <x14:sparkline>
              <xm:sqref>A48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10D9-91E5-44F8-93BD-622CC81419A7}">
  <sheetPr>
    <tabColor theme="5" tint="0.39997558519241921"/>
  </sheetPr>
  <dimension ref="A1:AX21"/>
  <sheetViews>
    <sheetView tabSelected="1" zoomScale="115" zoomScaleNormal="115" workbookViewId="0">
      <selection activeCell="G22" sqref="G22"/>
    </sheetView>
  </sheetViews>
  <sheetFormatPr defaultColWidth="9" defaultRowHeight="15"/>
  <cols>
    <col min="1" max="1" width="11.375" style="192" bestFit="1" customWidth="1"/>
    <col min="2" max="15" width="8.625" style="183" customWidth="1"/>
    <col min="16" max="20" width="8.625" style="184" customWidth="1"/>
    <col min="21" max="28" width="9" style="164"/>
    <col min="29" max="29" width="1.625" style="225" customWidth="1"/>
    <col min="30" max="43" width="9" style="164" customWidth="1"/>
    <col min="44" max="16384" width="9" style="164"/>
  </cols>
  <sheetData>
    <row r="1" spans="1:50" ht="15.75" thickBot="1"/>
    <row r="2" spans="1:50" ht="36" customHeight="1" thickTop="1" thickBot="1">
      <c r="A2" s="1098" t="s">
        <v>1316</v>
      </c>
      <c r="B2" s="1099"/>
      <c r="C2" s="1099"/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099"/>
      <c r="Z2" s="1099"/>
      <c r="AA2" s="1099"/>
      <c r="AB2" s="1099"/>
      <c r="AC2" s="1099"/>
      <c r="AD2" s="1099"/>
      <c r="AE2" s="1099"/>
      <c r="AF2" s="1099"/>
      <c r="AG2" s="1099"/>
      <c r="AH2" s="1099"/>
      <c r="AI2" s="1099"/>
      <c r="AJ2" s="1099"/>
      <c r="AK2" s="1099"/>
      <c r="AL2" s="1099"/>
      <c r="AM2" s="1099"/>
      <c r="AN2" s="1099"/>
      <c r="AO2" s="1099"/>
      <c r="AP2" s="1099"/>
      <c r="AQ2" s="1099"/>
      <c r="AR2" s="1099"/>
      <c r="AS2" s="1099"/>
      <c r="AT2" s="1099"/>
      <c r="AU2" s="1099"/>
      <c r="AV2" s="1099"/>
      <c r="AW2" s="1099"/>
      <c r="AX2" s="1100"/>
    </row>
    <row r="3" spans="1:50">
      <c r="A3" s="378"/>
      <c r="B3" s="379" t="s">
        <v>1157</v>
      </c>
      <c r="C3" s="979" t="s">
        <v>1158</v>
      </c>
      <c r="D3" s="979" t="s">
        <v>1159</v>
      </c>
      <c r="E3" s="979" t="s">
        <v>1160</v>
      </c>
      <c r="F3" s="979" t="s">
        <v>1161</v>
      </c>
      <c r="G3" s="979" t="s">
        <v>1162</v>
      </c>
      <c r="H3" s="380" t="s">
        <v>1163</v>
      </c>
      <c r="I3" s="979" t="s">
        <v>1164</v>
      </c>
      <c r="J3" s="979" t="s">
        <v>1165</v>
      </c>
      <c r="K3" s="979" t="s">
        <v>1166</v>
      </c>
      <c r="L3" s="979" t="s">
        <v>1167</v>
      </c>
      <c r="M3" s="380" t="s">
        <v>1168</v>
      </c>
      <c r="N3" s="979" t="s">
        <v>1169</v>
      </c>
      <c r="O3" s="380" t="s">
        <v>1170</v>
      </c>
      <c r="P3" s="979" t="s">
        <v>1171</v>
      </c>
      <c r="Q3" s="979" t="s">
        <v>1172</v>
      </c>
      <c r="R3" s="979"/>
      <c r="S3" s="1104" t="s">
        <v>1285</v>
      </c>
      <c r="T3" s="1104"/>
      <c r="U3" s="1104" t="s">
        <v>1174</v>
      </c>
      <c r="V3" s="1104"/>
      <c r="W3" s="1104" t="s">
        <v>1175</v>
      </c>
      <c r="X3" s="1104"/>
      <c r="Y3" s="1104" t="s">
        <v>1176</v>
      </c>
      <c r="Z3" s="1104"/>
      <c r="AA3" s="1104" t="s">
        <v>1177</v>
      </c>
      <c r="AB3" s="1104"/>
      <c r="AC3" s="418"/>
      <c r="AD3" s="380" t="s">
        <v>1178</v>
      </c>
      <c r="AE3" s="979" t="s">
        <v>1179</v>
      </c>
      <c r="AF3" s="979" t="s">
        <v>1180</v>
      </c>
      <c r="AG3" s="979" t="s">
        <v>1181</v>
      </c>
      <c r="AH3" s="979" t="s">
        <v>1182</v>
      </c>
      <c r="AI3" s="979" t="s">
        <v>1183</v>
      </c>
      <c r="AJ3" s="380" t="s">
        <v>1184</v>
      </c>
      <c r="AK3" s="979" t="s">
        <v>1185</v>
      </c>
      <c r="AL3" s="979" t="s">
        <v>1186</v>
      </c>
      <c r="AM3" s="979" t="s">
        <v>1187</v>
      </c>
      <c r="AN3" s="380" t="s">
        <v>1188</v>
      </c>
      <c r="AO3" s="979" t="s">
        <v>1189</v>
      </c>
      <c r="AP3" s="979" t="s">
        <v>1190</v>
      </c>
      <c r="AQ3" s="979" t="s">
        <v>1211</v>
      </c>
      <c r="AR3" s="409" t="s">
        <v>1212</v>
      </c>
      <c r="AS3" s="380" t="s">
        <v>1213</v>
      </c>
      <c r="AT3" s="979" t="s">
        <v>1214</v>
      </c>
      <c r="AU3" s="979" t="s">
        <v>1215</v>
      </c>
      <c r="AV3" s="979" t="s">
        <v>1216</v>
      </c>
      <c r="AW3" s="979" t="s">
        <v>1217</v>
      </c>
      <c r="AX3" s="381" t="s">
        <v>1218</v>
      </c>
    </row>
    <row r="4" spans="1:50" s="306" customFormat="1" ht="15.75" customHeight="1">
      <c r="A4" s="382"/>
      <c r="B4" s="1101" t="s">
        <v>1228</v>
      </c>
      <c r="C4" s="1097"/>
      <c r="D4" s="1097"/>
      <c r="E4" s="1097"/>
      <c r="F4" s="1097"/>
      <c r="G4" s="1097"/>
      <c r="H4" s="1102"/>
      <c r="I4" s="1096" t="s">
        <v>1307</v>
      </c>
      <c r="J4" s="1097"/>
      <c r="K4" s="1097"/>
      <c r="L4" s="1097"/>
      <c r="M4" s="1097"/>
      <c r="N4" s="1097"/>
      <c r="O4" s="1097"/>
      <c r="P4" s="1096" t="s">
        <v>1229</v>
      </c>
      <c r="Q4" s="1097"/>
      <c r="R4" s="1097"/>
      <c r="S4" s="1097"/>
      <c r="T4" s="1097"/>
      <c r="U4" s="1097"/>
      <c r="V4" s="1097"/>
      <c r="W4" s="1097"/>
      <c r="X4" s="1097"/>
      <c r="Y4" s="1097"/>
      <c r="Z4" s="1097"/>
      <c r="AA4" s="1097"/>
      <c r="AB4" s="978"/>
      <c r="AC4" s="419"/>
      <c r="AD4" s="1097" t="s">
        <v>1268</v>
      </c>
      <c r="AE4" s="1097"/>
      <c r="AF4" s="1097"/>
      <c r="AG4" s="1097"/>
      <c r="AH4" s="1097"/>
      <c r="AI4" s="1097"/>
      <c r="AJ4" s="1102"/>
      <c r="AK4" s="1096" t="s">
        <v>1308</v>
      </c>
      <c r="AL4" s="1097"/>
      <c r="AM4" s="1097"/>
      <c r="AN4" s="1097"/>
      <c r="AO4" s="1097"/>
      <c r="AP4" s="1097"/>
      <c r="AQ4" s="1097"/>
      <c r="AR4" s="1096" t="s">
        <v>1269</v>
      </c>
      <c r="AS4" s="1097"/>
      <c r="AT4" s="1097"/>
      <c r="AU4" s="1097"/>
      <c r="AV4" s="1097"/>
      <c r="AW4" s="1097"/>
      <c r="AX4" s="1103"/>
    </row>
    <row r="5" spans="1:50" ht="31.5">
      <c r="A5" s="383" t="s">
        <v>1191</v>
      </c>
      <c r="B5" s="384" t="s">
        <v>1192</v>
      </c>
      <c r="C5" s="977" t="s">
        <v>1193</v>
      </c>
      <c r="D5" s="977" t="s">
        <v>1194</v>
      </c>
      <c r="E5" s="977" t="s">
        <v>1195</v>
      </c>
      <c r="F5" s="977" t="s">
        <v>1196</v>
      </c>
      <c r="G5" s="977" t="s">
        <v>1197</v>
      </c>
      <c r="H5" s="385" t="s">
        <v>1198</v>
      </c>
      <c r="I5" s="386" t="s">
        <v>1192</v>
      </c>
      <c r="J5" s="977" t="s">
        <v>1193</v>
      </c>
      <c r="K5" s="977" t="s">
        <v>1194</v>
      </c>
      <c r="L5" s="977" t="s">
        <v>1195</v>
      </c>
      <c r="M5" s="977" t="s">
        <v>1196</v>
      </c>
      <c r="N5" s="977" t="s">
        <v>1197</v>
      </c>
      <c r="O5" s="977" t="s">
        <v>1198</v>
      </c>
      <c r="P5" s="386" t="s">
        <v>1192</v>
      </c>
      <c r="Q5" s="1106" t="s">
        <v>1193</v>
      </c>
      <c r="R5" s="1106"/>
      <c r="S5" s="1105" t="s">
        <v>1194</v>
      </c>
      <c r="T5" s="1105"/>
      <c r="U5" s="1105" t="s">
        <v>1195</v>
      </c>
      <c r="V5" s="1105"/>
      <c r="W5" s="1105" t="s">
        <v>1196</v>
      </c>
      <c r="X5" s="1105"/>
      <c r="Y5" s="1105" t="s">
        <v>1197</v>
      </c>
      <c r="Z5" s="1105"/>
      <c r="AA5" s="1105" t="s">
        <v>1198</v>
      </c>
      <c r="AB5" s="1105"/>
      <c r="AC5" s="420"/>
      <c r="AD5" s="977" t="s">
        <v>1192</v>
      </c>
      <c r="AE5" s="977" t="s">
        <v>1193</v>
      </c>
      <c r="AF5" s="977" t="s">
        <v>1194</v>
      </c>
      <c r="AG5" s="977" t="s">
        <v>1195</v>
      </c>
      <c r="AH5" s="977" t="s">
        <v>1196</v>
      </c>
      <c r="AI5" s="977" t="s">
        <v>1197</v>
      </c>
      <c r="AJ5" s="385" t="s">
        <v>1198</v>
      </c>
      <c r="AK5" s="386" t="s">
        <v>1192</v>
      </c>
      <c r="AL5" s="977" t="s">
        <v>1193</v>
      </c>
      <c r="AM5" s="977" t="s">
        <v>1194</v>
      </c>
      <c r="AN5" s="977" t="s">
        <v>1195</v>
      </c>
      <c r="AO5" s="977" t="s">
        <v>1196</v>
      </c>
      <c r="AP5" s="977" t="s">
        <v>1197</v>
      </c>
      <c r="AQ5" s="977" t="s">
        <v>1198</v>
      </c>
      <c r="AR5" s="386" t="s">
        <v>1192</v>
      </c>
      <c r="AS5" s="977" t="s">
        <v>1193</v>
      </c>
      <c r="AT5" s="977" t="s">
        <v>1194</v>
      </c>
      <c r="AU5" s="977" t="s">
        <v>1195</v>
      </c>
      <c r="AV5" s="977" t="s">
        <v>1196</v>
      </c>
      <c r="AW5" s="977" t="s">
        <v>1197</v>
      </c>
      <c r="AX5" s="387" t="s">
        <v>1198</v>
      </c>
    </row>
    <row r="6" spans="1:50">
      <c r="A6" s="388"/>
      <c r="B6" s="389" t="s">
        <v>1199</v>
      </c>
      <c r="C6" s="901" t="s">
        <v>1199</v>
      </c>
      <c r="D6" s="901" t="s">
        <v>1199</v>
      </c>
      <c r="E6" s="901" t="s">
        <v>1199</v>
      </c>
      <c r="F6" s="901" t="s">
        <v>1199</v>
      </c>
      <c r="G6" s="901" t="s">
        <v>1199</v>
      </c>
      <c r="H6" s="390"/>
      <c r="I6" s="391" t="s">
        <v>1199</v>
      </c>
      <c r="J6" s="901" t="s">
        <v>1199</v>
      </c>
      <c r="K6" s="901" t="s">
        <v>1199</v>
      </c>
      <c r="L6" s="901" t="s">
        <v>1199</v>
      </c>
      <c r="M6" s="901" t="s">
        <v>1199</v>
      </c>
      <c r="N6" s="901" t="s">
        <v>1199</v>
      </c>
      <c r="O6" s="901"/>
      <c r="P6" s="391" t="s">
        <v>1199</v>
      </c>
      <c r="Q6" s="901" t="s">
        <v>1199</v>
      </c>
      <c r="R6" s="901" t="s">
        <v>1199</v>
      </c>
      <c r="S6" s="901" t="s">
        <v>1199</v>
      </c>
      <c r="T6" s="901" t="s">
        <v>1199</v>
      </c>
      <c r="U6" s="901" t="s">
        <v>1199</v>
      </c>
      <c r="V6" s="901" t="s">
        <v>1199</v>
      </c>
      <c r="W6" s="901" t="s">
        <v>1199</v>
      </c>
      <c r="X6" s="901" t="s">
        <v>1199</v>
      </c>
      <c r="Y6" s="901" t="s">
        <v>1199</v>
      </c>
      <c r="Z6" s="901" t="s">
        <v>1199</v>
      </c>
      <c r="AA6" s="901"/>
      <c r="AB6" s="901"/>
      <c r="AC6" s="1263"/>
      <c r="AD6" s="901" t="s">
        <v>1199</v>
      </c>
      <c r="AE6" s="901" t="s">
        <v>1199</v>
      </c>
      <c r="AF6" s="901" t="s">
        <v>1199</v>
      </c>
      <c r="AG6" s="901" t="s">
        <v>1199</v>
      </c>
      <c r="AH6" s="901" t="s">
        <v>1199</v>
      </c>
      <c r="AI6" s="901" t="s">
        <v>1199</v>
      </c>
      <c r="AJ6" s="390"/>
      <c r="AK6" s="391" t="s">
        <v>1199</v>
      </c>
      <c r="AL6" s="901" t="s">
        <v>1199</v>
      </c>
      <c r="AM6" s="901" t="s">
        <v>1199</v>
      </c>
      <c r="AN6" s="901" t="s">
        <v>1199</v>
      </c>
      <c r="AO6" s="901" t="s">
        <v>1199</v>
      </c>
      <c r="AP6" s="901" t="s">
        <v>1199</v>
      </c>
      <c r="AQ6" s="901"/>
      <c r="AR6" s="391" t="s">
        <v>1199</v>
      </c>
      <c r="AS6" s="901" t="s">
        <v>1199</v>
      </c>
      <c r="AT6" s="901" t="s">
        <v>1199</v>
      </c>
      <c r="AU6" s="901" t="s">
        <v>1199</v>
      </c>
      <c r="AV6" s="901" t="s">
        <v>1199</v>
      </c>
      <c r="AW6" s="901" t="s">
        <v>1199</v>
      </c>
      <c r="AX6" s="392"/>
    </row>
    <row r="7" spans="1:50">
      <c r="A7" s="393" t="s">
        <v>1200</v>
      </c>
      <c r="B7" s="369"/>
      <c r="C7" s="332"/>
      <c r="D7" s="332"/>
      <c r="E7" s="332"/>
      <c r="F7" s="332"/>
      <c r="G7" s="332"/>
      <c r="H7" s="394"/>
      <c r="I7" s="332"/>
      <c r="J7" s="332"/>
      <c r="K7" s="332"/>
      <c r="L7" s="332"/>
      <c r="M7" s="332"/>
      <c r="N7" s="332"/>
      <c r="O7" s="332"/>
      <c r="P7" s="395"/>
      <c r="Q7" s="337"/>
      <c r="R7" s="337"/>
      <c r="S7" s="337"/>
      <c r="T7" s="337"/>
      <c r="U7" s="396"/>
      <c r="V7" s="337"/>
      <c r="W7" s="337"/>
      <c r="X7" s="337"/>
      <c r="Y7" s="337"/>
      <c r="Z7" s="337"/>
      <c r="AA7" s="332"/>
      <c r="AB7" s="332"/>
      <c r="AC7" s="422"/>
      <c r="AD7" s="396"/>
      <c r="AE7" s="337"/>
      <c r="AF7" s="337"/>
      <c r="AG7" s="396"/>
      <c r="AH7" s="337"/>
      <c r="AI7" s="337"/>
      <c r="AJ7" s="397"/>
      <c r="AK7" s="337"/>
      <c r="AL7" s="337"/>
      <c r="AM7" s="337"/>
      <c r="AN7" s="337"/>
      <c r="AO7" s="337"/>
      <c r="AP7" s="337"/>
      <c r="AQ7" s="337"/>
      <c r="AR7" s="395"/>
      <c r="AS7" s="337"/>
      <c r="AT7" s="337"/>
      <c r="AU7" s="396"/>
      <c r="AV7" s="337"/>
      <c r="AW7" s="337"/>
      <c r="AX7" s="1264"/>
    </row>
    <row r="8" spans="1:50">
      <c r="A8" s="368">
        <v>1981</v>
      </c>
      <c r="B8" s="369"/>
      <c r="C8" s="370">
        <f>[5]HKG1981!$I$110</f>
        <v>2.8057007119059563E-2</v>
      </c>
      <c r="D8" s="370">
        <f>[5]Summary!$G$2</f>
        <v>9.1186374425888062E-2</v>
      </c>
      <c r="E8" s="370">
        <f>[5]Summary!$F$2</f>
        <v>0.32363119721412659</v>
      </c>
      <c r="F8" s="370">
        <f>[5]Summary!$E$2</f>
        <v>0.45672842860221863</v>
      </c>
      <c r="G8" s="370">
        <f>[5]Summary!$D$2</f>
        <v>0.21964037418365479</v>
      </c>
      <c r="H8" s="400">
        <f>[5]Summary!$C$2</f>
        <v>0.4340137243270874</v>
      </c>
      <c r="I8" s="370"/>
      <c r="J8" s="370">
        <f>[6]HKG1981!$I$110</f>
        <v>3.4342497587203979E-2</v>
      </c>
      <c r="K8" s="370">
        <f>[6]Summary!$G$2</f>
        <v>9.7063392400741577E-2</v>
      </c>
      <c r="L8" s="370">
        <f>[6]Summary!$F$2</f>
        <v>0.32800504565238953</v>
      </c>
      <c r="M8" s="370">
        <f>[6]Summary!$E$2</f>
        <v>0.45377495884895325</v>
      </c>
      <c r="N8" s="370">
        <f>[6]Summary!$D$2</f>
        <v>0.21821999549865723</v>
      </c>
      <c r="O8" s="400">
        <f>[6]Summary!$C$2</f>
        <v>0.43767133355140686</v>
      </c>
      <c r="P8" s="398"/>
      <c r="Q8" s="370">
        <f>[7]HKG1981!$I$110</f>
        <v>2.5190537795424461E-2</v>
      </c>
      <c r="R8" s="370"/>
      <c r="S8" s="370">
        <f>[7]Summary!$G$2</f>
        <v>0.10666424781084061</v>
      </c>
      <c r="T8" s="370"/>
      <c r="U8" s="370">
        <f>[7]Summary!$F$2</f>
        <v>0.40700343251228333</v>
      </c>
      <c r="V8" s="370"/>
      <c r="W8" s="370">
        <f>[7]Summary!$E$2</f>
        <v>0.40641376376152039</v>
      </c>
      <c r="X8" s="370"/>
      <c r="Y8" s="370">
        <f>[7]Summary!$D$2</f>
        <v>0.18658280372619629</v>
      </c>
      <c r="Z8" s="370"/>
      <c r="AA8" s="370">
        <f>[7]Summary!$C$2</f>
        <v>0.50420445203781128</v>
      </c>
      <c r="AB8" s="370"/>
      <c r="AC8" s="423"/>
      <c r="AD8" s="399"/>
      <c r="AE8" s="370">
        <f>[8]HKG1981!$I$110</f>
        <v>3.4518923610448837E-2</v>
      </c>
      <c r="AF8" s="371">
        <f>[8]Summary!$G$2</f>
        <v>0.11595525592565536</v>
      </c>
      <c r="AG8" s="371">
        <f>[8]Summary!$F$2</f>
        <v>0.34733471274375916</v>
      </c>
      <c r="AH8" s="371">
        <f>[8]Summary!$E$2</f>
        <v>0.40555456280708313</v>
      </c>
      <c r="AI8" s="371">
        <f>[8]Summary!$D$2</f>
        <v>0.24711072444915771</v>
      </c>
      <c r="AJ8" s="372">
        <f>[8]Summary!$C$2</f>
        <v>0.40731227397918701</v>
      </c>
      <c r="AK8" s="371"/>
      <c r="AL8" s="370">
        <f>[9]HKG1981!$I$110</f>
        <v>6.6917389631271362E-2</v>
      </c>
      <c r="AM8" s="371">
        <f>[9]Summary!$G$2</f>
        <v>0.14561982452869415</v>
      </c>
      <c r="AN8" s="371">
        <f>[9]Summary!$F$2</f>
        <v>0.36923515796661377</v>
      </c>
      <c r="AO8" s="371">
        <f>[9]Summary!$E$2</f>
        <v>0.39194601774215698</v>
      </c>
      <c r="AP8" s="371">
        <f>[9]Summary!$D$2</f>
        <v>0.23881882429122925</v>
      </c>
      <c r="AQ8" s="372">
        <f>[9]Summary!$C$2</f>
        <v>0.4271867573261261</v>
      </c>
      <c r="AR8" s="373"/>
      <c r="AS8" s="370">
        <f>[10]HKG1981!$I$110</f>
        <v>4.1590049862861633E-2</v>
      </c>
      <c r="AT8" s="371">
        <f>[10]Summary!$G$7</f>
        <v>0.14842991530895233</v>
      </c>
      <c r="AU8" s="371">
        <f>[10]Summary!$F$2</f>
        <v>0.40426033735275269</v>
      </c>
      <c r="AV8" s="371">
        <f>[10]Summary!$E$2</f>
        <v>0.39035242795944214</v>
      </c>
      <c r="AW8" s="371">
        <f>[10]Summary!$D$2</f>
        <v>0.20538723468780518</v>
      </c>
      <c r="AX8" s="1265">
        <f>[10]Summary!$C$2</f>
        <v>0.47883588075637817</v>
      </c>
    </row>
    <row r="9" spans="1:50">
      <c r="A9" s="368">
        <v>1986</v>
      </c>
      <c r="B9" s="369"/>
      <c r="C9" s="370">
        <f>[5]HKG1986!$I$110</f>
        <v>1.6587641090154648E-2</v>
      </c>
      <c r="D9" s="371">
        <f>[5]Summary!$G$7</f>
        <v>8.4507763385772705E-2</v>
      </c>
      <c r="E9" s="334">
        <f>[5]Summary!$F$7</f>
        <v>0.33950522541999817</v>
      </c>
      <c r="F9" s="371">
        <f>[5]Summary!$E$7</f>
        <v>0.45793202519416809</v>
      </c>
      <c r="G9" s="371">
        <f>[5]Summary!$D$7</f>
        <v>0.20256274938583374</v>
      </c>
      <c r="H9" s="372">
        <f>[5]Summary!$C$7</f>
        <v>0.45858126878738403</v>
      </c>
      <c r="I9" s="371"/>
      <c r="J9" s="370">
        <f>[6]HKG1986!$I$110</f>
        <v>1.7847629263997078E-2</v>
      </c>
      <c r="K9" s="371">
        <f>[6]Summary!$G$7</f>
        <v>8.5680745542049408E-2</v>
      </c>
      <c r="L9" s="334">
        <f>[6]Summary!$F$7</f>
        <v>0.34035149216651917</v>
      </c>
      <c r="M9" s="371">
        <f>[6]Summary!$E$7</f>
        <v>0.45734533667564392</v>
      </c>
      <c r="N9" s="371">
        <f>[6]Summary!$D$7</f>
        <v>0.20230317115783691</v>
      </c>
      <c r="O9" s="372">
        <f>[6]Summary!$C$7</f>
        <v>0.45927461981773376</v>
      </c>
      <c r="P9" s="398"/>
      <c r="Q9" s="370">
        <f>[7]HKG1986!$I$110</f>
        <v>2.4315821006894112E-2</v>
      </c>
      <c r="R9" s="370"/>
      <c r="S9" s="371">
        <f>[7]Summary!$G$7</f>
        <v>0.10679087787866592</v>
      </c>
      <c r="T9" s="371"/>
      <c r="U9" s="334">
        <f>[7]Summary!$F$7</f>
        <v>0.39209991693496704</v>
      </c>
      <c r="V9" s="334"/>
      <c r="W9" s="371">
        <f>[7]Summary!$E$7</f>
        <v>0.42666900157928467</v>
      </c>
      <c r="X9" s="371"/>
      <c r="Y9" s="371">
        <f>[7]Summary!$D$7</f>
        <v>0.18123108148574829</v>
      </c>
      <c r="Z9" s="371"/>
      <c r="AA9" s="371">
        <f>[7]Summary!$C$7</f>
        <v>0.50444525480270386</v>
      </c>
      <c r="AB9" s="371"/>
      <c r="AC9" s="424"/>
      <c r="AD9" s="399"/>
      <c r="AE9" s="370">
        <f>[8]HKG1986!$I$110</f>
        <v>2.0588554441928864E-2</v>
      </c>
      <c r="AF9" s="371">
        <f>[8]Summary!$G$7</f>
        <v>9.6460781991481781E-2</v>
      </c>
      <c r="AG9" s="371">
        <f>[8]Summary!$F$7</f>
        <v>0.35233661532402039</v>
      </c>
      <c r="AH9" s="371">
        <f>[8]Summary!$E$7</f>
        <v>0.41441991925239563</v>
      </c>
      <c r="AI9" s="371">
        <f>[8]Summary!$D$7</f>
        <v>0.23324346542358398</v>
      </c>
      <c r="AJ9" s="372">
        <f>[8]Summary!$C$7</f>
        <v>0.4243190586566925</v>
      </c>
      <c r="AK9" s="371"/>
      <c r="AL9" s="370">
        <f>[9]HKG1986!$I$110</f>
        <v>3.7883821874856949E-2</v>
      </c>
      <c r="AM9" s="371">
        <f>[9]Summary!$G$7</f>
        <v>0.11766047775745392</v>
      </c>
      <c r="AN9" s="371">
        <f>[9]Summary!$F$7</f>
        <v>0.36753270030021667</v>
      </c>
      <c r="AO9" s="371">
        <f>[9]Summary!$E$7</f>
        <v>0.40469643473625183</v>
      </c>
      <c r="AP9" s="371">
        <f>[9]Summary!$D$7</f>
        <v>0.22777086496353149</v>
      </c>
      <c r="AQ9" s="372">
        <f>[9]Summary!$C$7</f>
        <v>0.43779182434082031</v>
      </c>
      <c r="AR9" s="373"/>
      <c r="AS9" s="370">
        <f>[10]HKG1986!$I$110</f>
        <v>5.0568394362926483E-2</v>
      </c>
      <c r="AT9" s="371">
        <f>[10]Summary!$G$7</f>
        <v>0.14842991530895233</v>
      </c>
      <c r="AU9" s="371">
        <f>[10]Summary!$F$7</f>
        <v>0.42931801080703735</v>
      </c>
      <c r="AV9" s="371">
        <f>[10]Summary!$E$7</f>
        <v>0.37934130430221558</v>
      </c>
      <c r="AW9" s="371">
        <f>[10]Summary!$D$7</f>
        <v>0.19134068489074707</v>
      </c>
      <c r="AX9" s="1265">
        <f>[10]Summary!$C$7</f>
        <v>0.50919991731643677</v>
      </c>
    </row>
    <row r="10" spans="1:50">
      <c r="A10" s="368">
        <v>1991</v>
      </c>
      <c r="B10" s="374"/>
      <c r="C10" s="399">
        <f>[5]HKG1991!$I$110</f>
        <v>1.8357647582888603E-2</v>
      </c>
      <c r="D10" s="371">
        <f>[5]Summary!$G$12</f>
        <v>9.8296552896499634E-2</v>
      </c>
      <c r="E10" s="334">
        <f>[5]Summary!$F$12</f>
        <v>0.39245516061782837</v>
      </c>
      <c r="F10" s="371">
        <f>[5]Summary!$E$12</f>
        <v>0.459023118019104</v>
      </c>
      <c r="G10" s="371">
        <f>[5]Summary!$D$12</f>
        <v>0.14852172136306763</v>
      </c>
      <c r="H10" s="372">
        <f>[5]Summary!$C$12</f>
        <v>0.54034745693206787</v>
      </c>
      <c r="I10" s="371"/>
      <c r="J10" s="399">
        <f>[6]HKG1991!$I$110</f>
        <v>2.3684581741690636E-2</v>
      </c>
      <c r="K10" s="371">
        <f>[6]Summary!$G$12</f>
        <v>0.10923509299755096</v>
      </c>
      <c r="L10" s="334">
        <f>[6]Summary!$F$12</f>
        <v>0.39999344944953918</v>
      </c>
      <c r="M10" s="371">
        <f>[6]Summary!$E$12</f>
        <v>0.45332708954811096</v>
      </c>
      <c r="N10" s="371">
        <f>[6]Summary!$D$12</f>
        <v>0.14667946100234985</v>
      </c>
      <c r="O10" s="372">
        <f>[6]Summary!$C$12</f>
        <v>0.54600286483764648</v>
      </c>
      <c r="P10" s="398"/>
      <c r="Q10" s="399">
        <f>[7]HKG1991!$I$110</f>
        <v>3.1086564064025879E-2</v>
      </c>
      <c r="R10" s="399"/>
      <c r="S10" s="371">
        <f>[7]Summary!$G$12</f>
        <v>0.12177582085132599</v>
      </c>
      <c r="T10" s="371"/>
      <c r="U10" s="334">
        <f>[7]Summary!$F$12</f>
        <v>0.42553547024726868</v>
      </c>
      <c r="V10" s="334"/>
      <c r="W10" s="371">
        <f>[7]Summary!$E$12</f>
        <v>0.43539789319038391</v>
      </c>
      <c r="X10" s="371"/>
      <c r="Y10" s="371">
        <f>[7]Summary!$D$12</f>
        <v>0.13906663656234741</v>
      </c>
      <c r="Z10" s="371"/>
      <c r="AA10" s="371">
        <f>[7]Summary!$C$12</f>
        <v>0.56543701887130737</v>
      </c>
      <c r="AB10" s="371"/>
      <c r="AC10" s="424"/>
      <c r="AD10" s="399"/>
      <c r="AE10" s="399">
        <f>[8]HKG1991!$I$110</f>
        <v>1.6887903213500977E-2</v>
      </c>
      <c r="AF10" s="371">
        <f>[8]Summary!$G$12</f>
        <v>9.9745497107505798E-2</v>
      </c>
      <c r="AG10" s="371">
        <f>[8]Summary!$F$12</f>
        <v>0.38697072863578796</v>
      </c>
      <c r="AH10" s="371">
        <f>[8]Summary!$E$12</f>
        <v>0.41900363564491272</v>
      </c>
      <c r="AI10" s="371">
        <f>[8]Summary!$D$12</f>
        <v>0.19402563571929932</v>
      </c>
      <c r="AJ10" s="372">
        <f>[8]Summary!$C$12</f>
        <v>0.48389405012130737</v>
      </c>
      <c r="AK10" s="371"/>
      <c r="AL10" s="399">
        <f>[9]HKG1991!$I$110</f>
        <v>3.7113592028617859E-2</v>
      </c>
      <c r="AM10" s="371">
        <f>[9]Summary!$G$12</f>
        <v>0.14780981838703156</v>
      </c>
      <c r="AN10" s="371">
        <f>[9]Summary!$F$12</f>
        <v>0.42192924022674561</v>
      </c>
      <c r="AO10" s="371">
        <f>[9]Summary!$E$12</f>
        <v>0.39511275291442871</v>
      </c>
      <c r="AP10" s="371">
        <f>[9]Summary!$D$12</f>
        <v>0.18295800685882568</v>
      </c>
      <c r="AQ10" s="372">
        <f>[9]Summary!$C$12</f>
        <v>0.51298552751541138</v>
      </c>
      <c r="AR10" s="398"/>
      <c r="AS10" s="399">
        <f>[10]HKG1991!$I$110</f>
        <v>4.8379048705101013E-2</v>
      </c>
      <c r="AT10" s="371">
        <f>[10]Summary!$G$12</f>
        <v>0.16548068821430206</v>
      </c>
      <c r="AU10" s="371">
        <f>[10]Summary!$F$12</f>
        <v>0.45264589786529541</v>
      </c>
      <c r="AV10" s="371">
        <f>[10]Summary!$E$12</f>
        <v>0.38031101226806641</v>
      </c>
      <c r="AW10" s="371">
        <f>[10]Summary!$D$12</f>
        <v>0.16704308986663818</v>
      </c>
      <c r="AX10" s="1265">
        <f>[10]Summary!$C$12</f>
        <v>0.54661136865615845</v>
      </c>
    </row>
    <row r="11" spans="1:50">
      <c r="A11" s="368">
        <v>1996</v>
      </c>
      <c r="B11" s="374"/>
      <c r="C11" s="399">
        <f>[5]HKG1996!$I$110</f>
        <v>1.6792099922895432E-2</v>
      </c>
      <c r="D11" s="371">
        <f>[5]Summary!$G$17</f>
        <v>9.5772542059421539E-2</v>
      </c>
      <c r="E11" s="334">
        <f>[5]Summary!$F$17</f>
        <v>0.39592236280441284</v>
      </c>
      <c r="F11" s="371">
        <f>[5]Summary!$E$17</f>
        <v>0.44717073440551758</v>
      </c>
      <c r="G11" s="371">
        <f>[5]Summary!$D$17</f>
        <v>0.15690690279006958</v>
      </c>
      <c r="H11" s="372">
        <f>[5]Summary!$C$17</f>
        <v>0.5315176248550415</v>
      </c>
      <c r="I11" s="371"/>
      <c r="J11" s="399">
        <f>[6]HKG1996!$I$110</f>
        <v>2.7541903778910637E-2</v>
      </c>
      <c r="K11" s="371">
        <f>[6]Summary!$G$17</f>
        <v>0.12054727971553802</v>
      </c>
      <c r="L11" s="334">
        <f>[6]Summary!$F$17</f>
        <v>0.41418275237083435</v>
      </c>
      <c r="M11" s="371">
        <f>[6]Summary!$E$17</f>
        <v>0.43365368247032166</v>
      </c>
      <c r="N11" s="371">
        <f>[6]Summary!$D$17</f>
        <v>0.15216356515884399</v>
      </c>
      <c r="O11" s="372">
        <f>[6]Summary!$C$17</f>
        <v>0.54546225070953369</v>
      </c>
      <c r="P11" s="398"/>
      <c r="Q11" s="399">
        <f>[7]HKG1996!$I$110</f>
        <v>3.22108194231987E-2</v>
      </c>
      <c r="R11" s="399"/>
      <c r="S11" s="371">
        <f>[7]Summary!$G$17</f>
        <v>0.11830522119998932</v>
      </c>
      <c r="T11" s="371"/>
      <c r="U11" s="334">
        <f>[7]Summary!$F$17</f>
        <v>0.41151031851768494</v>
      </c>
      <c r="V11" s="334"/>
      <c r="W11" s="371">
        <f>[7]Summary!$E$17</f>
        <v>0.43590137362480164</v>
      </c>
      <c r="X11" s="371"/>
      <c r="Y11" s="371">
        <f>[7]Summary!$D$17</f>
        <v>0.15258830785751343</v>
      </c>
      <c r="Z11" s="371"/>
      <c r="AA11" s="371">
        <f>[7]Summary!$C$17</f>
        <v>0.54384797811508179</v>
      </c>
      <c r="AB11" s="371"/>
      <c r="AC11" s="424"/>
      <c r="AD11" s="399"/>
      <c r="AE11" s="399">
        <f>[8]HKG1996!$I$110</f>
        <v>1.4552495442330837E-2</v>
      </c>
      <c r="AF11" s="371">
        <f>[8]Summary!$G$17</f>
        <v>8.85152667760849E-2</v>
      </c>
      <c r="AG11" s="371">
        <f>[8]Summary!$F$17</f>
        <v>0.37457150220870972</v>
      </c>
      <c r="AH11" s="371">
        <f>[8]Summary!$E$17</f>
        <v>0.43266260623931885</v>
      </c>
      <c r="AI11" s="371">
        <f>[8]Summary!$D$17</f>
        <v>0.19276589155197144</v>
      </c>
      <c r="AJ11" s="372">
        <f>[8]Summary!$C$17</f>
        <v>0.47827616333961487</v>
      </c>
      <c r="AK11" s="371"/>
      <c r="AL11" s="399">
        <f>[9]HKG1996!$I$110</f>
        <v>3.433382511138916E-2</v>
      </c>
      <c r="AM11" s="371">
        <f>[9]Summary!$G$17</f>
        <v>0.13757164776325226</v>
      </c>
      <c r="AN11" s="371">
        <f>[9]Summary!$F$17</f>
        <v>0.41260254383087158</v>
      </c>
      <c r="AO11" s="371">
        <f>[9]Summary!$E$17</f>
        <v>0.40635323524475098</v>
      </c>
      <c r="AP11" s="371">
        <f>[9]Summary!$D$17</f>
        <v>0.18104422092437744</v>
      </c>
      <c r="AQ11" s="372">
        <f>[9]Summary!$C$17</f>
        <v>0.50949776172637939</v>
      </c>
      <c r="AR11" s="398"/>
      <c r="AS11" s="399">
        <f>[10]HKG1996!$I$110</f>
        <v>4.7044657170772552E-2</v>
      </c>
      <c r="AT11" s="370">
        <f>[10]Summary!$G$17</f>
        <v>0.14260709285736084</v>
      </c>
      <c r="AU11" s="371">
        <f>[10]Summary!$F$17</f>
        <v>0.41896694898605347</v>
      </c>
      <c r="AV11" s="371">
        <f>[10]Summary!$E$17</f>
        <v>0.41102749109268188</v>
      </c>
      <c r="AW11" s="371">
        <f>[10]Summary!$D$17</f>
        <v>0.17000555992126465</v>
      </c>
      <c r="AX11" s="1265">
        <f>[10]Summary!$C$17</f>
        <v>0.52846026420593262</v>
      </c>
    </row>
    <row r="12" spans="1:50">
      <c r="A12" s="368">
        <v>2001</v>
      </c>
      <c r="B12" s="374"/>
      <c r="C12" s="399">
        <f>[5]HKG2001!$I$110</f>
        <v>1.4945430681109428E-2</v>
      </c>
      <c r="D12" s="371">
        <f>[5]Summary!$G$22</f>
        <v>9.3636438250541687E-2</v>
      </c>
      <c r="E12" s="334">
        <f>[5]Summary!$F$22</f>
        <v>0.41141337156295776</v>
      </c>
      <c r="F12" s="371">
        <f>[5]Summary!$E$22</f>
        <v>0.45607995986938477</v>
      </c>
      <c r="G12" s="371">
        <f>[5]Summary!$D$22</f>
        <v>0.13250666856765747</v>
      </c>
      <c r="H12" s="372">
        <f>[5]Summary!$C$22</f>
        <v>0.5637890100479126</v>
      </c>
      <c r="I12" s="371"/>
      <c r="J12" s="399">
        <f>[6]HKG2001!$I$110</f>
        <v>2.0657803863286972E-2</v>
      </c>
      <c r="K12" s="371">
        <f>[6]Summary!$G$22</f>
        <v>0.1060960441827774</v>
      </c>
      <c r="L12" s="334">
        <f>[6]Summary!$F$22</f>
        <v>0.4214896559715271</v>
      </c>
      <c r="M12" s="371">
        <f>[6]Summary!$E$22</f>
        <v>0.44827336072921753</v>
      </c>
      <c r="N12" s="371">
        <f>[6]Summary!$D$22</f>
        <v>0.13023698329925537</v>
      </c>
      <c r="O12" s="372">
        <f>[6]Summary!$C$22</f>
        <v>0.57107847929000854</v>
      </c>
      <c r="P12" s="398"/>
      <c r="Q12" s="399">
        <f>[7]HKG2001!$I$110</f>
        <v>3.7396762520074844E-2</v>
      </c>
      <c r="R12" s="399"/>
      <c r="S12" s="371">
        <f>[7]Summary!$G$22</f>
        <v>0.13343586027622223</v>
      </c>
      <c r="T12" s="371"/>
      <c r="U12" s="334">
        <f>[7]Summary!$F$22</f>
        <v>0.43689244985580444</v>
      </c>
      <c r="V12" s="334"/>
      <c r="W12" s="371">
        <f>[7]Summary!$E$22</f>
        <v>0.43412607908248901</v>
      </c>
      <c r="X12" s="371"/>
      <c r="Y12" s="371">
        <f>[7]Summary!$D$22</f>
        <v>0.12898147106170654</v>
      </c>
      <c r="Z12" s="371"/>
      <c r="AA12" s="371">
        <f>[7]Summary!$C$22</f>
        <v>0.58018797636032104</v>
      </c>
      <c r="AB12" s="371"/>
      <c r="AC12" s="424"/>
      <c r="AD12" s="399"/>
      <c r="AE12" s="399">
        <f>[8]HKG2001!$I$110</f>
        <v>1.3533152639865875E-2</v>
      </c>
      <c r="AF12" s="371">
        <f>[8]Summary!$G$22</f>
        <v>8.7291799485683441E-2</v>
      </c>
      <c r="AG12" s="371">
        <f>[8]Summary!$F$22</f>
        <v>0.38582172989845276</v>
      </c>
      <c r="AH12" s="371">
        <f>[8]Summary!$E$22</f>
        <v>0.44259563088417053</v>
      </c>
      <c r="AI12" s="371">
        <f>[8]Summary!$D$22</f>
        <v>0.17158263921737671</v>
      </c>
      <c r="AJ12" s="372">
        <f>[8]Summary!$C$22</f>
        <v>0.50800848007202148</v>
      </c>
      <c r="AK12" s="371"/>
      <c r="AL12" s="399">
        <f>[9]HKG2001!$I$110</f>
        <v>3.045164979994297E-2</v>
      </c>
      <c r="AM12" s="371">
        <f>[9]Summary!$G$22</f>
        <v>0.12207693606615067</v>
      </c>
      <c r="AN12" s="371">
        <f>[9]Summary!$F$22</f>
        <v>0.41416391730308533</v>
      </c>
      <c r="AO12" s="371">
        <f>[9]Summary!$E$22</f>
        <v>0.42217293381690979</v>
      </c>
      <c r="AP12" s="371">
        <f>[9]Summary!$D$22</f>
        <v>0.16366314888000488</v>
      </c>
      <c r="AQ12" s="372">
        <f>[9]Summary!$C$22</f>
        <v>0.53024667501449585</v>
      </c>
      <c r="AR12" s="398"/>
      <c r="AS12" s="399">
        <f>[10]HKG2001!$I$110</f>
        <v>5.8907419443130493E-2</v>
      </c>
      <c r="AT12" s="370">
        <f>[10]Summary!$G$22</f>
        <v>0.16202853620052338</v>
      </c>
      <c r="AU12" s="371">
        <f>[10]Summary!$F$22</f>
        <v>0.4406830370426178</v>
      </c>
      <c r="AV12" s="371">
        <f>[10]Summary!$E$22</f>
        <v>0.40512344241142273</v>
      </c>
      <c r="AW12" s="371">
        <f>[10]Summary!$D$22</f>
        <v>0.15419352054595947</v>
      </c>
      <c r="AX12" s="1265">
        <f>[10]Summary!$C$22</f>
        <v>0.55552715063095093</v>
      </c>
    </row>
    <row r="13" spans="1:50">
      <c r="A13" s="368">
        <v>2006</v>
      </c>
      <c r="B13" s="374"/>
      <c r="C13" s="399">
        <f>[5]HKG2006!$I$110</f>
        <v>1.6391998156905174E-2</v>
      </c>
      <c r="D13" s="371">
        <f>[5]Summary!$G$27</f>
        <v>9.6836000680923462E-2</v>
      </c>
      <c r="E13" s="334">
        <f>[5]Summary!$F$27</f>
        <v>0.40899118781089783</v>
      </c>
      <c r="F13" s="371">
        <f>[5]Summary!$E$27</f>
        <v>0.46168753504753113</v>
      </c>
      <c r="G13" s="371">
        <f>[5]Summary!$D$27</f>
        <v>0.12932127714157104</v>
      </c>
      <c r="H13" s="372">
        <f>[5]Summary!$C$27</f>
        <v>0.56645828485488892</v>
      </c>
      <c r="I13" s="371"/>
      <c r="J13" s="399">
        <f>[6]HKG2006!$I$110</f>
        <v>2.4771286174654961E-2</v>
      </c>
      <c r="K13" s="371">
        <f>[6]Summary!$G$27</f>
        <v>0.1117522269487381</v>
      </c>
      <c r="L13" s="334">
        <f>[6]Summary!$F$27</f>
        <v>0.41999906301498413</v>
      </c>
      <c r="M13" s="371">
        <f>[6]Summary!$E$27</f>
        <v>0.45308810472488403</v>
      </c>
      <c r="N13" s="371">
        <f>[6]Summary!$D$27</f>
        <v>0.12691283226013184</v>
      </c>
      <c r="O13" s="372">
        <f>[6]Summary!$C$27</f>
        <v>0.5743829607963562</v>
      </c>
      <c r="P13" s="398"/>
      <c r="Q13" s="399">
        <f>[7]HKG2006!$I$110</f>
        <v>5.3963784128427505E-2</v>
      </c>
      <c r="R13" s="399"/>
      <c r="S13" s="371">
        <f>[7]Summary!$G$27</f>
        <v>0.17187821865081787</v>
      </c>
      <c r="T13" s="371"/>
      <c r="U13" s="334">
        <f>[7]Summary!$F$27</f>
        <v>0.47412654757499695</v>
      </c>
      <c r="V13" s="334"/>
      <c r="W13" s="371">
        <f>[7]Summary!$E$27</f>
        <v>0.41343507170677185</v>
      </c>
      <c r="X13" s="371"/>
      <c r="Y13" s="371">
        <f>[7]Summary!$D$27</f>
        <v>0.1124383807182312</v>
      </c>
      <c r="Z13" s="371"/>
      <c r="AA13" s="371">
        <f>[7]Summary!$C$27</f>
        <v>0.61565941572189331</v>
      </c>
      <c r="AB13" s="371"/>
      <c r="AC13" s="424"/>
      <c r="AD13" s="399"/>
      <c r="AE13" s="399">
        <f>[8]HKG2006!$I$110</f>
        <v>1.4704108238220215E-2</v>
      </c>
      <c r="AF13" s="371">
        <f>[8]Summary!$G$27</f>
        <v>9.5239974558353424E-2</v>
      </c>
      <c r="AG13" s="371">
        <f>[8]Summary!$F$27</f>
        <v>0.39507836103439331</v>
      </c>
      <c r="AH13" s="371">
        <f>[8]Summary!$E$27</f>
        <v>0.44144970178604126</v>
      </c>
      <c r="AI13" s="371">
        <f>[8]Summary!$D$27</f>
        <v>0.16347193717956543</v>
      </c>
      <c r="AJ13" s="372">
        <f>[8]Summary!$C$27</f>
        <v>0.52116143703460693</v>
      </c>
      <c r="AK13" s="371"/>
      <c r="AL13" s="399">
        <f>[9]HKG2006!$I$110</f>
        <v>3.4481935203075409E-2</v>
      </c>
      <c r="AM13" s="371">
        <f>[9]Summary!$G$27</f>
        <v>0.1380237489938736</v>
      </c>
      <c r="AN13" s="371">
        <f>[9]Summary!$F$27</f>
        <v>0.42857673764228821</v>
      </c>
      <c r="AO13" s="371">
        <f>[9]Summary!$E$27</f>
        <v>0.41700324416160583</v>
      </c>
      <c r="AP13" s="371">
        <f>[9]Summary!$D$27</f>
        <v>0.15442001819610596</v>
      </c>
      <c r="AQ13" s="372">
        <f>[9]Summary!$C$27</f>
        <v>0.54716753959655762</v>
      </c>
      <c r="AR13" s="398"/>
      <c r="AS13" s="399">
        <f>[10]HKG2006!$I$110</f>
        <v>7.4949033558368683E-2</v>
      </c>
      <c r="AT13" s="370">
        <f>[10]Summary!$G$27</f>
        <v>0.21535316109657288</v>
      </c>
      <c r="AU13" s="371">
        <f>[10]Summary!$F$27</f>
        <v>0.49554726481437683</v>
      </c>
      <c r="AV13" s="371">
        <f>[10]Summary!$E$27</f>
        <v>0.37358829379081726</v>
      </c>
      <c r="AW13" s="371">
        <f>[10]Summary!$D$27</f>
        <v>0.13086444139480591</v>
      </c>
      <c r="AX13" s="1265">
        <f>[10]Summary!$C$27</f>
        <v>0.60581111907958984</v>
      </c>
    </row>
    <row r="14" spans="1:50">
      <c r="A14" s="368">
        <v>2011</v>
      </c>
      <c r="B14" s="374"/>
      <c r="C14" s="399">
        <f>[5]HKG2011!$I$110</f>
        <v>1.4019489288330078E-2</v>
      </c>
      <c r="D14" s="371">
        <f>[5]Summary!$G$32</f>
        <v>9.3913175165653229E-2</v>
      </c>
      <c r="E14" s="334">
        <f>[5]Summary!$F$32</f>
        <v>0.41638132929801941</v>
      </c>
      <c r="F14" s="371">
        <f>[5]Summary!$E$32</f>
        <v>0.4567234218120575</v>
      </c>
      <c r="G14" s="371">
        <f>[5]Summary!$D$32</f>
        <v>0.1268952488899231</v>
      </c>
      <c r="H14" s="372">
        <f>[5]Summary!$C$32</f>
        <v>0.57198649644851685</v>
      </c>
      <c r="I14" s="371"/>
      <c r="J14" s="399">
        <f>[6]HKG2011!$I$110</f>
        <v>2.3729337379336357E-2</v>
      </c>
      <c r="K14" s="371">
        <f>[6]Summary!$G$32</f>
        <v>0.11603857576847076</v>
      </c>
      <c r="L14" s="334">
        <f>[6]Summary!$F$32</f>
        <v>0.43408358097076416</v>
      </c>
      <c r="M14" s="371">
        <f>[6]Summary!$E$32</f>
        <v>0.44287079572677612</v>
      </c>
      <c r="N14" s="371">
        <f>[6]Summary!$D$32</f>
        <v>0.12304562330245972</v>
      </c>
      <c r="O14" s="372">
        <f>[6]Summary!$C$32</f>
        <v>0.58461880683898926</v>
      </c>
      <c r="P14" s="398"/>
      <c r="Q14" s="399">
        <f>[7]HKG2011!$I$110</f>
        <v>4.222174733877182E-2</v>
      </c>
      <c r="R14" s="399"/>
      <c r="S14" s="371">
        <f>[7]Summary!$G$32</f>
        <v>0.16854876279830933</v>
      </c>
      <c r="T14" s="371"/>
      <c r="U14" s="334">
        <f>[7]Summary!$F$32</f>
        <v>0.48259079456329346</v>
      </c>
      <c r="V14" s="334"/>
      <c r="W14" s="371">
        <f>[7]Summary!$E$32</f>
        <v>0.40736812353134155</v>
      </c>
      <c r="X14" s="371"/>
      <c r="Y14" s="371">
        <f>[7]Summary!$D$32</f>
        <v>0.11004108190536499</v>
      </c>
      <c r="Z14" s="371"/>
      <c r="AA14" s="371">
        <f>[7]Summary!$C$32</f>
        <v>0.62179344892501831</v>
      </c>
      <c r="AB14" s="371"/>
      <c r="AC14" s="424"/>
      <c r="AD14" s="399"/>
      <c r="AE14" s="399">
        <f>[8]HKG2011!$I$110</f>
        <v>1.3799054548144341E-2</v>
      </c>
      <c r="AF14" s="371">
        <f>[8]Summary!$G$32</f>
        <v>9.0520896017551422E-2</v>
      </c>
      <c r="AG14" s="371">
        <f>[8]Summary!$F$32</f>
        <v>0.39633196592330933</v>
      </c>
      <c r="AH14" s="371">
        <f>[8]Summary!$E$32</f>
        <v>0.44371110200881958</v>
      </c>
      <c r="AI14" s="371">
        <f>[8]Summary!$D$32</f>
        <v>0.15995693206787109</v>
      </c>
      <c r="AJ14" s="372">
        <f>[8]Summary!$C$32</f>
        <v>0.5260615348815918</v>
      </c>
      <c r="AK14" s="371"/>
      <c r="AL14" s="399">
        <f>[9]HKG2011!$I$110</f>
        <v>3.2828006893396378E-2</v>
      </c>
      <c r="AM14" s="371">
        <f>[9]Summary!$G$32</f>
        <v>0.13655103743076324</v>
      </c>
      <c r="AN14" s="371">
        <f>[9]Summary!$F$32</f>
        <v>0.43571433424949646</v>
      </c>
      <c r="AO14" s="371">
        <f>[9]Summary!$E$32</f>
        <v>0.41476568579673767</v>
      </c>
      <c r="AP14" s="371">
        <f>[9]Summary!$D$32</f>
        <v>0.14951997995376587</v>
      </c>
      <c r="AQ14" s="372">
        <f>[9]Summary!$C$32</f>
        <v>0.55615121126174927</v>
      </c>
      <c r="AR14" s="398"/>
      <c r="AS14" s="399">
        <f>[10]HKG2011!$I$110</f>
        <v>5.9283178299665451E-2</v>
      </c>
      <c r="AT14" s="370">
        <f>[10]Summary!$G$32</f>
        <v>0.20061403512954712</v>
      </c>
      <c r="AU14" s="371">
        <f>[10]Summary!$F$32</f>
        <v>0.49359750747680664</v>
      </c>
      <c r="AV14" s="371">
        <f>[10]Summary!$E$32</f>
        <v>0.37787055969238281</v>
      </c>
      <c r="AW14" s="371">
        <f>[10]Summary!$D$32</f>
        <v>0.12853193283081055</v>
      </c>
      <c r="AX14" s="1265">
        <f>[10]Summary!$C$32</f>
        <v>0.60786020755767822</v>
      </c>
    </row>
    <row r="15" spans="1:50" s="186" customFormat="1">
      <c r="A15" s="368">
        <v>2016</v>
      </c>
      <c r="B15" s="374"/>
      <c r="C15" s="399">
        <f>[5]HKG2016!$I$110</f>
        <v>1.1968203820288181E-2</v>
      </c>
      <c r="D15" s="371">
        <f>[5]Summary!$G$37</f>
        <v>8.5750490427017212E-2</v>
      </c>
      <c r="E15" s="334">
        <f>[5]Summary!$F$37</f>
        <v>0.39880490303039551</v>
      </c>
      <c r="F15" s="371">
        <f>[5]Summary!$E$37</f>
        <v>0.46570098400115967</v>
      </c>
      <c r="G15" s="371">
        <f>[5]Summary!$D$37</f>
        <v>0.13549411296844482</v>
      </c>
      <c r="H15" s="372">
        <f>[5]Summary!$C$37</f>
        <v>0.55450242757797241</v>
      </c>
      <c r="I15" s="371"/>
      <c r="J15" s="399">
        <f>[6]HKG2016!$I$110</f>
        <v>2.267318032681942E-2</v>
      </c>
      <c r="K15" s="371">
        <f>[6]Summary!$G$37</f>
        <v>0.11645259708166122</v>
      </c>
      <c r="L15" s="334">
        <f>[6]Summary!$F$37</f>
        <v>0.42591178417205811</v>
      </c>
      <c r="M15" s="371">
        <f>[6]Summary!$E$37</f>
        <v>0.44470429420471191</v>
      </c>
      <c r="N15" s="371">
        <f>[6]Summary!$D$37</f>
        <v>0.12938392162322998</v>
      </c>
      <c r="O15" s="372">
        <f>[6]Summary!$C$37</f>
        <v>0.57395410537719727</v>
      </c>
      <c r="P15" s="398"/>
      <c r="Q15" s="399">
        <f>[7]HKG2016!$I$110</f>
        <v>4.1752088814973831E-2</v>
      </c>
      <c r="R15" s="399">
        <f>Q15</f>
        <v>4.1752088814973831E-2</v>
      </c>
      <c r="S15" s="371">
        <f>[7]Summary!$G$37</f>
        <v>0.16552810370922089</v>
      </c>
      <c r="T15" s="371">
        <f>S15</f>
        <v>0.16552810370922089</v>
      </c>
      <c r="U15" s="334">
        <f>[7]Summary!$F$37</f>
        <v>0.48302823305130005</v>
      </c>
      <c r="V15" s="334">
        <f>U15</f>
        <v>0.48302823305130005</v>
      </c>
      <c r="W15" s="371">
        <f>[7]Summary!$E$37</f>
        <v>0.4021790623664856</v>
      </c>
      <c r="X15" s="371">
        <f>W15</f>
        <v>0.4021790623664856</v>
      </c>
      <c r="Y15" s="371">
        <f>[7]Summary!$D$37</f>
        <v>0.11479270458221436</v>
      </c>
      <c r="Z15" s="371">
        <f>Y15</f>
        <v>0.11479270458221436</v>
      </c>
      <c r="AA15" s="371">
        <f>[7]Summary!$C$37</f>
        <v>0.61599826812744141</v>
      </c>
      <c r="AB15" s="371">
        <f>AA15</f>
        <v>0.61599826812744141</v>
      </c>
      <c r="AC15" s="424"/>
      <c r="AD15" s="399"/>
      <c r="AE15" s="399">
        <f>[8]HKG2016!$I$110</f>
        <v>1.1653502471745014E-2</v>
      </c>
      <c r="AF15" s="371">
        <f>[8]Summary!$G$37</f>
        <v>8.1016115844249725E-2</v>
      </c>
      <c r="AG15" s="371">
        <f>[8]Summary!$F$37</f>
        <v>0.37902674078941345</v>
      </c>
      <c r="AH15" s="371">
        <f>[8]Summary!$E$37</f>
        <v>0.45118823647499084</v>
      </c>
      <c r="AI15" s="371">
        <f>[8]Summary!$D$37</f>
        <v>0.1697850227355957</v>
      </c>
      <c r="AJ15" s="372">
        <f>[8]Summary!$C$37</f>
        <v>0.50776380300521851</v>
      </c>
      <c r="AK15" s="371"/>
      <c r="AL15" s="399">
        <f>[9]HKG2016!$I$110</f>
        <v>2.3546822369098663E-2</v>
      </c>
      <c r="AM15" s="371">
        <f>[9]Summary!$G$37</f>
        <v>0.12248846143484116</v>
      </c>
      <c r="AN15" s="371">
        <f>[9]Summary!$F$37</f>
        <v>0.41795048117637634</v>
      </c>
      <c r="AO15" s="371">
        <f>[9]Summary!$E$37</f>
        <v>0.42291811108589172</v>
      </c>
      <c r="AP15" s="371">
        <f>[9]Summary!$D$37</f>
        <v>0.15913140773773193</v>
      </c>
      <c r="AQ15" s="372">
        <f>[9]Summary!$C$37</f>
        <v>0.53763413429260254</v>
      </c>
      <c r="AR15" s="398"/>
      <c r="AS15" s="399">
        <f>[10]HKG2016!$I$110</f>
        <v>4.6978726983070374E-2</v>
      </c>
      <c r="AT15" s="370">
        <f>[10]Summary!$G$37</f>
        <v>0.17801757156848907</v>
      </c>
      <c r="AU15" s="371">
        <f>[10]Summary!$F$37</f>
        <v>0.48101910948753357</v>
      </c>
      <c r="AV15" s="371">
        <f>[10]Summary!$E$37</f>
        <v>0.3818800151348114</v>
      </c>
      <c r="AW15" s="371">
        <f>[10]Summary!$D$37</f>
        <v>0.13710087537765503</v>
      </c>
      <c r="AX15" s="1265">
        <f>[10]Summary!$C$37</f>
        <v>0.5916893482208252</v>
      </c>
    </row>
    <row r="16" spans="1:50" s="186" customFormat="1" ht="15.75" thickBot="1">
      <c r="A16" s="346">
        <v>2018</v>
      </c>
      <c r="B16" s="410"/>
      <c r="C16" s="411"/>
      <c r="D16" s="412"/>
      <c r="E16" s="493"/>
      <c r="F16" s="412"/>
      <c r="G16" s="412"/>
      <c r="H16" s="893"/>
      <c r="I16" s="412"/>
      <c r="J16" s="411"/>
      <c r="K16" s="412"/>
      <c r="L16" s="493"/>
      <c r="M16" s="412"/>
      <c r="N16" s="412"/>
      <c r="O16" s="413"/>
      <c r="P16" s="414"/>
      <c r="Q16" s="902"/>
      <c r="R16" s="411">
        <f>[7]HKG2018!$I$110</f>
        <v>4.412122443318367E-2</v>
      </c>
      <c r="S16" s="412"/>
      <c r="T16" s="412">
        <f>[7]Summary!$G$39</f>
        <v>0.16274772584438324</v>
      </c>
      <c r="U16" s="902"/>
      <c r="V16" s="493">
        <f>[7]Summary!$F$39</f>
        <v>0.47284740209579468</v>
      </c>
      <c r="W16" s="902"/>
      <c r="X16" s="412">
        <f>[7]Summary!$E$39</f>
        <v>0.41148591041564941</v>
      </c>
      <c r="Y16" s="902"/>
      <c r="Z16" s="412">
        <f>[7]Summary!$D$39</f>
        <v>0.11566668748855591</v>
      </c>
      <c r="AA16" s="902"/>
      <c r="AB16" s="412">
        <f>[7]Summary!$C$39</f>
        <v>0.610848069190979</v>
      </c>
      <c r="AC16" s="425"/>
      <c r="AD16" s="411"/>
      <c r="AE16" s="411"/>
      <c r="AF16" s="412"/>
      <c r="AG16" s="412"/>
      <c r="AH16" s="412"/>
      <c r="AI16" s="412"/>
      <c r="AJ16" s="413"/>
      <c r="AK16" s="412"/>
      <c r="AL16" s="411"/>
      <c r="AM16" s="412"/>
      <c r="AN16" s="412"/>
      <c r="AO16" s="412"/>
      <c r="AP16" s="412"/>
      <c r="AQ16" s="413"/>
      <c r="AR16" s="414"/>
      <c r="AS16" s="411"/>
      <c r="AT16" s="415"/>
      <c r="AU16" s="412"/>
      <c r="AV16" s="412"/>
      <c r="AW16" s="412"/>
      <c r="AX16" s="1266"/>
    </row>
    <row r="17" spans="1:50" ht="16.5" thickTop="1" thickBot="1">
      <c r="A17" s="377"/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3"/>
      <c r="Q17" s="333"/>
      <c r="R17" s="333"/>
      <c r="S17" s="333"/>
      <c r="T17" s="333"/>
      <c r="U17" s="186"/>
      <c r="V17" s="186"/>
      <c r="W17" s="186"/>
      <c r="X17" s="186"/>
      <c r="Y17" s="186"/>
      <c r="Z17" s="186"/>
      <c r="AA17" s="186"/>
      <c r="AB17" s="186"/>
      <c r="AC17" s="42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</row>
    <row r="18" spans="1:50" ht="15.75" thickTop="1">
      <c r="A18" s="1107" t="s">
        <v>1284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9"/>
      <c r="R18" s="884"/>
      <c r="S18" s="333"/>
      <c r="T18" s="333"/>
      <c r="U18" s="186"/>
      <c r="V18" s="186"/>
      <c r="W18" s="186"/>
      <c r="X18" s="186"/>
      <c r="Y18" s="186"/>
      <c r="Z18" s="186"/>
      <c r="AA18" s="186"/>
      <c r="AB18" s="186"/>
      <c r="AC18" s="42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</row>
    <row r="19" spans="1:50">
      <c r="A19" s="1110"/>
      <c r="B19" s="1111"/>
      <c r="C19" s="1111"/>
      <c r="D19" s="1111"/>
      <c r="E19" s="1111"/>
      <c r="F19" s="1111"/>
      <c r="G19" s="1111"/>
      <c r="H19" s="1111"/>
      <c r="I19" s="1111"/>
      <c r="J19" s="1111"/>
      <c r="K19" s="1111"/>
      <c r="L19" s="1111"/>
      <c r="M19" s="1111"/>
      <c r="N19" s="1111"/>
      <c r="O19" s="1111"/>
      <c r="P19" s="1111"/>
      <c r="Q19" s="1112"/>
      <c r="R19" s="884"/>
      <c r="S19" s="333"/>
      <c r="T19" s="333"/>
      <c r="U19" s="186"/>
      <c r="V19" s="186"/>
      <c r="W19" s="186"/>
      <c r="X19" s="186"/>
      <c r="Y19" s="186"/>
      <c r="Z19" s="186"/>
      <c r="AA19" s="186"/>
      <c r="AB19" s="186"/>
      <c r="AC19" s="42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</row>
    <row r="20" spans="1:50" ht="15.75" thickBot="1">
      <c r="A20" s="1113"/>
      <c r="B20" s="1114"/>
      <c r="C20" s="1114"/>
      <c r="D20" s="1114"/>
      <c r="E20" s="1114"/>
      <c r="F20" s="1114"/>
      <c r="G20" s="1114"/>
      <c r="H20" s="1114"/>
      <c r="I20" s="1114"/>
      <c r="J20" s="1114"/>
      <c r="K20" s="1114"/>
      <c r="L20" s="1114"/>
      <c r="M20" s="1114"/>
      <c r="N20" s="1114"/>
      <c r="O20" s="1114"/>
      <c r="P20" s="1114"/>
      <c r="Q20" s="1115"/>
      <c r="R20" s="884"/>
      <c r="S20" s="333"/>
      <c r="T20" s="333"/>
      <c r="U20" s="186"/>
      <c r="V20" s="186"/>
      <c r="W20" s="186"/>
      <c r="X20" s="186"/>
      <c r="Y20" s="186"/>
      <c r="Z20" s="186"/>
      <c r="AA20" s="186"/>
      <c r="AB20" s="186"/>
      <c r="AC20" s="42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</row>
    <row r="21" spans="1:50" ht="15.75" thickTop="1"/>
  </sheetData>
  <mergeCells count="19">
    <mergeCell ref="Y5:Z5"/>
    <mergeCell ref="AA5:AB5"/>
    <mergeCell ref="Q5:R5"/>
    <mergeCell ref="A18:Q20"/>
    <mergeCell ref="S5:T5"/>
    <mergeCell ref="U5:V5"/>
    <mergeCell ref="W5:X5"/>
    <mergeCell ref="AK4:AQ4"/>
    <mergeCell ref="A2:AX2"/>
    <mergeCell ref="B4:H4"/>
    <mergeCell ref="I4:O4"/>
    <mergeCell ref="P4:AA4"/>
    <mergeCell ref="AD4:AJ4"/>
    <mergeCell ref="AR4:AX4"/>
    <mergeCell ref="S3:T3"/>
    <mergeCell ref="U3:V3"/>
    <mergeCell ref="W3:X3"/>
    <mergeCell ref="Y3:Z3"/>
    <mergeCell ref="AA3:AB3"/>
  </mergeCells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88951-C24D-4A0D-B15C-0BF6325C7C15}">
  <sheetPr>
    <tabColor theme="5" tint="0.39997558519241921"/>
  </sheetPr>
  <dimension ref="A1:AR18"/>
  <sheetViews>
    <sheetView zoomScaleNormal="100" workbookViewId="0">
      <pane xSplit="1" ySplit="6" topLeftCell="I7" activePane="bottomRight" state="frozen"/>
      <selection pane="topRight" activeCell="B1" sqref="B1"/>
      <selection pane="bottomLeft" activeCell="A7" sqref="A7"/>
      <selection pane="bottomRight" activeCell="R9" sqref="R9"/>
    </sheetView>
  </sheetViews>
  <sheetFormatPr defaultColWidth="9" defaultRowHeight="15"/>
  <cols>
    <col min="1" max="1" width="11.375" style="192" bestFit="1" customWidth="1"/>
    <col min="2" max="15" width="8.625" style="183" customWidth="1"/>
    <col min="16" max="18" width="8.625" style="184" customWidth="1"/>
    <col min="19" max="22" width="9" style="164"/>
    <col min="23" max="23" width="1.625" style="225" customWidth="1"/>
    <col min="24" max="16384" width="9" style="164"/>
  </cols>
  <sheetData>
    <row r="1" spans="1:44" ht="15.75" thickBot="1"/>
    <row r="2" spans="1:44" ht="35.25" customHeight="1" thickTop="1" thickBot="1">
      <c r="A2" s="1125" t="s">
        <v>1297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N2" s="1126"/>
      <c r="O2" s="1126"/>
      <c r="P2" s="1126"/>
      <c r="Q2" s="1126"/>
      <c r="R2" s="1126"/>
      <c r="S2" s="1126"/>
      <c r="T2" s="1126"/>
      <c r="U2" s="1126"/>
      <c r="V2" s="1126"/>
      <c r="W2" s="1126"/>
      <c r="X2" s="1126"/>
      <c r="Y2" s="1126"/>
      <c r="Z2" s="1126"/>
      <c r="AA2" s="1126"/>
      <c r="AB2" s="1126"/>
      <c r="AC2" s="1126"/>
      <c r="AD2" s="1126"/>
      <c r="AE2" s="1126"/>
      <c r="AF2" s="1126"/>
      <c r="AG2" s="1126"/>
      <c r="AH2" s="1126"/>
      <c r="AI2" s="1126"/>
      <c r="AJ2" s="1126"/>
      <c r="AK2" s="1126"/>
      <c r="AL2" s="1126"/>
      <c r="AM2" s="1126"/>
      <c r="AN2" s="1126"/>
      <c r="AO2" s="1126"/>
      <c r="AP2" s="1126"/>
      <c r="AQ2" s="1126"/>
      <c r="AR2" s="1127"/>
    </row>
    <row r="3" spans="1:44">
      <c r="A3" s="187"/>
      <c r="B3" s="287" t="s">
        <v>1157</v>
      </c>
      <c r="C3" s="167" t="s">
        <v>1158</v>
      </c>
      <c r="D3" s="167" t="s">
        <v>1159</v>
      </c>
      <c r="E3" s="167" t="s">
        <v>1160</v>
      </c>
      <c r="F3" s="167" t="s">
        <v>1161</v>
      </c>
      <c r="G3" s="167" t="s">
        <v>1162</v>
      </c>
      <c r="H3" s="167" t="s">
        <v>1163</v>
      </c>
      <c r="I3" s="169" t="s">
        <v>1164</v>
      </c>
      <c r="J3" s="167" t="s">
        <v>1165</v>
      </c>
      <c r="K3" s="167" t="s">
        <v>1166</v>
      </c>
      <c r="L3" s="167" t="s">
        <v>1167</v>
      </c>
      <c r="M3" s="167" t="s">
        <v>1168</v>
      </c>
      <c r="N3" s="167" t="s">
        <v>1169</v>
      </c>
      <c r="O3" s="168" t="s">
        <v>1170</v>
      </c>
      <c r="P3" s="167" t="s">
        <v>1171</v>
      </c>
      <c r="Q3" s="167" t="s">
        <v>1172</v>
      </c>
      <c r="R3" s="167" t="s">
        <v>1173</v>
      </c>
      <c r="S3" s="167" t="s">
        <v>1174</v>
      </c>
      <c r="T3" s="167" t="s">
        <v>1175</v>
      </c>
      <c r="U3" s="167" t="s">
        <v>1176</v>
      </c>
      <c r="V3" s="167" t="s">
        <v>1177</v>
      </c>
      <c r="W3" s="427"/>
      <c r="X3" s="366" t="s">
        <v>1295</v>
      </c>
      <c r="Y3" s="366" t="s">
        <v>1179</v>
      </c>
      <c r="Z3" s="366" t="s">
        <v>1180</v>
      </c>
      <c r="AA3" s="366" t="s">
        <v>1181</v>
      </c>
      <c r="AB3" s="366" t="s">
        <v>1182</v>
      </c>
      <c r="AC3" s="366" t="s">
        <v>1183</v>
      </c>
      <c r="AD3" s="366" t="s">
        <v>1184</v>
      </c>
      <c r="AE3" s="169" t="s">
        <v>1185</v>
      </c>
      <c r="AF3" s="167" t="s">
        <v>1186</v>
      </c>
      <c r="AG3" s="167" t="s">
        <v>1187</v>
      </c>
      <c r="AH3" s="167" t="s">
        <v>1188</v>
      </c>
      <c r="AI3" s="167" t="s">
        <v>1189</v>
      </c>
      <c r="AJ3" s="167" t="s">
        <v>1190</v>
      </c>
      <c r="AK3" s="168" t="s">
        <v>1211</v>
      </c>
      <c r="AL3" s="366" t="s">
        <v>1212</v>
      </c>
      <c r="AM3" s="366" t="s">
        <v>1213</v>
      </c>
      <c r="AN3" s="366" t="s">
        <v>1214</v>
      </c>
      <c r="AO3" s="366" t="s">
        <v>1215</v>
      </c>
      <c r="AP3" s="366" t="s">
        <v>1216</v>
      </c>
      <c r="AQ3" s="366" t="s">
        <v>1217</v>
      </c>
      <c r="AR3" s="367" t="s">
        <v>1218</v>
      </c>
    </row>
    <row r="4" spans="1:44" s="306" customFormat="1" ht="15.75" customHeight="1">
      <c r="A4" s="305"/>
      <c r="B4" s="1128" t="s">
        <v>1228</v>
      </c>
      <c r="C4" s="1129"/>
      <c r="D4" s="1129"/>
      <c r="E4" s="1129"/>
      <c r="F4" s="1129"/>
      <c r="G4" s="1129"/>
      <c r="H4" s="1129"/>
      <c r="I4" s="1096" t="s">
        <v>1307</v>
      </c>
      <c r="J4" s="1097"/>
      <c r="K4" s="1097"/>
      <c r="L4" s="1097"/>
      <c r="M4" s="1097"/>
      <c r="N4" s="1097"/>
      <c r="O4" s="1102"/>
      <c r="P4" s="1130" t="s">
        <v>1229</v>
      </c>
      <c r="Q4" s="1129"/>
      <c r="R4" s="1129"/>
      <c r="S4" s="1129"/>
      <c r="T4" s="1129"/>
      <c r="U4" s="1129"/>
      <c r="V4" s="1129"/>
      <c r="W4" s="419"/>
      <c r="X4" s="1129" t="s">
        <v>1268</v>
      </c>
      <c r="Y4" s="1129"/>
      <c r="Z4" s="1129"/>
      <c r="AA4" s="1129"/>
      <c r="AB4" s="1129"/>
      <c r="AC4" s="1129"/>
      <c r="AD4" s="1129"/>
      <c r="AE4" s="1096" t="s">
        <v>1308</v>
      </c>
      <c r="AF4" s="1097"/>
      <c r="AG4" s="1097"/>
      <c r="AH4" s="1097"/>
      <c r="AI4" s="1097"/>
      <c r="AJ4" s="1097"/>
      <c r="AK4" s="1102"/>
      <c r="AL4" s="1129" t="s">
        <v>1269</v>
      </c>
      <c r="AM4" s="1129"/>
      <c r="AN4" s="1129"/>
      <c r="AO4" s="1129"/>
      <c r="AP4" s="1129"/>
      <c r="AQ4" s="1129"/>
      <c r="AR4" s="1131"/>
    </row>
    <row r="5" spans="1:44" ht="31.5">
      <c r="A5" s="188" t="s">
        <v>1191</v>
      </c>
      <c r="B5" s="289" t="s">
        <v>1192</v>
      </c>
      <c r="C5" s="275" t="s">
        <v>1193</v>
      </c>
      <c r="D5" s="275" t="s">
        <v>1194</v>
      </c>
      <c r="E5" s="275" t="s">
        <v>1195</v>
      </c>
      <c r="F5" s="275" t="s">
        <v>1196</v>
      </c>
      <c r="G5" s="275" t="s">
        <v>1197</v>
      </c>
      <c r="H5" s="275" t="s">
        <v>1263</v>
      </c>
      <c r="I5" s="173" t="s">
        <v>1192</v>
      </c>
      <c r="J5" s="275" t="s">
        <v>1193</v>
      </c>
      <c r="K5" s="275" t="s">
        <v>1194</v>
      </c>
      <c r="L5" s="275" t="s">
        <v>1195</v>
      </c>
      <c r="M5" s="275" t="s">
        <v>1196</v>
      </c>
      <c r="N5" s="275" t="s">
        <v>1197</v>
      </c>
      <c r="O5" s="172" t="s">
        <v>1263</v>
      </c>
      <c r="P5" s="173" t="s">
        <v>1192</v>
      </c>
      <c r="Q5" s="275" t="s">
        <v>1193</v>
      </c>
      <c r="R5" s="275" t="s">
        <v>1194</v>
      </c>
      <c r="S5" s="275" t="s">
        <v>1195</v>
      </c>
      <c r="T5" s="275" t="s">
        <v>1196</v>
      </c>
      <c r="U5" s="275" t="s">
        <v>1197</v>
      </c>
      <c r="V5" s="275" t="s">
        <v>1263</v>
      </c>
      <c r="W5" s="420"/>
      <c r="X5" s="275" t="s">
        <v>1192</v>
      </c>
      <c r="Y5" s="275" t="s">
        <v>1193</v>
      </c>
      <c r="Z5" s="275" t="s">
        <v>1194</v>
      </c>
      <c r="AA5" s="275" t="s">
        <v>1195</v>
      </c>
      <c r="AB5" s="275" t="s">
        <v>1196</v>
      </c>
      <c r="AC5" s="275" t="s">
        <v>1197</v>
      </c>
      <c r="AD5" s="172" t="s">
        <v>1263</v>
      </c>
      <c r="AE5" s="275" t="s">
        <v>1192</v>
      </c>
      <c r="AF5" s="275" t="s">
        <v>1193</v>
      </c>
      <c r="AG5" s="275" t="s">
        <v>1194</v>
      </c>
      <c r="AH5" s="275" t="s">
        <v>1195</v>
      </c>
      <c r="AI5" s="275" t="s">
        <v>1196</v>
      </c>
      <c r="AJ5" s="275" t="s">
        <v>1197</v>
      </c>
      <c r="AK5" s="172" t="s">
        <v>1263</v>
      </c>
      <c r="AL5" s="173" t="s">
        <v>1192</v>
      </c>
      <c r="AM5" s="275" t="s">
        <v>1193</v>
      </c>
      <c r="AN5" s="275" t="s">
        <v>1194</v>
      </c>
      <c r="AO5" s="275" t="s">
        <v>1195</v>
      </c>
      <c r="AP5" s="275" t="s">
        <v>1196</v>
      </c>
      <c r="AQ5" s="275" t="s">
        <v>1197</v>
      </c>
      <c r="AR5" s="174" t="s">
        <v>1263</v>
      </c>
    </row>
    <row r="6" spans="1:44">
      <c r="A6" s="189"/>
      <c r="B6" s="352" t="s">
        <v>1199</v>
      </c>
      <c r="C6" s="353" t="s">
        <v>1199</v>
      </c>
      <c r="D6" s="353" t="s">
        <v>1199</v>
      </c>
      <c r="E6" s="353" t="s">
        <v>1199</v>
      </c>
      <c r="F6" s="353" t="s">
        <v>1199</v>
      </c>
      <c r="G6" s="353" t="s">
        <v>1199</v>
      </c>
      <c r="H6" s="353"/>
      <c r="I6" s="178" t="s">
        <v>1199</v>
      </c>
      <c r="J6" s="353" t="s">
        <v>1199</v>
      </c>
      <c r="K6" s="353" t="s">
        <v>1199</v>
      </c>
      <c r="L6" s="353" t="s">
        <v>1199</v>
      </c>
      <c r="M6" s="353" t="s">
        <v>1199</v>
      </c>
      <c r="N6" s="353" t="s">
        <v>1199</v>
      </c>
      <c r="O6" s="177"/>
      <c r="P6" s="178" t="s">
        <v>1199</v>
      </c>
      <c r="Q6" s="353" t="s">
        <v>1199</v>
      </c>
      <c r="R6" s="353" t="s">
        <v>1199</v>
      </c>
      <c r="S6" s="353" t="s">
        <v>1199</v>
      </c>
      <c r="T6" s="353" t="s">
        <v>1199</v>
      </c>
      <c r="U6" s="353" t="s">
        <v>1199</v>
      </c>
      <c r="V6" s="353"/>
      <c r="W6" s="421"/>
      <c r="X6" s="353" t="s">
        <v>1199</v>
      </c>
      <c r="Y6" s="353" t="s">
        <v>1199</v>
      </c>
      <c r="Z6" s="353" t="s">
        <v>1199</v>
      </c>
      <c r="AA6" s="353" t="s">
        <v>1199</v>
      </c>
      <c r="AB6" s="353" t="s">
        <v>1199</v>
      </c>
      <c r="AC6" s="353" t="s">
        <v>1199</v>
      </c>
      <c r="AD6" s="177"/>
      <c r="AE6" s="353" t="s">
        <v>1199</v>
      </c>
      <c r="AF6" s="353" t="s">
        <v>1199</v>
      </c>
      <c r="AG6" s="353" t="s">
        <v>1199</v>
      </c>
      <c r="AH6" s="353" t="s">
        <v>1199</v>
      </c>
      <c r="AI6" s="353" t="s">
        <v>1199</v>
      </c>
      <c r="AJ6" s="353" t="s">
        <v>1199</v>
      </c>
      <c r="AK6" s="177"/>
      <c r="AL6" s="178" t="s">
        <v>1199</v>
      </c>
      <c r="AM6" s="353" t="s">
        <v>1199</v>
      </c>
      <c r="AN6" s="353" t="s">
        <v>1199</v>
      </c>
      <c r="AO6" s="353" t="s">
        <v>1199</v>
      </c>
      <c r="AP6" s="353" t="s">
        <v>1199</v>
      </c>
      <c r="AQ6" s="353" t="s">
        <v>1199</v>
      </c>
      <c r="AR6" s="354"/>
    </row>
    <row r="7" spans="1:44">
      <c r="A7" s="190" t="s">
        <v>1200</v>
      </c>
      <c r="B7" s="308"/>
      <c r="C7" s="254"/>
      <c r="D7" s="254"/>
      <c r="E7" s="254"/>
      <c r="F7" s="254"/>
      <c r="G7" s="254"/>
      <c r="H7" s="254"/>
      <c r="I7" s="470"/>
      <c r="J7" s="254"/>
      <c r="K7" s="254"/>
      <c r="L7" s="254"/>
      <c r="M7" s="254"/>
      <c r="N7" s="254"/>
      <c r="O7" s="180"/>
      <c r="P7" s="181"/>
      <c r="Q7" s="358"/>
      <c r="R7" s="358"/>
      <c r="S7" s="355"/>
      <c r="T7" s="358"/>
      <c r="U7" s="358"/>
      <c r="V7" s="254"/>
      <c r="W7" s="422"/>
      <c r="X7" s="355"/>
      <c r="Y7" s="358"/>
      <c r="Z7" s="358"/>
      <c r="AA7" s="355"/>
      <c r="AB7" s="358"/>
      <c r="AC7" s="358"/>
      <c r="AD7" s="365"/>
      <c r="AE7" s="358"/>
      <c r="AF7" s="358"/>
      <c r="AG7" s="358"/>
      <c r="AH7" s="358"/>
      <c r="AI7" s="358"/>
      <c r="AJ7" s="358"/>
      <c r="AK7" s="358"/>
      <c r="AL7" s="181"/>
      <c r="AM7" s="358"/>
      <c r="AN7" s="358"/>
      <c r="AO7" s="355"/>
      <c r="AP7" s="358"/>
      <c r="AQ7" s="358"/>
      <c r="AR7" s="362"/>
    </row>
    <row r="8" spans="1:44">
      <c r="A8" s="191" t="s">
        <v>1259</v>
      </c>
      <c r="B8" s="290"/>
      <c r="C8" s="681">
        <f>('A2.1'!C11*'A2.0'!$G24/('A2.0'!$G9*'A2.1'!C8))^(1/15)-1</f>
        <v>5.2973332757927372E-2</v>
      </c>
      <c r="D8" s="681">
        <f>('A2.1'!D11*'A2.0'!$G24/('A2.0'!$G9*'A2.1'!D8))^(1/15)-1</f>
        <v>9.3202289223439649E-2</v>
      </c>
      <c r="E8" s="681">
        <f>('A2.1'!E11*'A2.0'!$G24/('A2.0'!$G9*'A2.1'!E8))^(1/15)-1</f>
        <v>0.10437636816776319</v>
      </c>
      <c r="F8" s="681">
        <f>('A2.1'!F11*'A2.0'!$G24/('A2.0'!$G9*'A2.1'!F8))^(1/15)-1</f>
        <v>8.8096675144460734E-2</v>
      </c>
      <c r="G8" s="681">
        <f>('A2.1'!G11*'A2.0'!$G24/('A2.0'!$G9*'A2.1'!G8))^(1/15)-1</f>
        <v>6.5471374822469341E-2</v>
      </c>
      <c r="H8" s="681">
        <f>('A2.0'!$G24/('A2.0'!$G9))^(1/15)-1</f>
        <v>8.963186377233634E-2</v>
      </c>
      <c r="I8" s="215"/>
      <c r="J8" s="619">
        <f>('A2.1'!J11*'A2.0'!$G24/('A2.0'!$G9*'A2.1'!J8))^(1/15)-1</f>
        <v>7.3718905582033756E-2</v>
      </c>
      <c r="K8" s="619">
        <f>('A2.1'!K11*'A2.0'!$G24/('A2.0'!$G9*'A2.1'!K8))^(1/15)-1</f>
        <v>0.10548602782980554</v>
      </c>
      <c r="L8" s="619">
        <f>('A2.1'!L11*'A2.0'!$G24/('A2.0'!$G9*'A2.1'!L8))^(1/15)-1</f>
        <v>0.10671015177805376</v>
      </c>
      <c r="M8" s="619">
        <f>('A2.1'!M11*'A2.0'!$G24/('A2.0'!$G9*'A2.1'!M8))^(1/15)-1</f>
        <v>8.6342146018665522E-2</v>
      </c>
      <c r="N8" s="619">
        <f>('A2.1'!N11*'A2.0'!$G24/('A2.0'!$G9*'A2.1'!N8))^(1/15)-1</f>
        <v>6.3753177121535387E-2</v>
      </c>
      <c r="O8" s="620">
        <f>('A2.0'!$G24/('A2.0'!$G9))^(1/15)-1</f>
        <v>8.963186377233634E-2</v>
      </c>
      <c r="P8" s="217"/>
      <c r="Q8" s="216">
        <f>('A2.1'!Q11*'A2.0'!$I24/('A2.0'!$I9*'A2.1'!Q8))^(1/15)-1</f>
        <v>9.2631742777786075E-2</v>
      </c>
      <c r="R8" s="216">
        <f>('A2.1'!S11*'A2.0'!$I24/('A2.0'!$I9*'A2.1'!S8))^(1/15)-1</f>
        <v>8.2318778292894246E-2</v>
      </c>
      <c r="S8" s="216">
        <f>('A2.1'!U11*'A2.0'!$I24/('A2.0'!$I9*'A2.1'!U8))^(1/15)-1</f>
        <v>7.566003934656651E-2</v>
      </c>
      <c r="T8" s="216">
        <f>('A2.1'!W11*'A2.0'!$I24/('A2.0'!$I9*'A2.1'!W8))^(1/15)-1</f>
        <v>7.990158789714652E-2</v>
      </c>
      <c r="U8" s="216">
        <f>('A2.1'!Y11*'A2.0'!$I24/('A2.0'!$I9*'A2.1'!Y8))^(1/15)-1</f>
        <v>6.0554116250270962E-2</v>
      </c>
      <c r="V8" s="311">
        <f>('A2.0'!$I24/('A2.0'!$I9))^(1/15)-1</f>
        <v>7.4870617134774609E-2</v>
      </c>
      <c r="W8" s="423"/>
      <c r="X8" s="218"/>
      <c r="Y8" s="681">
        <f>('A2.1'!AE11*'A2.0'!$N24/('A2.0'!$N9*'A2.1'!AE8))^(1/15)-1</f>
        <v>2.6596984564958293E-2</v>
      </c>
      <c r="Z8" s="681">
        <f>('A2.1'!AF11*'A2.0'!$N24/('A2.0'!$N9*'A2.1'!AF8))^(1/15)-1</f>
        <v>6.8045657817955352E-2</v>
      </c>
      <c r="AA8" s="681">
        <f>('A2.1'!AG11*'A2.0'!$N24/('A2.0'!$N9*'A2.1'!AG8))^(1/15)-1</f>
        <v>9.2933501976472099E-2</v>
      </c>
      <c r="AB8" s="681">
        <f>('A2.1'!AH11*'A2.0'!$N24/('A2.0'!$N9*'A2.1'!AH8))^(1/15)-1</f>
        <v>9.2147528053734717E-2</v>
      </c>
      <c r="AC8" s="681">
        <f>('A2.1'!AI11*'A2.0'!$N24/('A2.0'!$N9*'A2.1'!AI8))^(1/15)-1</f>
        <v>6.9589692299318884E-2</v>
      </c>
      <c r="AD8" s="682">
        <f>('A2.0'!$N24/('A2.0'!$N9))^(1/15)-1</f>
        <v>8.744667356829261E-2</v>
      </c>
      <c r="AE8" s="216"/>
      <c r="AF8" s="619">
        <f>('A2.1'!AL11*'A2.0'!$G24/('A2.0'!$G9*'A2.1'!AL8))^(1/15)-1</f>
        <v>4.2218252255586508E-2</v>
      </c>
      <c r="AG8" s="619">
        <f>('A2.1'!AM11*'A2.0'!$G24/('A2.0'!$G9*'A2.1'!AM8))^(1/15)-1</f>
        <v>8.5509654484145603E-2</v>
      </c>
      <c r="AH8" s="619">
        <f>('A2.1'!AN11*'A2.0'!$G24/('A2.0'!$G9*'A2.1'!AN8))^(1/15)-1</f>
        <v>9.772878264451168E-2</v>
      </c>
      <c r="AI8" s="619">
        <f>('A2.1'!AO11*'A2.0'!$G24/('A2.0'!$G9*'A2.1'!AO8))^(1/15)-1</f>
        <v>9.2257307811634881E-2</v>
      </c>
      <c r="AJ8" s="619">
        <f>('A2.1'!AP11*'A2.0'!$G24/('A2.0'!$G9*'A2.1'!AP8))^(1/15)-1</f>
        <v>6.9697223911783901E-2</v>
      </c>
      <c r="AK8" s="620">
        <f>('A2.0'!$G24/('A2.0'!$G9))^(1/15)-1</f>
        <v>8.963186377233634E-2</v>
      </c>
      <c r="AL8" s="217"/>
      <c r="AM8" s="216">
        <f>('A2.1'!AS11*'A2.0'!$P24/('A2.0'!$P9*'A2.1'!AS8))^(1/15)-1</f>
        <v>6.8502226246826892E-2</v>
      </c>
      <c r="AN8" s="216">
        <f>('A2.1'!AT11*'A2.0'!$P24/('A2.0'!$P9*'A2.1'!AT8))^(1/15)-1</f>
        <v>5.6935989024637257E-2</v>
      </c>
      <c r="AO8" s="216">
        <f>('A2.1'!AU11*'A2.0'!$P24/('A2.0'!$P9*'A2.1'!AU8))^(1/15)-1</f>
        <v>6.228720100801266E-2</v>
      </c>
      <c r="AP8" s="216">
        <f>('A2.1'!AV11*'A2.0'!$P24/('A2.0'!$P9*'A2.1'!AV8))^(1/15)-1</f>
        <v>6.3412201928606304E-2</v>
      </c>
      <c r="AQ8" s="216">
        <f>('A2.1'!AW11*'A2.0'!$P24/('A2.0'!$P9*'A2.1'!AW8))^(1/15)-1</f>
        <v>4.6485829813715629E-2</v>
      </c>
      <c r="AR8" s="292">
        <f>('A2.0'!$P24/('A2.0'!$P9))^(1/15)-1</f>
        <v>5.9759634601443734E-2</v>
      </c>
    </row>
    <row r="9" spans="1:44" s="225" customFormat="1">
      <c r="A9" s="191" t="s">
        <v>1614</v>
      </c>
      <c r="B9" s="888"/>
      <c r="C9" s="886"/>
      <c r="D9" s="886"/>
      <c r="E9" s="886"/>
      <c r="F9" s="886"/>
      <c r="G9" s="886"/>
      <c r="H9" s="886"/>
      <c r="I9" s="889"/>
      <c r="J9" s="576"/>
      <c r="K9" s="576"/>
      <c r="L9" s="576"/>
      <c r="M9" s="576"/>
      <c r="N9" s="576"/>
      <c r="O9" s="324"/>
      <c r="P9" s="217"/>
      <c r="Q9" s="698">
        <f>('A2.1'!R16*'A2.0'!$I46/('A2.1'!Q11*'A2.0'!$I24))^(1/22)-1</f>
        <v>4.538499427331133E-2</v>
      </c>
      <c r="R9" s="698">
        <f>('A2.1'!$T16*'A2.0'!$I46/('A2.1'!$S11*'A2.0'!$I24))^(1/22)-1</f>
        <v>4.558909516264853E-2</v>
      </c>
      <c r="S9" s="698">
        <f>('A2.1'!V16*'A2.0'!$I46/('A2.1'!U11*'A2.0'!$I24))^(1/22)-1</f>
        <v>3.7069423180549066E-2</v>
      </c>
      <c r="T9" s="698">
        <f>('A2.1'!X16*'A2.0'!$I46/('A2.1'!W11*'A2.0'!$I24))^(1/22)-1</f>
        <v>2.7844021271683062E-2</v>
      </c>
      <c r="U9" s="698">
        <f>('A2.1'!Z16*'A2.0'!$I46/('A2.1'!Y11*'A2.0'!$I24))^(1/22)-1</f>
        <v>1.7645037264377939E-2</v>
      </c>
      <c r="V9" s="890">
        <f>('A2.0'!$I46/('A2.0'!$I24))^(1/22)-1</f>
        <v>3.0540561097539998E-2</v>
      </c>
      <c r="W9" s="887"/>
      <c r="X9" s="218"/>
      <c r="Y9" s="886"/>
      <c r="Z9" s="886"/>
      <c r="AA9" s="886"/>
      <c r="AB9" s="886"/>
      <c r="AC9" s="886"/>
      <c r="AD9" s="891"/>
      <c r="AE9" s="698"/>
      <c r="AF9" s="576"/>
      <c r="AG9" s="576"/>
      <c r="AH9" s="576"/>
      <c r="AI9" s="576"/>
      <c r="AJ9" s="576"/>
      <c r="AK9" s="324"/>
      <c r="AL9" s="217"/>
      <c r="AM9" s="698"/>
      <c r="AN9" s="698"/>
      <c r="AO9" s="698"/>
      <c r="AP9" s="698"/>
      <c r="AQ9" s="698"/>
      <c r="AR9" s="892"/>
    </row>
    <row r="10" spans="1:44" s="225" customFormat="1">
      <c r="A10" s="191" t="s">
        <v>1448</v>
      </c>
      <c r="B10" s="290"/>
      <c r="C10" s="681">
        <f t="shared" ref="C10:H10" si="0">((1+C11)^5*(1+C12)^15)^(1/20)-1</f>
        <v>2.9693326200459502E-3</v>
      </c>
      <c r="D10" s="681">
        <f t="shared" si="0"/>
        <v>1.4474734793065158E-2</v>
      </c>
      <c r="E10" s="681">
        <f t="shared" si="0"/>
        <v>2.0467031616338449E-2</v>
      </c>
      <c r="F10" s="681">
        <f t="shared" si="0"/>
        <v>2.2170033462129757E-2</v>
      </c>
      <c r="G10" s="681">
        <f t="shared" si="0"/>
        <v>1.2640690465247184E-2</v>
      </c>
      <c r="H10" s="681">
        <f t="shared" si="0"/>
        <v>2.0096965444721171E-2</v>
      </c>
      <c r="I10" s="215"/>
      <c r="J10" s="829">
        <f t="shared" ref="J10:O10" si="1">((1+J11)^5*(1+J12)^15)^(1/20)-1</f>
        <v>1.0223297584418978E-2</v>
      </c>
      <c r="K10" s="829">
        <f t="shared" si="1"/>
        <v>1.8335875051543216E-2</v>
      </c>
      <c r="L10" s="829">
        <f t="shared" si="1"/>
        <v>2.152226748311592E-2</v>
      </c>
      <c r="M10" s="829">
        <f t="shared" si="1"/>
        <v>2.1381223732461319E-2</v>
      </c>
      <c r="N10" s="829">
        <f t="shared" si="1"/>
        <v>1.1858856775660787E-2</v>
      </c>
      <c r="O10" s="829">
        <f t="shared" si="1"/>
        <v>2.0096965444721171E-2</v>
      </c>
      <c r="P10" s="214"/>
      <c r="Q10" s="216">
        <f t="shared" ref="Q10:V10" si="2">((1+Q11)^5*(1+Q12)^15)^(1/20)-1</f>
        <v>4.0499076692900315E-2</v>
      </c>
      <c r="R10" s="687">
        <f t="shared" si="2"/>
        <v>4.4482742753534144E-2</v>
      </c>
      <c r="S10" s="687">
        <f t="shared" si="2"/>
        <v>3.5350664972449097E-2</v>
      </c>
      <c r="T10" s="687">
        <f t="shared" si="2"/>
        <v>2.2961851992835847E-2</v>
      </c>
      <c r="U10" s="687">
        <f t="shared" si="2"/>
        <v>1.2575765564049046E-2</v>
      </c>
      <c r="V10" s="216">
        <f t="shared" si="2"/>
        <v>2.7088525680864617E-2</v>
      </c>
      <c r="W10" s="423"/>
      <c r="X10" s="218"/>
      <c r="Y10" s="681">
        <f t="shared" ref="Y10:AD10" si="3">((1+Y11)^5*(1+Y12)^15)^(1/20)-1</f>
        <v>6.1624995943090344E-3</v>
      </c>
      <c r="Z10" s="681">
        <f t="shared" si="3"/>
        <v>1.2907620598038294E-2</v>
      </c>
      <c r="AA10" s="681">
        <f t="shared" si="3"/>
        <v>1.8002706663597268E-2</v>
      </c>
      <c r="AB10" s="681">
        <f t="shared" si="3"/>
        <v>1.953607438909799E-2</v>
      </c>
      <c r="AC10" s="681">
        <f t="shared" si="3"/>
        <v>1.096387256539666E-2</v>
      </c>
      <c r="AD10" s="682">
        <f t="shared" si="3"/>
        <v>1.740103894705336E-2</v>
      </c>
      <c r="AE10" s="216"/>
      <c r="AF10" s="829">
        <f t="shared" ref="AF10:AK10" si="4">((1+AF11)^5*(1+AF12)^15)^(1/20)-1</f>
        <v>1.0412214853812163E-3</v>
      </c>
      <c r="AG10" s="829">
        <f t="shared" si="4"/>
        <v>1.4191035949502551E-2</v>
      </c>
      <c r="AH10" s="829">
        <f t="shared" si="4"/>
        <v>2.0754027268455655E-2</v>
      </c>
      <c r="AI10" s="829">
        <f t="shared" si="4"/>
        <v>2.2136939480768225E-2</v>
      </c>
      <c r="AJ10" s="829">
        <f t="shared" si="4"/>
        <v>1.3537956757531777E-2</v>
      </c>
      <c r="AK10" s="829">
        <f t="shared" si="4"/>
        <v>2.0096965444721171E-2</v>
      </c>
      <c r="AL10" s="214"/>
      <c r="AM10" s="216">
        <f t="shared" ref="AM10:AR10" si="5">((1+AM11)^5*(1+AM12)^15)^(1/20)-1</f>
        <v>2.4698921271030683E-2</v>
      </c>
      <c r="AN10" s="687">
        <f t="shared" si="5"/>
        <v>3.6198166501735241E-2</v>
      </c>
      <c r="AO10" s="687">
        <f t="shared" si="5"/>
        <v>3.1872077283090494E-2</v>
      </c>
      <c r="AP10" s="687">
        <f t="shared" si="5"/>
        <v>2.1008917543822392E-2</v>
      </c>
      <c r="AQ10" s="687">
        <f t="shared" si="5"/>
        <v>1.3807704487514005E-2</v>
      </c>
      <c r="AR10" s="292">
        <f t="shared" si="5"/>
        <v>2.4770776770164593E-2</v>
      </c>
    </row>
    <row r="11" spans="1:44">
      <c r="A11" s="191" t="s">
        <v>1265</v>
      </c>
      <c r="B11" s="290"/>
      <c r="C11" s="681">
        <f>('A2.1'!C12*'A2.0'!$G29/('A2.0'!$G24*'A2.1'!C11))^(1/5)-1</f>
        <v>2.80690503626011E-2</v>
      </c>
      <c r="D11" s="681">
        <f>('A2.1'!D12*'A2.0'!$G29/('A2.0'!$G24*'A2.1'!D11))^(1/5)-1</f>
        <v>4.7568363476687692E-2</v>
      </c>
      <c r="E11" s="681">
        <f>('A2.1'!E12*'A2.0'!$G29/('A2.0'!$G24*'A2.1'!E11))^(1/5)-1</f>
        <v>6.0413563794756042E-2</v>
      </c>
      <c r="F11" s="681">
        <f>('A2.1'!F12*'A2.0'!$G29/('A2.0'!$G24*'A2.1'!F11))^(1/5)-1</f>
        <v>5.6465023779543877E-2</v>
      </c>
      <c r="G11" s="681">
        <f>('A2.1'!G12*'A2.0'!$G29/('A2.0'!$G24*'A2.1'!G11))^(1/5)-1</f>
        <v>1.7327389603432275E-2</v>
      </c>
      <c r="H11" s="681">
        <f>('A2.0'!$G29/('A2.0'!$G24))^(1/5)-1</f>
        <v>5.2304918082007656E-2</v>
      </c>
      <c r="I11" s="215"/>
      <c r="J11" s="829">
        <f>('A2.1'!J12*'A2.0'!$G29/('A2.0'!$G24*'A2.1'!J11))^(1/5)-1</f>
        <v>-6.5188331328013271E-3</v>
      </c>
      <c r="K11" s="829">
        <f>('A2.1'!K12*'A2.0'!$G29/('A2.0'!$G24*'A2.1'!K11))^(1/5)-1</f>
        <v>2.5769910539275687E-2</v>
      </c>
      <c r="L11" s="829">
        <f>('A2.1'!L12*'A2.0'!$G29/('A2.0'!$G24*'A2.1'!L11))^(1/5)-1</f>
        <v>5.5991888784456822E-2</v>
      </c>
      <c r="M11" s="829">
        <f>('A2.1'!M12*'A2.0'!$G29/('A2.0'!$G24*'A2.1'!M11))^(1/5)-1</f>
        <v>5.9306357206779792E-2</v>
      </c>
      <c r="N11" s="829">
        <f>('A2.1'!N12*'A2.0'!$G29/('A2.0'!$G24*'A2.1'!N11))^(1/5)-1</f>
        <v>2.0061439723332963E-2</v>
      </c>
      <c r="O11" s="830">
        <f>('A2.0'!$G29/('A2.0'!$G24))^(1/5)-1</f>
        <v>5.2304918082007656E-2</v>
      </c>
      <c r="P11" s="217"/>
      <c r="Q11" s="216">
        <f>('A2.1'!Q12*'A2.0'!$I29/('A2.0'!$I24*'A2.1'!Q11))^(1/5)-1</f>
        <v>8.3375461891933123E-2</v>
      </c>
      <c r="R11" s="216">
        <f>('A2.1'!S12*'A2.0'!$I29/('A2.0'!$I24*'A2.1'!S11))^(1/5)-1</f>
        <v>7.7125425887571764E-2</v>
      </c>
      <c r="S11" s="216">
        <f>('A2.1'!U12*'A2.0'!$I29/('A2.0'!$I24*'A2.1'!U11))^(1/5)-1</f>
        <v>6.4170731422256377E-2</v>
      </c>
      <c r="T11" s="216">
        <f>('A2.1'!W12*'A2.0'!$I29/('A2.0'!$I24*'A2.1'!W11))^(1/5)-1</f>
        <v>5.0650026274305704E-2</v>
      </c>
      <c r="U11" s="216">
        <f>('A2.1'!Y12*'A2.0'!$I29/('A2.0'!$I24*'A2.1'!Y11))^(1/5)-1</f>
        <v>1.6749018544207628E-2</v>
      </c>
      <c r="V11" s="311">
        <f>('A2.0'!$I29/('A2.0'!$I24))^(1/5)-1</f>
        <v>5.1507919778572386E-2</v>
      </c>
      <c r="W11" s="423"/>
      <c r="X11" s="218"/>
      <c r="Y11" s="681">
        <f>('A2.1'!AE12*'A2.0'!$N29/('A2.0'!$N24*'A2.1'!AE11))^(1/5)-1</f>
        <v>3.0121208791495935E-2</v>
      </c>
      <c r="Z11" s="681">
        <f>('A2.1'!AF12*'A2.0'!$N29/('A2.0'!$N24*'A2.1'!AF11))^(1/5)-1</f>
        <v>4.2286421276254149E-2</v>
      </c>
      <c r="AA11" s="681">
        <f>('A2.1'!AG12*'A2.0'!$N29/('A2.0'!$N24*'A2.1'!AG11))^(1/5)-1</f>
        <v>5.1396234713822375E-2</v>
      </c>
      <c r="AB11" s="681">
        <f>('A2.1'!AH12*'A2.0'!$N29/('A2.0'!$N24*'A2.1'!AH11))^(1/5)-1</f>
        <v>4.994748892051537E-2</v>
      </c>
      <c r="AC11" s="681">
        <f>('A2.1'!AI12*'A2.0'!$N29/('A2.0'!$N24*'A2.1'!AI11))^(1/5)-1</f>
        <v>2.1138516236447469E-2</v>
      </c>
      <c r="AD11" s="682">
        <f>('A2.0'!$N29/('A2.0'!$N24))^(1/5)-1</f>
        <v>4.51918801485236E-2</v>
      </c>
      <c r="AE11" s="216"/>
      <c r="AF11" s="829">
        <f>('A2.1'!AL12*'A2.0'!$G29/('A2.0'!$G24*'A2.1'!AL11))^(1/5)-1</f>
        <v>2.7352133929042788E-2</v>
      </c>
      <c r="AG11" s="829">
        <f>('A2.1'!AM12*'A2.0'!$G29/('A2.0'!$G24*'A2.1'!AM11))^(1/5)-1</f>
        <v>2.7454352992459352E-2</v>
      </c>
      <c r="AH11" s="829">
        <f>('A2.1'!AN12*'A2.0'!$G29/('A2.0'!$G24*'A2.1'!AN11))^(1/5)-1</f>
        <v>5.3100143219293683E-2</v>
      </c>
      <c r="AI11" s="829">
        <f>('A2.1'!AO12*'A2.0'!$G29/('A2.0'!$G24*'A2.1'!AO11))^(1/5)-1</f>
        <v>6.037366462193039E-2</v>
      </c>
      <c r="AJ11" s="829">
        <f>('A2.1'!AP12*'A2.0'!$G29/('A2.0'!$G24*'A2.1'!AP11))^(1/5)-1</f>
        <v>3.1275849234408071E-2</v>
      </c>
      <c r="AK11" s="830">
        <f>('A2.0'!$G29/('A2.0'!$G24))^(1/5)-1</f>
        <v>5.2304918082007656E-2</v>
      </c>
      <c r="AL11" s="217"/>
      <c r="AM11" s="216">
        <f>('A2.1'!AS12*'A2.0'!$P29/('A2.0'!$P24*'A2.1'!AS11))^(1/5)-1</f>
        <v>9.5831314889411212E-2</v>
      </c>
      <c r="AN11" s="216">
        <f>('A2.1'!AT12*'A2.0'!$P29/('A2.0'!$P24*'A2.1'!AT11))^(1/5)-1</f>
        <v>7.4736120567927111E-2</v>
      </c>
      <c r="AO11" s="216">
        <f>('A2.1'!AU12*'A2.0'!$P29/('A2.0'!$P24*'A2.1'!AU11))^(1/5)-1</f>
        <v>5.8281204056158442E-2</v>
      </c>
      <c r="AP11" s="216">
        <f>('A2.1'!AV12*'A2.0'!$P29/('A2.0'!$P24*'A2.1'!AV11))^(1/5)-1</f>
        <v>4.4612142352686845E-2</v>
      </c>
      <c r="AQ11" s="216">
        <f>('A2.1'!AW12*'A2.0'!$P29/('A2.0'!$P24*'A2.1'!AW11))^(1/5)-1</f>
        <v>2.7382984642274399E-2</v>
      </c>
      <c r="AR11" s="292">
        <f>('A2.0'!$P29/('A2.0'!$P24))^(1/5)-1</f>
        <v>4.7639268964501769E-2</v>
      </c>
    </row>
    <row r="12" spans="1:44" s="225" customFormat="1">
      <c r="A12" s="282" t="s">
        <v>1264</v>
      </c>
      <c r="B12" s="301"/>
      <c r="C12" s="894">
        <f>('A2.1'!C15*'A2.0'!$G44/('A2.0'!$G29*'A2.1'!C12))^(1/15)-1</f>
        <v>-5.2603168064233596E-3</v>
      </c>
      <c r="D12" s="894">
        <f>('A2.1'!D15*'A2.0'!$G44/('A2.0'!$G29*'A2.1'!D12))^(1/15)-1</f>
        <v>3.6775019301358292E-3</v>
      </c>
      <c r="E12" s="894">
        <f>('A2.1'!E15*'A2.0'!$G44/('A2.0'!$G29*'A2.1'!E12))^(1/15)-1</f>
        <v>7.4887682769435582E-3</v>
      </c>
      <c r="F12" s="894">
        <f>('A2.1'!F15*'A2.0'!$G44/('A2.0'!$G29*'A2.1'!F12))^(1/15)-1</f>
        <v>1.0987575856693299E-2</v>
      </c>
      <c r="G12" s="894">
        <f>('A2.1'!G15*'A2.0'!$G44/('A2.0'!$G29*'A2.1'!G12))^(1/15)-1</f>
        <v>1.108326034783591E-2</v>
      </c>
      <c r="H12" s="894">
        <f>('A2.0'!$G44/('A2.0'!$G29))^(1/15)-1</f>
        <v>9.5815550925606452E-3</v>
      </c>
      <c r="I12" s="284"/>
      <c r="J12" s="895">
        <f>('A2.1'!J15*'A2.0'!$G44/('A2.0'!$G29*'A2.1'!J12))^(1/15)-1</f>
        <v>1.5866472030213963E-2</v>
      </c>
      <c r="K12" s="895">
        <f>('A2.1'!K15*'A2.0'!$G44/('A2.0'!$G29*'A2.1'!K12))^(1/15)-1</f>
        <v>1.5869855116227738E-2</v>
      </c>
      <c r="L12" s="895">
        <f>('A2.1'!L15*'A2.0'!$G44/('A2.0'!$G29*'A2.1'!L12))^(1/15)-1</f>
        <v>1.0284267007802939E-2</v>
      </c>
      <c r="M12" s="895">
        <f>('A2.1'!M15*'A2.0'!$G44/('A2.0'!$G29*'A2.1'!M12))^(1/15)-1</f>
        <v>9.0436807938860664E-3</v>
      </c>
      <c r="N12" s="895">
        <f>('A2.1'!N15*'A2.0'!$G44/('A2.0'!$G29*'A2.1'!N12))^(1/15)-1</f>
        <v>9.1393463250997176E-3</v>
      </c>
      <c r="O12" s="688">
        <f>('A2.0'!$G44/('A2.0'!$G29))^(1/15)-1</f>
        <v>9.5815550925606452E-3</v>
      </c>
      <c r="P12" s="283"/>
      <c r="Q12" s="896">
        <f>('A2.1'!Q15*'A2.0'!$I44/('A2.0'!$I29*'A2.1'!Q12))^(1/15)-1</f>
        <v>2.6587410429724123E-2</v>
      </c>
      <c r="R12" s="896">
        <f>('A2.1'!S15*'A2.0'!$I44/('A2.0'!$I29*'A2.1'!S12))^(1/15)-1</f>
        <v>3.3823180859233304E-2</v>
      </c>
      <c r="S12" s="896">
        <f>('A2.1'!U15*'A2.0'!$I44/('A2.0'!$I29*'A2.1'!U12))^(1/15)-1</f>
        <v>2.591847869205588E-2</v>
      </c>
      <c r="T12" s="896">
        <f>('A2.1'!W15*'A2.0'!$I44/('A2.0'!$I29*'A2.1'!W12))^(1/15)-1</f>
        <v>1.3895571153883957E-2</v>
      </c>
      <c r="U12" s="896">
        <f>('A2.1'!Y15*'A2.0'!$I44/('A2.0'!$I29*'A2.1'!Y12))^(1/15)-1</f>
        <v>1.118849119167864E-2</v>
      </c>
      <c r="V12" s="312">
        <f>('A2.0'!$I44/('A2.0'!$I29))^(1/15)-1</f>
        <v>1.9075405899327658E-2</v>
      </c>
      <c r="W12" s="897"/>
      <c r="X12" s="898"/>
      <c r="Y12" s="894">
        <f>('A2.1'!AE15*'A2.0'!$N44/('A2.0'!$N29*'A2.1'!AE12))^(1/15)-1</f>
        <v>-1.6992604783999665E-3</v>
      </c>
      <c r="Z12" s="894">
        <f>('A2.1'!AF15*'A2.0'!$N44/('A2.0'!$N29*'A2.1'!AF12))^(1/15)-1</f>
        <v>3.299874933288649E-3</v>
      </c>
      <c r="AA12" s="894">
        <f>('A2.1'!AG15*'A2.0'!$N44/('A2.0'!$N29*'A2.1'!AG12))^(1/15)-1</f>
        <v>7.1089090201699179E-3</v>
      </c>
      <c r="AB12" s="894">
        <f>('A2.1'!AH15*'A2.0'!$N44/('A2.0'!$N29*'A2.1'!AH12))^(1/15)-1</f>
        <v>9.5959577102748828E-3</v>
      </c>
      <c r="AC12" s="894">
        <f>('A2.1'!AI15*'A2.0'!$N44/('A2.0'!$N29*'A2.1'!AI12))^(1/15)-1</f>
        <v>7.5949037327744939E-3</v>
      </c>
      <c r="AD12" s="685">
        <f>('A2.0'!$N44/('A2.0'!$N29))^(1/15)-1</f>
        <v>8.3026145787084005E-3</v>
      </c>
      <c r="AE12" s="896"/>
      <c r="AF12" s="895">
        <f>('A2.1'!AL15*'A2.0'!$G44/('A2.0'!$G29*'A2.1'!AL12))^(1/15)-1</f>
        <v>-7.5784804966018138E-3</v>
      </c>
      <c r="AG12" s="895">
        <f>('A2.1'!AM15*'A2.0'!$G44/('A2.0'!$G29*'A2.1'!AM12))^(1/15)-1</f>
        <v>9.8080877791546506E-3</v>
      </c>
      <c r="AH12" s="895">
        <f>('A2.1'!AN15*'A2.0'!$G44/('A2.0'!$G29*'A2.1'!AN12))^(1/15)-1</f>
        <v>1.0194296388819524E-2</v>
      </c>
      <c r="AI12" s="895">
        <f>('A2.1'!AO15*'A2.0'!$G44/('A2.0'!$G29*'A2.1'!AO12))^(1/15)-1</f>
        <v>9.700258144673235E-3</v>
      </c>
      <c r="AJ12" s="895">
        <f>('A2.1'!AP15*'A2.0'!$G44/('A2.0'!$G29*'A2.1'!AP12))^(1/15)-1</f>
        <v>7.6933849119604769E-3</v>
      </c>
      <c r="AK12" s="688">
        <f>('A2.0'!$G44/('A2.0'!$G29))^(1/15)-1</f>
        <v>9.5815550925606452E-3</v>
      </c>
      <c r="AL12" s="283"/>
      <c r="AM12" s="896">
        <f>('A2.1'!AS15*'A2.0'!$P44/('A2.0'!$P29*'A2.1'!AS12))^(1/15)-1</f>
        <v>2.0294129691336149E-3</v>
      </c>
      <c r="AN12" s="896">
        <f>('A2.1'!AT15*'A2.0'!$P44/('A2.0'!$P29*'A2.1'!AT12))^(1/15)-1</f>
        <v>2.3661754180846817E-2</v>
      </c>
      <c r="AO12" s="896">
        <f>('A2.1'!AU15*'A2.0'!$P44/('A2.0'!$P29*'A2.1'!AU12))^(1/15)-1</f>
        <v>2.3216307454839047E-2</v>
      </c>
      <c r="AP12" s="896">
        <f>('A2.1'!AV15*'A2.0'!$P44/('A2.0'!$P29*'A2.1'!AV12))^(1/15)-1</f>
        <v>1.3260292182784461E-2</v>
      </c>
      <c r="AQ12" s="896">
        <f>('A2.1'!AW15*'A2.0'!$P44/('A2.0'!$P29*'A2.1'!AW12))^(1/15)-1</f>
        <v>9.3225902133471372E-3</v>
      </c>
      <c r="AR12" s="293">
        <f>('A2.0'!$P44/('A2.0'!$P29))^(1/15)-1</f>
        <v>1.7259419543038002E-2</v>
      </c>
    </row>
    <row r="13" spans="1:44" ht="15.75" thickBot="1">
      <c r="A13" s="276" t="s">
        <v>1260</v>
      </c>
      <c r="B13" s="310"/>
      <c r="C13" s="683">
        <f>('A2.1'!C15*'A2.0'!$G44/('A2.1'!C8*'A2.0'!$G9))^(1/35)-1</f>
        <v>2.4102078659937076E-2</v>
      </c>
      <c r="D13" s="683">
        <f>('A2.1'!D15*'A2.0'!$G44/('A2.1'!D8*'A2.0'!$G9))^(1/35)-1</f>
        <v>4.7495974792346463E-2</v>
      </c>
      <c r="E13" s="683">
        <f>('A2.1'!E15*'A2.0'!$G44/('A2.1'!E8*'A2.0'!$G9))^(1/35)-1</f>
        <v>5.5617902506297945E-2</v>
      </c>
      <c r="F13" s="683">
        <f>('A2.1'!F15*'A2.0'!$G44/('A2.1'!F8*'A2.0'!$G9))^(1/35)-1</f>
        <v>4.9920541487856296E-2</v>
      </c>
      <c r="G13" s="683">
        <f>('A2.1'!G15*'A2.0'!$G44/('A2.1'!G8*'A2.0'!$G9))^(1/35)-1</f>
        <v>3.4953838353749545E-2</v>
      </c>
      <c r="H13" s="683">
        <f>('A2.0'!$G44/('A2.0'!$G9))^(1/35)-1</f>
        <v>4.9337103917878489E-2</v>
      </c>
      <c r="I13" s="471"/>
      <c r="J13" s="583">
        <f>('A2.1'!J15*'A2.0'!$G44/('A2.1'!J8*'A2.0'!$G9))^(1/35)-1</f>
        <v>3.6962486960280705E-2</v>
      </c>
      <c r="K13" s="583">
        <f>('A2.1'!K15*'A2.0'!$G44/('A2.1'!K8*'A2.0'!$G9))^(1/35)-1</f>
        <v>5.4811485107017388E-2</v>
      </c>
      <c r="L13" s="583">
        <f>('A2.1'!L15*'A2.0'!$G44/('A2.1'!L8*'A2.0'!$G9))^(1/35)-1</f>
        <v>5.7197548951350763E-2</v>
      </c>
      <c r="M13" s="583">
        <f>('A2.1'!M15*'A2.0'!$G44/('A2.1'!M8*'A2.0'!$G9))^(1/35)-1</f>
        <v>4.8731905860585067E-2</v>
      </c>
      <c r="N13" s="583">
        <f>('A2.1'!N15*'A2.0'!$G44/('A2.1'!N8*'A2.0'!$G9))^(1/35)-1</f>
        <v>3.3781863259910061E-2</v>
      </c>
      <c r="O13" s="325">
        <f>('A2.0'!$G44/('A2.0'!$G9))^(1/35)-1</f>
        <v>4.9337103917878489E-2</v>
      </c>
      <c r="P13" s="278"/>
      <c r="Q13" s="277">
        <f>('A2.1'!Q15*'A2.0'!$I44/('A2.1'!Q8*'A2.0'!$I9))^(1/35)-1</f>
        <v>6.2529940523133209E-2</v>
      </c>
      <c r="R13" s="277">
        <f>('A2.1'!S15*'A2.0'!$I44/('A2.1'!S8*'A2.0'!$I9))^(1/35)-1</f>
        <v>6.0533470494085639E-2</v>
      </c>
      <c r="S13" s="277">
        <f>('A2.1'!U15*'A2.0'!$I44/('A2.1'!U8*'A2.0'!$I9))^(1/35)-1</f>
        <v>5.2437767218887155E-2</v>
      </c>
      <c r="T13" s="277">
        <f>('A2.1'!W15*'A2.0'!$I44/('A2.1'!W8*'A2.0'!$I9))^(1/35)-1</f>
        <v>4.6987436757415235E-2</v>
      </c>
      <c r="U13" s="277">
        <f>('A2.1'!Y15*'A2.0'!$I44/('A2.1'!Y8*'A2.0'!$I9))^(1/35)-1</f>
        <v>3.2866253860774242E-2</v>
      </c>
      <c r="V13" s="313">
        <f>('A2.0'!$I44/('A2.0'!$I9))^(1/35)-1</f>
        <v>4.7300812435715711E-2</v>
      </c>
      <c r="W13" s="428"/>
      <c r="X13" s="309"/>
      <c r="Y13" s="683">
        <f>('A2.1'!AE15*'A2.0'!$N44/('A2.1'!AE8*'A2.0'!$N9))^(1/35)-1</f>
        <v>1.4869852028678743E-2</v>
      </c>
      <c r="Z13" s="683">
        <f>('A2.1'!AF15*'A2.0'!$N44/('A2.1'!AF8*'A2.0'!$N9))^(1/35)-1</f>
        <v>3.6180808611969262E-2</v>
      </c>
      <c r="AA13" s="683">
        <f>('A2.1'!AG15*'A2.0'!$N44/('A2.1'!AG8*'A2.0'!$N9))^(1/35)-1</f>
        <v>4.9465425251601136E-2</v>
      </c>
      <c r="AB13" s="683">
        <f>('A2.1'!AH15*'A2.0'!$N44/('A2.1'!AH8*'A2.0'!$N9))^(1/35)-1</f>
        <v>5.0044630667053669E-2</v>
      </c>
      <c r="AC13" s="683">
        <f>('A2.1'!AI15*'A2.0'!$N44/('A2.1'!AI8*'A2.0'!$N9))^(1/35)-1</f>
        <v>3.5685124977736349E-2</v>
      </c>
      <c r="AD13" s="684">
        <f>('A2.0'!$N44/('A2.0'!$N9))^(1/35)-1</f>
        <v>4.685048652091206E-2</v>
      </c>
      <c r="AE13" s="277"/>
      <c r="AF13" s="583">
        <f>('A2.1'!AL15*'A2.0'!$G44/('A2.1'!AL8*'A2.0'!$G9))^(1/35)-1</f>
        <v>1.8485472217097731E-2</v>
      </c>
      <c r="AG13" s="583">
        <f>('A2.1'!AM15*'A2.0'!$G44/('A2.1'!AM8*'A2.0'!$G9))^(1/35)-1</f>
        <v>4.4163701590558491E-2</v>
      </c>
      <c r="AH13" s="583">
        <f>('A2.1'!AN15*'A2.0'!$G44/('A2.1'!AN8*'A2.0'!$G9))^(1/35)-1</f>
        <v>5.3059219539282942E-2</v>
      </c>
      <c r="AI13" s="583">
        <f>('A2.1'!AO15*'A2.0'!$G44/('A2.1'!AO8*'A2.0'!$G9))^(1/35)-1</f>
        <v>5.1619776133082551E-2</v>
      </c>
      <c r="AJ13" s="583">
        <f>('A2.1'!AP15*'A2.0'!$G44/('A2.1'!AP8*'A2.0'!$G9))^(1/35)-1</f>
        <v>3.7235865084219499E-2</v>
      </c>
      <c r="AK13" s="325">
        <f>('A2.0'!$G44/('A2.0'!$G9))^(1/35)-1</f>
        <v>4.9337103917878489E-2</v>
      </c>
      <c r="AL13" s="278"/>
      <c r="AM13" s="277">
        <f>('A2.1'!AS15*'A2.0'!$P44/('A2.1'!AS8*'A2.0'!$P9))^(1/35)-1</f>
        <v>4.3247479937206901E-2</v>
      </c>
      <c r="AN13" s="277">
        <f>('A2.1'!AT15*'A2.0'!$P44/('A2.1'!AT8*'A2.0'!$P9))^(1/35)-1</f>
        <v>4.5035510261216549E-2</v>
      </c>
      <c r="AO13" s="277">
        <f>('A2.1'!AU15*'A2.0'!$P44/('A2.1'!AU8*'A2.0'!$P9))^(1/35)-1</f>
        <v>4.4799017485466219E-2</v>
      </c>
      <c r="AP13" s="277">
        <f>('A2.1'!AV15*'A2.0'!$P44/('A2.1'!AV8*'A2.0'!$P9))^(1/35)-1</f>
        <v>3.8970685426196638E-2</v>
      </c>
      <c r="AQ13" s="277">
        <f>('A2.1'!AW15*'A2.0'!$P44/('A2.1'!AW8*'A2.0'!$P9))^(1/35)-1</f>
        <v>2.768577141623707E-2</v>
      </c>
      <c r="AR13" s="303">
        <f>('A2.0'!$P44/('A2.0'!$P9))^(1/35)-1</f>
        <v>3.962228064153539E-2</v>
      </c>
    </row>
    <row r="14" spans="1:44" ht="16.5" thickTop="1" thickBot="1"/>
    <row r="15" spans="1:44" ht="15.75" thickTop="1">
      <c r="A15" s="1116" t="s">
        <v>1284</v>
      </c>
      <c r="B15" s="1117"/>
      <c r="C15" s="1117"/>
      <c r="D15" s="1117"/>
      <c r="E15" s="1117"/>
      <c r="F15" s="1117"/>
      <c r="G15" s="1117"/>
      <c r="H15" s="1117"/>
      <c r="I15" s="1117"/>
      <c r="J15" s="1117"/>
      <c r="K15" s="1117"/>
      <c r="L15" s="1117"/>
      <c r="M15" s="1117"/>
      <c r="N15" s="1117"/>
      <c r="O15" s="1117"/>
      <c r="P15" s="1117"/>
      <c r="Q15" s="1118"/>
    </row>
    <row r="16" spans="1:44">
      <c r="A16" s="1119"/>
      <c r="B16" s="1120"/>
      <c r="C16" s="1120"/>
      <c r="D16" s="1120"/>
      <c r="E16" s="1120"/>
      <c r="F16" s="1120"/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  <c r="Q16" s="1121"/>
    </row>
    <row r="17" spans="1:17" ht="15.75" thickBot="1">
      <c r="A17" s="1122"/>
      <c r="B17" s="1123"/>
      <c r="C17" s="1123"/>
      <c r="D17" s="1123"/>
      <c r="E17" s="1123"/>
      <c r="F17" s="1123"/>
      <c r="G17" s="1123"/>
      <c r="H17" s="1123"/>
      <c r="I17" s="1123"/>
      <c r="J17" s="1123"/>
      <c r="K17" s="1123"/>
      <c r="L17" s="1123"/>
      <c r="M17" s="1123"/>
      <c r="N17" s="1123"/>
      <c r="O17" s="1123"/>
      <c r="P17" s="1123"/>
      <c r="Q17" s="1124"/>
    </row>
    <row r="18" spans="1:17" ht="15.75" thickTop="1"/>
  </sheetData>
  <mergeCells count="8">
    <mergeCell ref="A15:Q17"/>
    <mergeCell ref="AE4:AK4"/>
    <mergeCell ref="I4:O4"/>
    <mergeCell ref="A2:AR2"/>
    <mergeCell ref="B4:H4"/>
    <mergeCell ref="P4:V4"/>
    <mergeCell ref="X4:AD4"/>
    <mergeCell ref="AL4:AR4"/>
  </mergeCells>
  <phoneticPr fontId="1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AEB1-7B55-4E1A-BA7B-F63D6CA3152E}">
  <sheetPr>
    <tabColor theme="5" tint="0.39997558519241921"/>
  </sheetPr>
  <dimension ref="A1:AT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AT2"/>
    </sheetView>
  </sheetViews>
  <sheetFormatPr defaultColWidth="9" defaultRowHeight="15"/>
  <cols>
    <col min="1" max="1" width="11.375" style="204" bestFit="1" customWidth="1"/>
    <col min="2" max="31" width="8.625" style="204" customWidth="1"/>
    <col min="32" max="37" width="8.625" style="184" customWidth="1"/>
    <col min="38" max="46" width="8.625" style="164" customWidth="1"/>
    <col min="47" max="16384" width="9" style="164"/>
  </cols>
  <sheetData>
    <row r="1" spans="1:46" ht="15.75" thickBo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63"/>
      <c r="AG1" s="163"/>
      <c r="AH1" s="163"/>
      <c r="AI1" s="163"/>
      <c r="AJ1" s="163"/>
      <c r="AK1" s="163"/>
    </row>
    <row r="2" spans="1:46" ht="34.5" customHeight="1" thickTop="1" thickBot="1">
      <c r="A2" s="1125" t="s">
        <v>1296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N2" s="1126"/>
      <c r="O2" s="1126"/>
      <c r="P2" s="1126"/>
      <c r="Q2" s="1126"/>
      <c r="R2" s="1126"/>
      <c r="S2" s="1126"/>
      <c r="T2" s="1126"/>
      <c r="U2" s="1126"/>
      <c r="V2" s="1126"/>
      <c r="W2" s="1126"/>
      <c r="X2" s="1126"/>
      <c r="Y2" s="1126"/>
      <c r="Z2" s="1126"/>
      <c r="AA2" s="1126"/>
      <c r="AB2" s="1126"/>
      <c r="AC2" s="1126"/>
      <c r="AD2" s="1126"/>
      <c r="AE2" s="1126"/>
      <c r="AF2" s="1126"/>
      <c r="AG2" s="1126"/>
      <c r="AH2" s="1126"/>
      <c r="AI2" s="1126"/>
      <c r="AJ2" s="1126"/>
      <c r="AK2" s="1126"/>
      <c r="AL2" s="1126"/>
      <c r="AM2" s="1126"/>
      <c r="AN2" s="1126"/>
      <c r="AO2" s="1126"/>
      <c r="AP2" s="1126"/>
      <c r="AQ2" s="1126"/>
      <c r="AR2" s="1126"/>
      <c r="AS2" s="1126"/>
      <c r="AT2" s="1127"/>
    </row>
    <row r="3" spans="1:46" s="225" customFormat="1">
      <c r="A3" s="194"/>
      <c r="B3" s="287" t="s">
        <v>1157</v>
      </c>
      <c r="C3" s="167" t="s">
        <v>1201</v>
      </c>
      <c r="D3" s="167" t="s">
        <v>1159</v>
      </c>
      <c r="E3" s="167" t="s">
        <v>1163</v>
      </c>
      <c r="F3" s="167" t="s">
        <v>1164</v>
      </c>
      <c r="G3" s="167" t="s">
        <v>1165</v>
      </c>
      <c r="H3" s="167" t="s">
        <v>1169</v>
      </c>
      <c r="I3" s="167" t="s">
        <v>1170</v>
      </c>
      <c r="J3" s="167" t="s">
        <v>1171</v>
      </c>
      <c r="K3" s="167" t="s">
        <v>1175</v>
      </c>
      <c r="L3" s="167" t="s">
        <v>1176</v>
      </c>
      <c r="M3" s="167" t="s">
        <v>1177</v>
      </c>
      <c r="N3" s="167" t="s">
        <v>1181</v>
      </c>
      <c r="O3" s="167" t="s">
        <v>1182</v>
      </c>
      <c r="P3" s="167" t="s">
        <v>1183</v>
      </c>
      <c r="Q3" s="287" t="s">
        <v>1184</v>
      </c>
      <c r="R3" s="167" t="s">
        <v>1185</v>
      </c>
      <c r="S3" s="167" t="s">
        <v>1186</v>
      </c>
      <c r="T3" s="167" t="s">
        <v>1187</v>
      </c>
      <c r="U3" s="167" t="s">
        <v>1188</v>
      </c>
      <c r="V3" s="167" t="s">
        <v>1189</v>
      </c>
      <c r="W3" s="167" t="s">
        <v>1190</v>
      </c>
      <c r="X3" s="167" t="s">
        <v>1211</v>
      </c>
      <c r="Y3" s="167" t="s">
        <v>1212</v>
      </c>
      <c r="Z3" s="167" t="s">
        <v>1213</v>
      </c>
      <c r="AA3" s="167" t="s">
        <v>1214</v>
      </c>
      <c r="AB3" s="167" t="s">
        <v>1215</v>
      </c>
      <c r="AC3" s="167" t="s">
        <v>1216</v>
      </c>
      <c r="AD3" s="167" t="s">
        <v>1217</v>
      </c>
      <c r="AE3" s="288" t="s">
        <v>1218</v>
      </c>
      <c r="AF3" s="167" t="s">
        <v>1278</v>
      </c>
      <c r="AG3" s="167" t="s">
        <v>1279</v>
      </c>
      <c r="AH3" s="167" t="s">
        <v>1280</v>
      </c>
      <c r="AI3" s="167" t="s">
        <v>1281</v>
      </c>
      <c r="AJ3" s="167" t="s">
        <v>1282</v>
      </c>
      <c r="AK3" s="167" t="s">
        <v>1283</v>
      </c>
      <c r="AL3" s="167" t="s">
        <v>1298</v>
      </c>
      <c r="AM3" s="167" t="s">
        <v>1299</v>
      </c>
      <c r="AN3" s="167" t="s">
        <v>1300</v>
      </c>
      <c r="AO3" s="167" t="s">
        <v>1301</v>
      </c>
      <c r="AP3" s="167" t="s">
        <v>1302</v>
      </c>
      <c r="AQ3" s="167" t="s">
        <v>1303</v>
      </c>
      <c r="AR3" s="167" t="s">
        <v>1304</v>
      </c>
      <c r="AS3" s="167" t="s">
        <v>1305</v>
      </c>
      <c r="AT3" s="170" t="s">
        <v>1306</v>
      </c>
    </row>
    <row r="4" spans="1:46" s="307" customFormat="1" ht="14.25">
      <c r="A4" s="194"/>
      <c r="B4" s="1134" t="s">
        <v>1220</v>
      </c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4" t="s">
        <v>1309</v>
      </c>
      <c r="R4" s="1135"/>
      <c r="S4" s="1135"/>
      <c r="T4" s="1135"/>
      <c r="U4" s="1135"/>
      <c r="V4" s="1135"/>
      <c r="W4" s="1135"/>
      <c r="X4" s="1135"/>
      <c r="Y4" s="1135"/>
      <c r="Z4" s="1135"/>
      <c r="AA4" s="1135"/>
      <c r="AB4" s="1135"/>
      <c r="AC4" s="1135"/>
      <c r="AD4" s="1135"/>
      <c r="AE4" s="1136"/>
      <c r="AF4" s="1135" t="s">
        <v>1230</v>
      </c>
      <c r="AG4" s="1135"/>
      <c r="AH4" s="1135"/>
      <c r="AI4" s="1135"/>
      <c r="AJ4" s="1135"/>
      <c r="AK4" s="1135"/>
      <c r="AL4" s="1135"/>
      <c r="AM4" s="1135"/>
      <c r="AN4" s="1135"/>
      <c r="AO4" s="1135"/>
      <c r="AP4" s="1135"/>
      <c r="AQ4" s="1135"/>
      <c r="AR4" s="1135"/>
      <c r="AS4" s="1135"/>
      <c r="AT4" s="1137"/>
    </row>
    <row r="5" spans="1:46">
      <c r="A5" s="194"/>
      <c r="B5" s="1087" t="s">
        <v>1202</v>
      </c>
      <c r="C5" s="1088"/>
      <c r="D5" s="1088"/>
      <c r="E5" s="1132" t="s">
        <v>1203</v>
      </c>
      <c r="F5" s="1088"/>
      <c r="G5" s="1088"/>
      <c r="H5" s="1132" t="s">
        <v>1204</v>
      </c>
      <c r="I5" s="1088"/>
      <c r="J5" s="1088"/>
      <c r="K5" s="1132" t="s">
        <v>1205</v>
      </c>
      <c r="L5" s="1088"/>
      <c r="M5" s="1088"/>
      <c r="N5" s="1132" t="s">
        <v>1206</v>
      </c>
      <c r="O5" s="1088"/>
      <c r="P5" s="1088"/>
      <c r="Q5" s="1087" t="s">
        <v>1202</v>
      </c>
      <c r="R5" s="1088"/>
      <c r="S5" s="1088"/>
      <c r="T5" s="1132" t="s">
        <v>1203</v>
      </c>
      <c r="U5" s="1088"/>
      <c r="V5" s="1088"/>
      <c r="W5" s="1132" t="s">
        <v>1204</v>
      </c>
      <c r="X5" s="1088"/>
      <c r="Y5" s="1088"/>
      <c r="Z5" s="1132" t="s">
        <v>1205</v>
      </c>
      <c r="AA5" s="1088"/>
      <c r="AB5" s="1088"/>
      <c r="AC5" s="1132" t="s">
        <v>1206</v>
      </c>
      <c r="AD5" s="1088"/>
      <c r="AE5" s="1133"/>
      <c r="AF5" s="1088" t="s">
        <v>1202</v>
      </c>
      <c r="AG5" s="1088"/>
      <c r="AH5" s="1138"/>
      <c r="AI5" s="1132" t="s">
        <v>1203</v>
      </c>
      <c r="AJ5" s="1088"/>
      <c r="AK5" s="1088"/>
      <c r="AL5" s="1132" t="s">
        <v>1204</v>
      </c>
      <c r="AM5" s="1088"/>
      <c r="AN5" s="1088"/>
      <c r="AO5" s="1132" t="s">
        <v>1205</v>
      </c>
      <c r="AP5" s="1088"/>
      <c r="AQ5" s="1088"/>
      <c r="AR5" s="1132" t="s">
        <v>1206</v>
      </c>
      <c r="AS5" s="1088"/>
      <c r="AT5" s="1139"/>
    </row>
    <row r="6" spans="1:46" ht="25.5">
      <c r="A6" s="195" t="s">
        <v>1207</v>
      </c>
      <c r="B6" s="363" t="s">
        <v>1208</v>
      </c>
      <c r="C6" s="358" t="s">
        <v>1209</v>
      </c>
      <c r="D6" s="358" t="s">
        <v>1210</v>
      </c>
      <c r="E6" s="361" t="s">
        <v>1208</v>
      </c>
      <c r="F6" s="358" t="s">
        <v>1209</v>
      </c>
      <c r="G6" s="358" t="s">
        <v>1210</v>
      </c>
      <c r="H6" s="361" t="s">
        <v>1208</v>
      </c>
      <c r="I6" s="358" t="s">
        <v>1209</v>
      </c>
      <c r="J6" s="358" t="s">
        <v>1210</v>
      </c>
      <c r="K6" s="361" t="s">
        <v>1208</v>
      </c>
      <c r="L6" s="358" t="s">
        <v>1209</v>
      </c>
      <c r="M6" s="358" t="s">
        <v>1210</v>
      </c>
      <c r="N6" s="361" t="s">
        <v>1208</v>
      </c>
      <c r="O6" s="358" t="s">
        <v>1209</v>
      </c>
      <c r="P6" s="358" t="s">
        <v>1210</v>
      </c>
      <c r="Q6" s="363" t="s">
        <v>1208</v>
      </c>
      <c r="R6" s="358" t="s">
        <v>1209</v>
      </c>
      <c r="S6" s="358" t="s">
        <v>1210</v>
      </c>
      <c r="T6" s="361" t="s">
        <v>1208</v>
      </c>
      <c r="U6" s="358" t="s">
        <v>1209</v>
      </c>
      <c r="V6" s="358" t="s">
        <v>1210</v>
      </c>
      <c r="W6" s="361" t="s">
        <v>1208</v>
      </c>
      <c r="X6" s="358" t="s">
        <v>1209</v>
      </c>
      <c r="Y6" s="358" t="s">
        <v>1210</v>
      </c>
      <c r="Z6" s="361" t="s">
        <v>1208</v>
      </c>
      <c r="AA6" s="358" t="s">
        <v>1209</v>
      </c>
      <c r="AB6" s="358" t="s">
        <v>1210</v>
      </c>
      <c r="AC6" s="361" t="s">
        <v>1208</v>
      </c>
      <c r="AD6" s="358" t="s">
        <v>1209</v>
      </c>
      <c r="AE6" s="364" t="s">
        <v>1210</v>
      </c>
      <c r="AF6" s="358" t="s">
        <v>1208</v>
      </c>
      <c r="AG6" s="358" t="s">
        <v>1209</v>
      </c>
      <c r="AH6" s="365" t="s">
        <v>1210</v>
      </c>
      <c r="AI6" s="361" t="s">
        <v>1208</v>
      </c>
      <c r="AJ6" s="358" t="s">
        <v>1209</v>
      </c>
      <c r="AK6" s="358" t="s">
        <v>1210</v>
      </c>
      <c r="AL6" s="361" t="s">
        <v>1208</v>
      </c>
      <c r="AM6" s="358" t="s">
        <v>1209</v>
      </c>
      <c r="AN6" s="358" t="s">
        <v>1210</v>
      </c>
      <c r="AO6" s="361" t="s">
        <v>1208</v>
      </c>
      <c r="AP6" s="358" t="s">
        <v>1209</v>
      </c>
      <c r="AQ6" s="358" t="s">
        <v>1210</v>
      </c>
      <c r="AR6" s="361" t="s">
        <v>1208</v>
      </c>
      <c r="AS6" s="358" t="s">
        <v>1209</v>
      </c>
      <c r="AT6" s="362" t="s">
        <v>1210</v>
      </c>
    </row>
    <row r="7" spans="1:46">
      <c r="A7" s="196"/>
      <c r="B7" s="352" t="s">
        <v>1199</v>
      </c>
      <c r="C7" s="353" t="s">
        <v>1199</v>
      </c>
      <c r="D7" s="353" t="s">
        <v>1199</v>
      </c>
      <c r="E7" s="178" t="s">
        <v>1199</v>
      </c>
      <c r="F7" s="353" t="s">
        <v>1199</v>
      </c>
      <c r="G7" s="353" t="s">
        <v>1199</v>
      </c>
      <c r="H7" s="178" t="s">
        <v>1199</v>
      </c>
      <c r="I7" s="353" t="s">
        <v>1199</v>
      </c>
      <c r="J7" s="353" t="s">
        <v>1199</v>
      </c>
      <c r="K7" s="178" t="s">
        <v>1199</v>
      </c>
      <c r="L7" s="353" t="s">
        <v>1199</v>
      </c>
      <c r="M7" s="353" t="s">
        <v>1199</v>
      </c>
      <c r="N7" s="178" t="s">
        <v>1199</v>
      </c>
      <c r="O7" s="353" t="s">
        <v>1199</v>
      </c>
      <c r="P7" s="353" t="s">
        <v>1199</v>
      </c>
      <c r="Q7" s="352" t="s">
        <v>1199</v>
      </c>
      <c r="R7" s="353" t="s">
        <v>1199</v>
      </c>
      <c r="S7" s="353" t="s">
        <v>1199</v>
      </c>
      <c r="T7" s="178" t="s">
        <v>1199</v>
      </c>
      <c r="U7" s="353" t="s">
        <v>1199</v>
      </c>
      <c r="V7" s="353" t="s">
        <v>1199</v>
      </c>
      <c r="W7" s="178" t="s">
        <v>1199</v>
      </c>
      <c r="X7" s="353" t="s">
        <v>1199</v>
      </c>
      <c r="Y7" s="353" t="s">
        <v>1199</v>
      </c>
      <c r="Z7" s="178" t="s">
        <v>1199</v>
      </c>
      <c r="AA7" s="353" t="s">
        <v>1199</v>
      </c>
      <c r="AB7" s="353" t="s">
        <v>1199</v>
      </c>
      <c r="AC7" s="178" t="s">
        <v>1199</v>
      </c>
      <c r="AD7" s="353" t="s">
        <v>1199</v>
      </c>
      <c r="AE7" s="221" t="s">
        <v>1199</v>
      </c>
      <c r="AF7" s="353" t="s">
        <v>1199</v>
      </c>
      <c r="AG7" s="353" t="s">
        <v>1199</v>
      </c>
      <c r="AH7" s="177" t="s">
        <v>1199</v>
      </c>
      <c r="AI7" s="178" t="s">
        <v>1199</v>
      </c>
      <c r="AJ7" s="353" t="s">
        <v>1199</v>
      </c>
      <c r="AK7" s="353" t="s">
        <v>1199</v>
      </c>
      <c r="AL7" s="178" t="s">
        <v>1199</v>
      </c>
      <c r="AM7" s="353" t="s">
        <v>1199</v>
      </c>
      <c r="AN7" s="353" t="s">
        <v>1199</v>
      </c>
      <c r="AO7" s="178" t="s">
        <v>1199</v>
      </c>
      <c r="AP7" s="353" t="s">
        <v>1199</v>
      </c>
      <c r="AQ7" s="353" t="s">
        <v>1199</v>
      </c>
      <c r="AR7" s="178" t="s">
        <v>1199</v>
      </c>
      <c r="AS7" s="353" t="s">
        <v>1199</v>
      </c>
      <c r="AT7" s="354" t="s">
        <v>1199</v>
      </c>
    </row>
    <row r="8" spans="1:46">
      <c r="A8" s="195" t="s">
        <v>1200</v>
      </c>
      <c r="B8" s="300"/>
      <c r="C8" s="291"/>
      <c r="D8" s="291"/>
      <c r="E8" s="181"/>
      <c r="F8" s="291"/>
      <c r="G8" s="291"/>
      <c r="H8" s="181"/>
      <c r="I8" s="291"/>
      <c r="J8" s="291"/>
      <c r="K8" s="181"/>
      <c r="L8" s="291"/>
      <c r="M8" s="291"/>
      <c r="N8" s="181"/>
      <c r="O8" s="291"/>
      <c r="P8" s="291"/>
      <c r="Q8" s="363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64"/>
      <c r="AF8" s="355"/>
      <c r="AG8" s="285"/>
      <c r="AH8" s="286"/>
      <c r="AI8" s="181"/>
      <c r="AJ8" s="285"/>
      <c r="AK8" s="285"/>
      <c r="AL8" s="181"/>
      <c r="AM8" s="285"/>
      <c r="AN8" s="285"/>
      <c r="AO8" s="181"/>
      <c r="AP8" s="285"/>
      <c r="AQ8" s="285"/>
      <c r="AR8" s="181"/>
      <c r="AS8" s="285"/>
      <c r="AT8" s="253"/>
    </row>
    <row r="9" spans="1:46">
      <c r="A9" s="191">
        <v>1981</v>
      </c>
      <c r="B9" s="222">
        <f>[8]Composition!$O$2</f>
        <v>0.41962519288063049</v>
      </c>
      <c r="C9" s="210">
        <f>[8]Composition!$P$2</f>
        <v>0.3199462890625</v>
      </c>
      <c r="D9" s="210">
        <f>[8]Composition!$Q$2</f>
        <v>0.26042994856834412</v>
      </c>
      <c r="E9" s="219">
        <f>[8]Composition!$L$2</f>
        <v>0.60521411895751953</v>
      </c>
      <c r="F9" s="210">
        <f>[8]Composition!$M$2</f>
        <v>0.23823551833629608</v>
      </c>
      <c r="G9" s="220">
        <f>[8]Composition!$N$2</f>
        <v>0.15655039250850677</v>
      </c>
      <c r="H9" s="210">
        <f>[8]Composition!$I$2</f>
        <v>0.82518541812896729</v>
      </c>
      <c r="I9" s="210">
        <f>[8]Composition!$J$2</f>
        <v>0.13809862732887268</v>
      </c>
      <c r="J9" s="210">
        <f>[8]Composition!$K$2</f>
        <v>3.6716148257255554E-2</v>
      </c>
      <c r="K9" s="219">
        <f>[8]Composition!$F$2</f>
        <v>0.8595699667930603</v>
      </c>
      <c r="L9" s="210">
        <f>[8]Composition!$G$2</f>
        <v>9.5624223351478577E-2</v>
      </c>
      <c r="M9" s="220">
        <f>[8]Composition!$H$2</f>
        <v>4.4805672019720078E-2</v>
      </c>
      <c r="N9" s="210">
        <f>[8]Composition!$C$2</f>
        <v>0.75727856159210205</v>
      </c>
      <c r="O9" s="210">
        <f>[8]Composition!$D$2</f>
        <v>0.16238376498222351</v>
      </c>
      <c r="P9" s="210">
        <f>[8]Composition!$E$2</f>
        <v>8.0337747931480408E-2</v>
      </c>
      <c r="Q9" s="222">
        <f>[9]Composition!$O$2</f>
        <v>0.35557124018669128</v>
      </c>
      <c r="R9" s="210">
        <f>[9]Composition!$P$2</f>
        <v>0.35665160417556763</v>
      </c>
      <c r="S9" s="210">
        <f>[9]Composition!$Q$2</f>
        <v>0.28777879476547241</v>
      </c>
      <c r="T9" s="219">
        <f>[9]Composition!$L$2</f>
        <v>0.56286484003067017</v>
      </c>
      <c r="U9" s="210">
        <f>[9]Composition!$M$2</f>
        <v>0.26024916768074036</v>
      </c>
      <c r="V9" s="220">
        <f>[9]Composition!$N$2</f>
        <v>0.17688608169555664</v>
      </c>
      <c r="W9" s="210">
        <f>[9]Composition!$I$2</f>
        <v>0.82542067766189575</v>
      </c>
      <c r="X9" s="210">
        <f>[9]Composition!$J$2</f>
        <v>0.13799290359020233</v>
      </c>
      <c r="Y9" s="210">
        <f>[9]Composition!$K$2</f>
        <v>3.6586608737707138E-2</v>
      </c>
      <c r="Z9" s="219">
        <f>[9]Composition!$F$2</f>
        <v>0.8595697283744812</v>
      </c>
      <c r="AA9" s="210">
        <f>[9]Composition!$G$2</f>
        <v>9.5624148845672607E-2</v>
      </c>
      <c r="AB9" s="220">
        <f>[9]Composition!$H$2</f>
        <v>4.4805679470300674E-2</v>
      </c>
      <c r="AC9" s="210">
        <f>[9]Composition!$C$2</f>
        <v>0.73663127422332764</v>
      </c>
      <c r="AD9" s="210">
        <f>[9]Composition!$D$2</f>
        <v>0.17301575839519501</v>
      </c>
      <c r="AE9" s="472">
        <f>[9]Composition!$E$2</f>
        <v>9.0352974832057953E-2</v>
      </c>
      <c r="AF9" s="210">
        <f>[10]Composition!$O$2</f>
        <v>0.36677786707878113</v>
      </c>
      <c r="AG9" s="210">
        <f>[10]Composition!$P$2</f>
        <v>0.35129565000534058</v>
      </c>
      <c r="AH9" s="210">
        <f>[10]Composition!$Q$2</f>
        <v>0.28192812204360962</v>
      </c>
      <c r="AI9" s="219">
        <f>[10]Composition!$L$2</f>
        <v>0.60743403434753418</v>
      </c>
      <c r="AJ9" s="210">
        <f>[10]Composition!$M$2</f>
        <v>0.22499930858612061</v>
      </c>
      <c r="AK9" s="220">
        <f>[10]Composition!$N$2</f>
        <v>0.16756673157215118</v>
      </c>
      <c r="AL9" s="210">
        <f>[10]Composition!$I$2</f>
        <v>0.77429962158203125</v>
      </c>
      <c r="AM9" s="210">
        <f>[10]Composition!$J$2</f>
        <v>0.14918582141399384</v>
      </c>
      <c r="AN9" s="210">
        <f>[10]Composition!$K$2</f>
        <v>7.6514571905136108E-2</v>
      </c>
      <c r="AO9" s="219">
        <f>[10]Composition!$F$2</f>
        <v>0.87112200260162354</v>
      </c>
      <c r="AP9" s="210">
        <f>[10]Composition!$G$2</f>
        <v>9.3350790441036224E-2</v>
      </c>
      <c r="AQ9" s="220">
        <f>[10]Composition!$H$2</f>
        <v>3.5527065396308899E-2</v>
      </c>
      <c r="AR9" s="210">
        <f>[10]Composition!$C$2</f>
        <v>0.72672855854034424</v>
      </c>
      <c r="AS9" s="210">
        <f>[10]Composition!$D$2</f>
        <v>0.16836640238761902</v>
      </c>
      <c r="AT9" s="255">
        <f>[10]Composition!$E$2</f>
        <v>0.10490503907203674</v>
      </c>
    </row>
    <row r="10" spans="1:46">
      <c r="A10" s="191">
        <v>1986</v>
      </c>
      <c r="B10" s="222">
        <f>[8]Composition!$O$7</f>
        <v>0.43307951092720032</v>
      </c>
      <c r="C10" s="210">
        <f>[8]Composition!$P$7</f>
        <v>0.33619129657745361</v>
      </c>
      <c r="D10" s="210">
        <f>[8]Composition!$Q$7</f>
        <v>0.23073039948940277</v>
      </c>
      <c r="E10" s="219">
        <f>[8]Composition!$L$7</f>
        <v>0.60383135080337524</v>
      </c>
      <c r="F10" s="210">
        <f>[8]Composition!$M$7</f>
        <v>0.22844035923480988</v>
      </c>
      <c r="G10" s="220">
        <f>[8]Composition!$N$7</f>
        <v>0.16772826015949249</v>
      </c>
      <c r="H10" s="210">
        <f>[8]Composition!$I$7</f>
        <v>0.80003243684768677</v>
      </c>
      <c r="I10" s="210">
        <f>[8]Composition!$J$7</f>
        <v>0.12439152598381042</v>
      </c>
      <c r="J10" s="210">
        <f>[8]Composition!$K$7</f>
        <v>7.5576044619083405E-2</v>
      </c>
      <c r="K10" s="219">
        <f>[8]Composition!$F$7</f>
        <v>0.85156542062759399</v>
      </c>
      <c r="L10" s="210">
        <f>[8]Composition!$G$7</f>
        <v>9.3142084777355194E-2</v>
      </c>
      <c r="M10" s="220">
        <f>[8]Composition!$H$7</f>
        <v>5.5292580276727676E-2</v>
      </c>
      <c r="N10" s="210">
        <f>[8]Composition!$C$7</f>
        <v>0.7429233193397522</v>
      </c>
      <c r="O10" s="210">
        <f>[8]Composition!$D$7</f>
        <v>0.15376301109790802</v>
      </c>
      <c r="P10" s="210">
        <f>[8]Composition!$E$7</f>
        <v>0.10331366211175919</v>
      </c>
      <c r="Q10" s="222">
        <f>[9]Composition!$O$7</f>
        <v>0.35398784279823303</v>
      </c>
      <c r="R10" s="210">
        <f>[9]Composition!$P$7</f>
        <v>0.42000344395637512</v>
      </c>
      <c r="S10" s="210">
        <f>[9]Composition!$Q$7</f>
        <v>0.22601088881492615</v>
      </c>
      <c r="T10" s="219">
        <f>[9]Composition!$L$7</f>
        <v>0.56781178712844849</v>
      </c>
      <c r="U10" s="210">
        <f>[9]Composition!$M$7</f>
        <v>0.26212209463119507</v>
      </c>
      <c r="V10" s="220">
        <f>[9]Composition!$N$7</f>
        <v>0.17006607353687286</v>
      </c>
      <c r="W10" s="210">
        <f>[9]Composition!$I$7</f>
        <v>0.80003750324249268</v>
      </c>
      <c r="X10" s="210">
        <f>[9]Composition!$J$7</f>
        <v>0.12441706657409668</v>
      </c>
      <c r="Y10" s="210">
        <f>[9]Composition!$K$7</f>
        <v>7.5545482337474823E-2</v>
      </c>
      <c r="Z10" s="219">
        <f>[9]Composition!$F$7</f>
        <v>0.85156267881393433</v>
      </c>
      <c r="AA10" s="210">
        <f>[9]Composition!$G$7</f>
        <v>9.3142010271549225E-2</v>
      </c>
      <c r="AB10" s="220">
        <f>[9]Composition!$H$7</f>
        <v>5.52951879799366E-2</v>
      </c>
      <c r="AC10" s="210">
        <f>[9]Composition!$C$7</f>
        <v>0.72642290592193604</v>
      </c>
      <c r="AD10" s="210">
        <f>[9]Composition!$D$7</f>
        <v>0.16790463030338287</v>
      </c>
      <c r="AE10" s="472">
        <f>[9]Composition!$E$7</f>
        <v>0.10567246377468109</v>
      </c>
      <c r="AF10" s="210">
        <f>[10]Composition!$O$7</f>
        <v>0.34810334444046021</v>
      </c>
      <c r="AG10" s="210">
        <f>[10]Composition!$P$7</f>
        <v>0.42855912446975708</v>
      </c>
      <c r="AH10" s="210">
        <f>[10]Composition!$Q$7</f>
        <v>0.22333903610706329</v>
      </c>
      <c r="AI10" s="219">
        <f>[10]Composition!$L$7</f>
        <v>0.55716085433959961</v>
      </c>
      <c r="AJ10" s="210">
        <f>[10]Composition!$M$7</f>
        <v>0.27146187424659729</v>
      </c>
      <c r="AK10" s="220">
        <f>[10]Composition!$N$7</f>
        <v>0.17137730121612549</v>
      </c>
      <c r="AL10" s="210">
        <f>[10]Composition!$I$7</f>
        <v>0.79813969135284424</v>
      </c>
      <c r="AM10" s="210">
        <f>[10]Composition!$J$7</f>
        <v>0.12503087520599365</v>
      </c>
      <c r="AN10" s="210">
        <f>[10]Composition!$K$7</f>
        <v>7.6829478144645691E-2</v>
      </c>
      <c r="AO10" s="219">
        <f>[10]Composition!$F$7</f>
        <v>0.85410404205322266</v>
      </c>
      <c r="AP10" s="210">
        <f>[10]Composition!$G$7</f>
        <v>9.4281837344169617E-2</v>
      </c>
      <c r="AQ10" s="220">
        <f>[10]Composition!$H$7</f>
        <v>5.1614060997962952E-2</v>
      </c>
      <c r="AR10" s="210">
        <f>[10]Composition!$C$7</f>
        <v>0.70539140701293945</v>
      </c>
      <c r="AS10" s="210">
        <f>[10]Composition!$D$7</f>
        <v>0.18201279640197754</v>
      </c>
      <c r="AT10" s="255">
        <f>[10]Composition!$E$7</f>
        <v>0.1125958263874054</v>
      </c>
    </row>
    <row r="11" spans="1:46">
      <c r="A11" s="191">
        <v>1991</v>
      </c>
      <c r="B11" s="223">
        <f>[8]Composition!$O$12</f>
        <v>0.42676728963851929</v>
      </c>
      <c r="C11" s="197">
        <f>[8]Composition!$P$12</f>
        <v>0.2347453236579895</v>
      </c>
      <c r="D11" s="197">
        <f>[8]Composition!$Q$12</f>
        <v>0.33848750591278076</v>
      </c>
      <c r="E11" s="198">
        <f>[8]Composition!$L$12</f>
        <v>0.58291333913803101</v>
      </c>
      <c r="F11" s="197">
        <f>[8]Composition!$M$12</f>
        <v>0.19135482609272003</v>
      </c>
      <c r="G11" s="199">
        <f>[8]Composition!$N$12</f>
        <v>0.22573201358318329</v>
      </c>
      <c r="H11" s="197">
        <f>[8]Composition!$I$12</f>
        <v>0.76856106519699097</v>
      </c>
      <c r="I11" s="197">
        <f>[8]Composition!$J$12</f>
        <v>0.12450751662254333</v>
      </c>
      <c r="J11" s="197">
        <f>[8]Composition!$K$12</f>
        <v>0.1069314256310463</v>
      </c>
      <c r="K11" s="198">
        <f>[8]Composition!$F$12</f>
        <v>0.81940311193466187</v>
      </c>
      <c r="L11" s="197">
        <f>[8]Composition!$G$12</f>
        <v>8.1384114921092987E-2</v>
      </c>
      <c r="M11" s="199">
        <f>[8]Composition!$H$12</f>
        <v>9.9212504923343658E-2</v>
      </c>
      <c r="N11" s="197">
        <f>[8]Composition!$C$12</f>
        <v>0.70658552646636963</v>
      </c>
      <c r="O11" s="197">
        <f>[8]Composition!$D$12</f>
        <v>0.14200842380523682</v>
      </c>
      <c r="P11" s="197">
        <f>[8]Composition!$E$12</f>
        <v>0.15140610933303833</v>
      </c>
      <c r="Q11" s="223">
        <f>[9]Composition!$O$12</f>
        <v>0.30324524641036987</v>
      </c>
      <c r="R11" s="197">
        <f>[9]Composition!$P$12</f>
        <v>0.31200382113456726</v>
      </c>
      <c r="S11" s="197">
        <f>[9]Composition!$Q$12</f>
        <v>0.38475191593170166</v>
      </c>
      <c r="T11" s="198">
        <f>[9]Composition!$L$12</f>
        <v>0.52357780933380127</v>
      </c>
      <c r="U11" s="197">
        <f>[9]Composition!$M$12</f>
        <v>0.2188122421503067</v>
      </c>
      <c r="V11" s="199">
        <f>[9]Composition!$N$12</f>
        <v>0.25761005282402039</v>
      </c>
      <c r="W11" s="197">
        <f>[9]Composition!$I$12</f>
        <v>0.76893919706344604</v>
      </c>
      <c r="X11" s="197">
        <f>[9]Composition!$J$12</f>
        <v>0.12420865148305893</v>
      </c>
      <c r="Y11" s="197">
        <f>[9]Composition!$K$12</f>
        <v>0.10685208439826965</v>
      </c>
      <c r="Z11" s="198">
        <f>[9]Composition!$F$12</f>
        <v>0.8194161057472229</v>
      </c>
      <c r="AA11" s="197">
        <f>[9]Composition!$G$12</f>
        <v>8.1392258405685425E-2</v>
      </c>
      <c r="AB11" s="199">
        <f>[9]Composition!$H$12</f>
        <v>9.9191159009933472E-2</v>
      </c>
      <c r="AC11" s="197">
        <f>[9]Composition!$C$12</f>
        <v>0.67464917898178101</v>
      </c>
      <c r="AD11" s="197">
        <f>[9]Composition!$D$12</f>
        <v>0.15629106760025024</v>
      </c>
      <c r="AE11" s="473">
        <f>[9]Composition!$E$12</f>
        <v>0.16905966401100159</v>
      </c>
      <c r="AF11" s="197">
        <f>[10]Composition!$O$12</f>
        <v>0.29172247648239136</v>
      </c>
      <c r="AG11" s="197">
        <f>[10]Composition!$P$12</f>
        <v>0.30785608291625977</v>
      </c>
      <c r="AH11" s="197">
        <f>[10]Composition!$Q$12</f>
        <v>0.40042206645011902</v>
      </c>
      <c r="AI11" s="198">
        <f>[10]Composition!$L$12</f>
        <v>0.51413899660110474</v>
      </c>
      <c r="AJ11" s="197">
        <f>[10]Composition!$M$12</f>
        <v>0.21929629147052765</v>
      </c>
      <c r="AK11" s="199">
        <f>[10]Composition!$N$12</f>
        <v>0.26656481623649597</v>
      </c>
      <c r="AL11" s="197">
        <f>[10]Composition!$I$12</f>
        <v>0.76791495084762573</v>
      </c>
      <c r="AM11" s="197">
        <f>[10]Composition!$J$12</f>
        <v>0.12480541318655014</v>
      </c>
      <c r="AN11" s="197">
        <f>[10]Composition!$K$12</f>
        <v>0.10727964341640472</v>
      </c>
      <c r="AO11" s="198">
        <f>[10]Composition!$F$12</f>
        <v>0.83591252565383911</v>
      </c>
      <c r="AP11" s="197">
        <f>[10]Composition!$G$12</f>
        <v>8.2890704274177551E-2</v>
      </c>
      <c r="AQ11" s="199">
        <f>[10]Composition!$H$12</f>
        <v>8.1196174025535583E-2</v>
      </c>
      <c r="AR11" s="197">
        <f>[10]Composition!$C$12</f>
        <v>0.66440284252166748</v>
      </c>
      <c r="AS11" s="197">
        <f>[10]Composition!$D$12</f>
        <v>0.16057476401329041</v>
      </c>
      <c r="AT11" s="294">
        <f>[10]Composition!$E$12</f>
        <v>0.17502236366271973</v>
      </c>
    </row>
    <row r="12" spans="1:46" s="186" customFormat="1">
      <c r="A12" s="368">
        <v>1996</v>
      </c>
      <c r="B12" s="487">
        <f>[8]Composition!$O$17</f>
        <v>0.67300015687942505</v>
      </c>
      <c r="C12" s="488">
        <f>[8]Composition!$P$17</f>
        <v>0.22548317909240723</v>
      </c>
      <c r="D12" s="488">
        <f>[8]Composition!$Q$17</f>
        <v>0.10151778906583786</v>
      </c>
      <c r="E12" s="489">
        <f>[8]Composition!$L$17</f>
        <v>0.72934627532958984</v>
      </c>
      <c r="F12" s="488">
        <f>[8]Composition!$M$17</f>
        <v>0.17090220749378204</v>
      </c>
      <c r="G12" s="490">
        <f>[8]Composition!$N$17</f>
        <v>9.975164383649826E-2</v>
      </c>
      <c r="H12" s="488">
        <f>[8]Composition!$I$17</f>
        <v>0.79655766487121582</v>
      </c>
      <c r="I12" s="488">
        <f>[8]Composition!$J$17</f>
        <v>0.11714167147874832</v>
      </c>
      <c r="J12" s="488">
        <f>[8]Composition!$K$17</f>
        <v>8.630051463842392E-2</v>
      </c>
      <c r="K12" s="489">
        <f>[8]Composition!$F$17</f>
        <v>0.86134612560272217</v>
      </c>
      <c r="L12" s="488">
        <f>[8]Composition!$G$17</f>
        <v>7.6863296329975128E-2</v>
      </c>
      <c r="M12" s="490">
        <f>[8]Composition!$H$17</f>
        <v>6.1790820211172104E-2</v>
      </c>
      <c r="N12" s="488">
        <f>[8]Composition!$C$17</f>
        <v>0.78387117385864258</v>
      </c>
      <c r="O12" s="488">
        <f>[8]Composition!$D$17</f>
        <v>0.12951454520225525</v>
      </c>
      <c r="P12" s="488">
        <f>[8]Composition!$E$17</f>
        <v>8.661428838968277E-2</v>
      </c>
      <c r="Q12" s="487">
        <f>[9]Composition!$O$17</f>
        <v>0.51734554767608643</v>
      </c>
      <c r="R12" s="488">
        <f>[9]Composition!$P$17</f>
        <v>0.30716630816459656</v>
      </c>
      <c r="S12" s="488">
        <f>[9]Composition!$Q$17</f>
        <v>0.17548935115337372</v>
      </c>
      <c r="T12" s="489">
        <f>[9]Composition!$L$17</f>
        <v>0.6776200532913208</v>
      </c>
      <c r="U12" s="488">
        <f>[9]Composition!$M$17</f>
        <v>0.19906474649906158</v>
      </c>
      <c r="V12" s="490">
        <f>[9]Composition!$N$17</f>
        <v>0.12331525981426239</v>
      </c>
      <c r="W12" s="488">
        <f>[9]Composition!$I$17</f>
        <v>0.79640352725982666</v>
      </c>
      <c r="X12" s="488">
        <f>[9]Composition!$J$17</f>
        <v>0.11735470592975616</v>
      </c>
      <c r="Y12" s="488">
        <f>[9]Composition!$K$17</f>
        <v>8.6241774260997772E-2</v>
      </c>
      <c r="Z12" s="489">
        <f>[9]Composition!$F$17</f>
        <v>0.86134183406829834</v>
      </c>
      <c r="AA12" s="488">
        <f>[9]Composition!$G$17</f>
        <v>7.6863370835781097E-2</v>
      </c>
      <c r="AB12" s="490">
        <f>[9]Composition!$H$17</f>
        <v>6.1794724315404892E-2</v>
      </c>
      <c r="AC12" s="488">
        <f>[9]Composition!$C$17</f>
        <v>0.75914990901947021</v>
      </c>
      <c r="AD12" s="488">
        <f>[9]Composition!$D$17</f>
        <v>0.14373776316642761</v>
      </c>
      <c r="AE12" s="491">
        <f>[9]Composition!$E$17</f>
        <v>9.7112394869327545E-2</v>
      </c>
      <c r="AF12" s="488">
        <f>[10]Composition!$O$17</f>
        <v>0.47271737456321716</v>
      </c>
      <c r="AG12" s="488">
        <f>[10]Composition!$P$17</f>
        <v>0.29248648881912231</v>
      </c>
      <c r="AH12" s="488">
        <f>[10]Composition!$Q$17</f>
        <v>0.23479768633842468</v>
      </c>
      <c r="AI12" s="489">
        <f>[10]Composition!$L$17</f>
        <v>0.66046899557113647</v>
      </c>
      <c r="AJ12" s="488">
        <f>[10]Composition!$M$17</f>
        <v>0.19554387032985687</v>
      </c>
      <c r="AK12" s="490">
        <f>[10]Composition!$N$17</f>
        <v>0.14398713409900665</v>
      </c>
      <c r="AL12" s="488">
        <f>[10]Composition!$I$17</f>
        <v>0.79623878002166748</v>
      </c>
      <c r="AM12" s="488">
        <f>[10]Composition!$J$17</f>
        <v>0.11732915788888931</v>
      </c>
      <c r="AN12" s="488">
        <f>[10]Composition!$K$17</f>
        <v>8.643195778131485E-2</v>
      </c>
      <c r="AO12" s="489">
        <f>[10]Composition!$F$17</f>
        <v>0.86532384157180786</v>
      </c>
      <c r="AP12" s="488">
        <f>[10]Composition!$G$17</f>
        <v>7.8710824251174927E-2</v>
      </c>
      <c r="AQ12" s="490">
        <f>[10]Composition!$H$17</f>
        <v>5.596528947353363E-2</v>
      </c>
      <c r="AR12" s="488">
        <f>[10]Composition!$C$17</f>
        <v>0.75110059976577759</v>
      </c>
      <c r="AS12" s="488">
        <f>[10]Composition!$D$17</f>
        <v>0.14353321492671967</v>
      </c>
      <c r="AT12" s="492">
        <f>[10]Composition!$E$17</f>
        <v>0.10536617040634155</v>
      </c>
    </row>
    <row r="13" spans="1:46">
      <c r="A13" s="191">
        <v>2001</v>
      </c>
      <c r="B13" s="223">
        <f>[8]Composition!$O$22</f>
        <v>0.70134443044662476</v>
      </c>
      <c r="C13" s="197">
        <f>[8]Composition!$P$22</f>
        <v>0.1754811704158783</v>
      </c>
      <c r="D13" s="197">
        <f>[8]Composition!$Q$22</f>
        <v>0.12317466735839844</v>
      </c>
      <c r="E13" s="198">
        <f>[8]Composition!$L$22</f>
        <v>0.78261232376098633</v>
      </c>
      <c r="F13" s="197">
        <f>[8]Composition!$M$22</f>
        <v>0.14339572191238403</v>
      </c>
      <c r="G13" s="199">
        <f>[8]Composition!$N$22</f>
        <v>7.3991991579532623E-2</v>
      </c>
      <c r="H13" s="197">
        <f>[8]Composition!$I$22</f>
        <v>0.82201629877090454</v>
      </c>
      <c r="I13" s="197">
        <f>[8]Composition!$J$22</f>
        <v>0.11740400642156601</v>
      </c>
      <c r="J13" s="197">
        <f>[8]Composition!$K$22</f>
        <v>6.0579597949981689E-2</v>
      </c>
      <c r="K13" s="198">
        <f>[8]Composition!$F$22</f>
        <v>0.83619731664657593</v>
      </c>
      <c r="L13" s="197">
        <f>[8]Composition!$G$22</f>
        <v>6.8078607320785522E-2</v>
      </c>
      <c r="M13" s="199">
        <f>[8]Composition!$H$22</f>
        <v>9.5724068582057953E-2</v>
      </c>
      <c r="N13" s="197">
        <f>[8]Composition!$C$22</f>
        <v>0.80924659967422485</v>
      </c>
      <c r="O13" s="197">
        <f>[8]Composition!$D$22</f>
        <v>0.11896879225969315</v>
      </c>
      <c r="P13" s="197">
        <f>[8]Composition!$E$22</f>
        <v>7.1784570813179016E-2</v>
      </c>
      <c r="Q13" s="223">
        <f>[9]Composition!$O$22</f>
        <v>0.51089060306549072</v>
      </c>
      <c r="R13" s="197">
        <f>[9]Composition!$P$22</f>
        <v>0.30772131681442261</v>
      </c>
      <c r="S13" s="197">
        <f>[9]Composition!$Q$22</f>
        <v>0.18138845264911652</v>
      </c>
      <c r="T13" s="198">
        <f>[9]Composition!$L$22</f>
        <v>0.72784358263015747</v>
      </c>
      <c r="U13" s="197">
        <f>[9]Composition!$M$22</f>
        <v>0.17774179577827454</v>
      </c>
      <c r="V13" s="199">
        <f>[9]Composition!$N$22</f>
        <v>9.441472589969635E-2</v>
      </c>
      <c r="W13" s="197">
        <f>[9]Composition!$I$22</f>
        <v>0.82201439142227173</v>
      </c>
      <c r="X13" s="197">
        <f>[9]Composition!$J$22</f>
        <v>0.11732594668865204</v>
      </c>
      <c r="Y13" s="197">
        <f>[9]Composition!$K$22</f>
        <v>6.0659646987915039E-2</v>
      </c>
      <c r="Z13" s="198">
        <f>[9]Composition!$F$22</f>
        <v>0.83621162176132202</v>
      </c>
      <c r="AA13" s="197">
        <f>[9]Composition!$G$22</f>
        <v>6.8065665662288666E-2</v>
      </c>
      <c r="AB13" s="199">
        <f>[9]Composition!$H$22</f>
        <v>9.5722474157810211E-2</v>
      </c>
      <c r="AC13" s="197">
        <f>[9]Composition!$C$22</f>
        <v>0.78533577919006348</v>
      </c>
      <c r="AD13" s="197">
        <f>[9]Composition!$D$22</f>
        <v>0.13428591191768646</v>
      </c>
      <c r="AE13" s="473">
        <f>[9]Composition!$E$22</f>
        <v>8.0378271639347076E-2</v>
      </c>
      <c r="AF13" s="197">
        <f>[10]Composition!$O$22</f>
        <v>0.44252669811248779</v>
      </c>
      <c r="AG13" s="197">
        <f>[10]Composition!$P$22</f>
        <v>0.31133246421813965</v>
      </c>
      <c r="AH13" s="197">
        <f>[10]Composition!$Q$22</f>
        <v>0.24614125490188599</v>
      </c>
      <c r="AI13" s="198">
        <f>[10]Composition!$L$22</f>
        <v>0.68009728193283081</v>
      </c>
      <c r="AJ13" s="197">
        <f>[10]Composition!$M$22</f>
        <v>0.19263090193271637</v>
      </c>
      <c r="AK13" s="199">
        <f>[10]Composition!$N$22</f>
        <v>0.12727183103561401</v>
      </c>
      <c r="AL13" s="197">
        <f>[10]Composition!$I$22</f>
        <v>0.82224291563034058</v>
      </c>
      <c r="AM13" s="197">
        <f>[10]Composition!$J$22</f>
        <v>0.11704199016094208</v>
      </c>
      <c r="AN13" s="197">
        <f>[10]Composition!$K$22</f>
        <v>6.0715276747941971E-2</v>
      </c>
      <c r="AO13" s="198">
        <f>[10]Composition!$F$22</f>
        <v>0.8385084867477417</v>
      </c>
      <c r="AP13" s="197">
        <f>[10]Composition!$G$22</f>
        <v>6.9364592432975769E-2</v>
      </c>
      <c r="AQ13" s="199">
        <f>[10]Composition!$H$22</f>
        <v>9.2126548290252686E-2</v>
      </c>
      <c r="AR13" s="197">
        <f>[10]Composition!$C$22</f>
        <v>0.76210981607437134</v>
      </c>
      <c r="AS13" s="197">
        <f>[10]Composition!$D$22</f>
        <v>0.14300119876861572</v>
      </c>
      <c r="AT13" s="294">
        <f>[10]Composition!$E$22</f>
        <v>9.4889037311077118E-2</v>
      </c>
    </row>
    <row r="14" spans="1:46">
      <c r="A14" s="191">
        <v>2006</v>
      </c>
      <c r="B14" s="223">
        <f>[8]Composition!$O$27</f>
        <v>0.55180788040161133</v>
      </c>
      <c r="C14" s="197">
        <f>[8]Composition!$P$27</f>
        <v>0.19047422707080841</v>
      </c>
      <c r="D14" s="197">
        <f>[8]Composition!$Q$27</f>
        <v>0.25771787762641907</v>
      </c>
      <c r="E14" s="198">
        <f>[8]Composition!$L$27</f>
        <v>0.69579166173934937</v>
      </c>
      <c r="F14" s="197">
        <f>[8]Composition!$M$27</f>
        <v>0.15545102953910828</v>
      </c>
      <c r="G14" s="199">
        <f>[8]Composition!$N$27</f>
        <v>0.14875733852386475</v>
      </c>
      <c r="H14" s="197">
        <f>[8]Composition!$I$27</f>
        <v>0.81474596261978149</v>
      </c>
      <c r="I14" s="197">
        <f>[8]Composition!$J$27</f>
        <v>0.11101838946342468</v>
      </c>
      <c r="J14" s="197">
        <f>[8]Composition!$K$27</f>
        <v>7.4235573410987854E-2</v>
      </c>
      <c r="K14" s="198">
        <f>[8]Composition!$F$27</f>
        <v>0.83685284852981567</v>
      </c>
      <c r="L14" s="197">
        <f>[8]Composition!$G$27</f>
        <v>5.8128155767917633E-2</v>
      </c>
      <c r="M14" s="199">
        <f>[8]Composition!$H$27</f>
        <v>0.10501888394355774</v>
      </c>
      <c r="N14" s="197">
        <f>[8]Composition!$C$27</f>
        <v>0.77136355638504028</v>
      </c>
      <c r="O14" s="197">
        <f>[8]Composition!$D$27</f>
        <v>0.11992669850587845</v>
      </c>
      <c r="P14" s="197">
        <f>[8]Composition!$E$27</f>
        <v>0.10870971530675888</v>
      </c>
      <c r="Q14" s="223">
        <f>[9]Composition!$O$27</f>
        <v>0.39631587266921997</v>
      </c>
      <c r="R14" s="197">
        <f>[9]Composition!$P$27</f>
        <v>0.2882925271987915</v>
      </c>
      <c r="S14" s="197">
        <f>[9]Composition!$Q$27</f>
        <v>0.31539168953895569</v>
      </c>
      <c r="T14" s="198">
        <f>[9]Composition!$L$27</f>
        <v>0.63855475187301636</v>
      </c>
      <c r="U14" s="197">
        <f>[9]Composition!$M$27</f>
        <v>0.18353939056396484</v>
      </c>
      <c r="V14" s="199">
        <f>[9]Composition!$N$27</f>
        <v>0.17790603637695313</v>
      </c>
      <c r="W14" s="197">
        <f>[9]Composition!$I$27</f>
        <v>0.81431227922439575</v>
      </c>
      <c r="X14" s="197">
        <f>[9]Composition!$J$27</f>
        <v>0.11145340651273727</v>
      </c>
      <c r="Y14" s="197">
        <f>[9]Composition!$K$27</f>
        <v>7.423420250415802E-2</v>
      </c>
      <c r="Z14" s="198">
        <f>[9]Composition!$F$27</f>
        <v>0.8369329571723938</v>
      </c>
      <c r="AA14" s="197">
        <f>[9]Composition!$G$27</f>
        <v>5.812440812587738E-2</v>
      </c>
      <c r="AB14" s="199">
        <f>[9]Composition!$H$27</f>
        <v>0.10494270175695419</v>
      </c>
      <c r="AC14" s="197">
        <f>[9]Composition!$C$27</f>
        <v>0.74247974157333374</v>
      </c>
      <c r="AD14" s="197">
        <f>[9]Composition!$D$27</f>
        <v>0.13411271572113037</v>
      </c>
      <c r="AE14" s="473">
        <f>[9]Composition!$E$27</f>
        <v>0.12340755015611649</v>
      </c>
      <c r="AF14" s="197">
        <f>[10]Composition!$O$27</f>
        <v>0.36077538132667542</v>
      </c>
      <c r="AG14" s="197">
        <f>[10]Composition!$P$27</f>
        <v>0.28450223803520203</v>
      </c>
      <c r="AH14" s="197">
        <f>[10]Composition!$Q$27</f>
        <v>0.35472249984741211</v>
      </c>
      <c r="AI14" s="198">
        <f>[10]Composition!$L$27</f>
        <v>0.58238720893859863</v>
      </c>
      <c r="AJ14" s="197">
        <f>[10]Composition!$M$27</f>
        <v>0.19916105270385742</v>
      </c>
      <c r="AK14" s="199">
        <f>[10]Composition!$N$27</f>
        <v>0.21845170855522156</v>
      </c>
      <c r="AL14" s="197">
        <f>[10]Composition!$I$27</f>
        <v>0.81398749351501465</v>
      </c>
      <c r="AM14" s="197">
        <f>[10]Composition!$J$27</f>
        <v>0.11174801737070084</v>
      </c>
      <c r="AN14" s="197">
        <f>[10]Composition!$K$27</f>
        <v>7.4264749884605408E-2</v>
      </c>
      <c r="AO14" s="198">
        <f>[10]Composition!$F$27</f>
        <v>0.83803373575210571</v>
      </c>
      <c r="AP14" s="197">
        <f>[10]Composition!$G$27</f>
        <v>5.8974035084247589E-2</v>
      </c>
      <c r="AQ14" s="199">
        <f>[10]Composition!$H$27</f>
        <v>0.10299180448055267</v>
      </c>
      <c r="AR14" s="197">
        <f>[10]Composition!$C$27</f>
        <v>0.70236539840698242</v>
      </c>
      <c r="AS14" s="197">
        <f>[10]Composition!$D$27</f>
        <v>0.14815907180309296</v>
      </c>
      <c r="AT14" s="294">
        <f>[10]Composition!$E$27</f>
        <v>0.14947555959224701</v>
      </c>
    </row>
    <row r="15" spans="1:46">
      <c r="A15" s="191">
        <v>2011</v>
      </c>
      <c r="B15" s="223">
        <f>[8]Composition!$O$32</f>
        <v>0.62048500776290894</v>
      </c>
      <c r="C15" s="197">
        <f>[8]Composition!$P$32</f>
        <v>0.15207818150520325</v>
      </c>
      <c r="D15" s="197">
        <f>[8]Composition!$Q$32</f>
        <v>0.22743687033653259</v>
      </c>
      <c r="E15" s="198">
        <f>[8]Composition!$L$32</f>
        <v>0.73295199871063232</v>
      </c>
      <c r="F15" s="197">
        <f>[8]Composition!$M$32</f>
        <v>0.12657356262207031</v>
      </c>
      <c r="G15" s="199">
        <f>[8]Composition!$N$32</f>
        <v>0.14047451317310333</v>
      </c>
      <c r="H15" s="197">
        <f>[8]Composition!$I$32</f>
        <v>0.82746684551239014</v>
      </c>
      <c r="I15" s="197">
        <f>[8]Composition!$J$32</f>
        <v>0.10700327157974243</v>
      </c>
      <c r="J15" s="197">
        <f>[8]Composition!$K$32</f>
        <v>6.5529830753803253E-2</v>
      </c>
      <c r="K15" s="198">
        <f>[8]Composition!$F$32</f>
        <v>0.83550870418548584</v>
      </c>
      <c r="L15" s="197">
        <f>[8]Composition!$G$32</f>
        <v>7.3192976415157318E-2</v>
      </c>
      <c r="M15" s="199">
        <f>[8]Composition!$H$32</f>
        <v>9.1298565268516541E-2</v>
      </c>
      <c r="N15" s="197">
        <f>[8]Composition!$C$32</f>
        <v>0.79129397869110107</v>
      </c>
      <c r="O15" s="197">
        <f>[8]Composition!$D$32</f>
        <v>0.10935141146183014</v>
      </c>
      <c r="P15" s="197">
        <f>[8]Composition!$E$32</f>
        <v>9.9354691803455353E-2</v>
      </c>
      <c r="Q15" s="223">
        <f>[9]Composition!$O$32</f>
        <v>0.45698529481887817</v>
      </c>
      <c r="R15" s="197">
        <f>[9]Composition!$P$32</f>
        <v>0.23878686130046844</v>
      </c>
      <c r="S15" s="197">
        <f>[9]Composition!$Q$32</f>
        <v>0.30422812700271606</v>
      </c>
      <c r="T15" s="198">
        <f>[9]Composition!$L$32</f>
        <v>0.67642498016357422</v>
      </c>
      <c r="U15" s="197">
        <f>[9]Composition!$M$32</f>
        <v>0.1524939090013504</v>
      </c>
      <c r="V15" s="199">
        <f>[9]Composition!$N$32</f>
        <v>0.17108123004436493</v>
      </c>
      <c r="W15" s="197">
        <f>[9]Composition!$I$32</f>
        <v>0.82735401391983032</v>
      </c>
      <c r="X15" s="197">
        <f>[9]Composition!$J$32</f>
        <v>0.10699225962162018</v>
      </c>
      <c r="Y15" s="197">
        <f>[9]Composition!$K$32</f>
        <v>6.5653659403324127E-2</v>
      </c>
      <c r="Z15" s="198">
        <f>[9]Composition!$F$32</f>
        <v>0.83551615476608276</v>
      </c>
      <c r="AA15" s="197">
        <f>[9]Composition!$G$32</f>
        <v>7.3204442858695984E-2</v>
      </c>
      <c r="AB15" s="199">
        <f>[9]Composition!$H$32</f>
        <v>9.1279558837413788E-2</v>
      </c>
      <c r="AC15" s="197">
        <f>[9]Composition!$C$32</f>
        <v>0.76281249523162842</v>
      </c>
      <c r="AD15" s="197">
        <f>[9]Composition!$D$32</f>
        <v>0.12176602333784103</v>
      </c>
      <c r="AE15" s="473">
        <f>[9]Composition!$E$32</f>
        <v>0.11542154848575592</v>
      </c>
      <c r="AF15" s="197">
        <f>[10]Composition!$O$32</f>
        <v>0.43072730302810669</v>
      </c>
      <c r="AG15" s="197">
        <f>[10]Composition!$P$32</f>
        <v>0.23878805339336395</v>
      </c>
      <c r="AH15" s="197">
        <f>[10]Composition!$Q$32</f>
        <v>0.3304850161075592</v>
      </c>
      <c r="AI15" s="198">
        <f>[10]Composition!$L$32</f>
        <v>0.63607507944107056</v>
      </c>
      <c r="AJ15" s="197">
        <f>[10]Composition!$M$32</f>
        <v>0.16378962993621826</v>
      </c>
      <c r="AK15" s="199">
        <f>[10]Composition!$N$32</f>
        <v>0.2001352459192276</v>
      </c>
      <c r="AL15" s="197">
        <f>[10]Composition!$I$32</f>
        <v>0.82633733749389648</v>
      </c>
      <c r="AM15" s="197">
        <f>[10]Composition!$J$32</f>
        <v>0.10795306414365768</v>
      </c>
      <c r="AN15" s="197">
        <f>[10]Composition!$K$32</f>
        <v>6.5709680318832397E-2</v>
      </c>
      <c r="AO15" s="198">
        <f>[10]Composition!$F$32</f>
        <v>0.83716440200805664</v>
      </c>
      <c r="AP15" s="197">
        <f>[10]Composition!$G$32</f>
        <v>7.438669353723526E-2</v>
      </c>
      <c r="AQ15" s="199">
        <f>[10]Composition!$H$32</f>
        <v>8.8448286056518555E-2</v>
      </c>
      <c r="AR15" s="197">
        <f>[10]Composition!$C$32</f>
        <v>0.73381596803665161</v>
      </c>
      <c r="AS15" s="197">
        <f>[10]Composition!$D$32</f>
        <v>0.13119950890541077</v>
      </c>
      <c r="AT15" s="294">
        <f>[10]Composition!$E$32</f>
        <v>0.13498444855213165</v>
      </c>
    </row>
    <row r="16" spans="1:46" ht="15.75" thickBot="1">
      <c r="A16" s="200">
        <v>2016</v>
      </c>
      <c r="B16" s="224">
        <f>[8]Composition!$O$37</f>
        <v>0.6961437463760376</v>
      </c>
      <c r="C16" s="201">
        <f>[8]Composition!$P$37</f>
        <v>0.15962101519107819</v>
      </c>
      <c r="D16" s="201">
        <f>[8]Composition!$Q$37</f>
        <v>0.1442352682352066</v>
      </c>
      <c r="E16" s="202">
        <f>[8]Composition!$L$37</f>
        <v>0.7750478982925415</v>
      </c>
      <c r="F16" s="201">
        <f>[8]Composition!$M$37</f>
        <v>0.13700832426548004</v>
      </c>
      <c r="G16" s="203">
        <f>[8]Composition!$N$37</f>
        <v>8.7943822145462036E-2</v>
      </c>
      <c r="H16" s="201">
        <f>[8]Composition!$I$37</f>
        <v>0.84285849332809448</v>
      </c>
      <c r="I16" s="201">
        <f>[8]Composition!$J$37</f>
        <v>0.11133908480405807</v>
      </c>
      <c r="J16" s="201">
        <f>[8]Composition!$K$37</f>
        <v>4.5802541077136993E-2</v>
      </c>
      <c r="K16" s="202">
        <f>[8]Composition!$F$37</f>
        <v>0.83312225341796875</v>
      </c>
      <c r="L16" s="201">
        <f>[8]Composition!$G$37</f>
        <v>7.349260151386261E-2</v>
      </c>
      <c r="M16" s="203">
        <f>[8]Composition!$H$37</f>
        <v>9.338485449552536E-2</v>
      </c>
      <c r="N16" s="201">
        <f>[8]Composition!$C$37</f>
        <v>0.81550335884094238</v>
      </c>
      <c r="O16" s="201">
        <f>[8]Composition!$D$37</f>
        <v>0.11464264988899231</v>
      </c>
      <c r="P16" s="201">
        <f>[8]Composition!$E$37</f>
        <v>6.9853976368904114E-2</v>
      </c>
      <c r="Q16" s="224">
        <f>[9]Composition!$O$37</f>
        <v>0.61774802207946777</v>
      </c>
      <c r="R16" s="201">
        <f>[9]Composition!$P$37</f>
        <v>0.16030608117580414</v>
      </c>
      <c r="S16" s="201">
        <f>[9]Composition!$Q$37</f>
        <v>0.22194641828536987</v>
      </c>
      <c r="T16" s="202">
        <f>[9]Composition!$L$37</f>
        <v>0.74472701549530029</v>
      </c>
      <c r="U16" s="201">
        <f>[9]Composition!$M$37</f>
        <v>0.14356881380081177</v>
      </c>
      <c r="V16" s="203">
        <f>[9]Composition!$N$37</f>
        <v>0.11170414090156555</v>
      </c>
      <c r="W16" s="201">
        <f>[9]Composition!$I$37</f>
        <v>0.84338223934173584</v>
      </c>
      <c r="X16" s="201">
        <f>[9]Composition!$J$37</f>
        <v>0.11084072291851044</v>
      </c>
      <c r="Y16" s="201">
        <f>[9]Composition!$K$37</f>
        <v>4.5777104794979095E-2</v>
      </c>
      <c r="Z16" s="202">
        <f>[9]Composition!$F$37</f>
        <v>0.83245956897735596</v>
      </c>
      <c r="AA16" s="201">
        <f>[9]Composition!$G$37</f>
        <v>7.4091903865337372E-2</v>
      </c>
      <c r="AB16" s="203">
        <f>[9]Composition!$H$37</f>
        <v>9.3448549509048462E-2</v>
      </c>
      <c r="AC16" s="201">
        <f>[9]Composition!$C$37</f>
        <v>0.80041110515594482</v>
      </c>
      <c r="AD16" s="201">
        <f>[9]Composition!$D$37</f>
        <v>0.11867155879735947</v>
      </c>
      <c r="AE16" s="474">
        <f>[9]Composition!$E$37</f>
        <v>8.0917365849018097E-2</v>
      </c>
      <c r="AF16" s="201">
        <f>[10]Composition!$O$37</f>
        <v>0.57072246074676514</v>
      </c>
      <c r="AG16" s="201">
        <f>[10]Composition!$P$37</f>
        <v>0.155985027551651</v>
      </c>
      <c r="AH16" s="201">
        <f>[10]Composition!$Q$37</f>
        <v>0.27329275012016296</v>
      </c>
      <c r="AI16" s="202">
        <f>[10]Composition!$L$37</f>
        <v>0.7122652530670166</v>
      </c>
      <c r="AJ16" s="201">
        <f>[10]Composition!$M$37</f>
        <v>0.1447540819644928</v>
      </c>
      <c r="AK16" s="203">
        <f>[10]Composition!$N$37</f>
        <v>0.1429806649684906</v>
      </c>
      <c r="AL16" s="201">
        <f>[10]Composition!$I$37</f>
        <v>0.84354996681213379</v>
      </c>
      <c r="AM16" s="201">
        <f>[10]Composition!$J$37</f>
        <v>0.11080761253833771</v>
      </c>
      <c r="AN16" s="201">
        <f>[10]Composition!$K$37</f>
        <v>4.5642394572496414E-2</v>
      </c>
      <c r="AO16" s="202">
        <f>[10]Composition!$F$37</f>
        <v>0.83252495527267456</v>
      </c>
      <c r="AP16" s="201">
        <f>[10]Composition!$G$37</f>
        <v>7.6259143650531769E-2</v>
      </c>
      <c r="AQ16" s="203">
        <f>[10]Composition!$H$37</f>
        <v>9.1215886175632477E-2</v>
      </c>
      <c r="AR16" s="201">
        <f>[10]Composition!$C$37</f>
        <v>0.77888798713684082</v>
      </c>
      <c r="AS16" s="201">
        <f>[10]Composition!$D$37</f>
        <v>0.12239988893270493</v>
      </c>
      <c r="AT16" s="295">
        <f>[10]Composition!$E$37</f>
        <v>9.8712131381034851E-2</v>
      </c>
    </row>
    <row r="17" spans="1:10" ht="16.5" thickTop="1" thickBot="1"/>
    <row r="18" spans="1:10" ht="15.75" thickTop="1">
      <c r="A18" s="1116" t="s">
        <v>1271</v>
      </c>
      <c r="B18" s="1117"/>
      <c r="C18" s="1117"/>
      <c r="D18" s="1117"/>
      <c r="E18" s="1117"/>
      <c r="F18" s="1117"/>
      <c r="G18" s="1117"/>
      <c r="H18" s="1117"/>
      <c r="I18" s="1117"/>
      <c r="J18" s="1118"/>
    </row>
    <row r="19" spans="1:10">
      <c r="A19" s="1119"/>
      <c r="B19" s="1120"/>
      <c r="C19" s="1120"/>
      <c r="D19" s="1120"/>
      <c r="E19" s="1120"/>
      <c r="F19" s="1120"/>
      <c r="G19" s="1120"/>
      <c r="H19" s="1120"/>
      <c r="I19" s="1120"/>
      <c r="J19" s="1121"/>
    </row>
    <row r="20" spans="1:10" ht="15.75" thickBot="1">
      <c r="A20" s="1122"/>
      <c r="B20" s="1123"/>
      <c r="C20" s="1123"/>
      <c r="D20" s="1123"/>
      <c r="E20" s="1123"/>
      <c r="F20" s="1123"/>
      <c r="G20" s="1123"/>
      <c r="H20" s="1123"/>
      <c r="I20" s="1123"/>
      <c r="J20" s="1124"/>
    </row>
    <row r="21" spans="1:10" ht="15.75" thickTop="1"/>
  </sheetData>
  <mergeCells count="20">
    <mergeCell ref="A18:J20"/>
    <mergeCell ref="B4:P4"/>
    <mergeCell ref="AF4:AT4"/>
    <mergeCell ref="A2:AT2"/>
    <mergeCell ref="AF5:AH5"/>
    <mergeCell ref="AI5:AK5"/>
    <mergeCell ref="AL5:AN5"/>
    <mergeCell ref="AO5:AQ5"/>
    <mergeCell ref="AR5:AT5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Q4:AE4"/>
  </mergeCells>
  <phoneticPr fontId="1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2F5B-A195-4C59-9438-C0432B693FF7}">
  <sheetPr>
    <tabColor theme="5" tint="0.39997558519241921"/>
  </sheetPr>
  <dimension ref="A1:AJ22"/>
  <sheetViews>
    <sheetView workbookViewId="0">
      <pane xSplit="1" topLeftCell="N1" activePane="topRight" state="frozen"/>
      <selection activeCell="M27" sqref="M27"/>
      <selection pane="topRight" activeCell="A2" sqref="A2:AI15"/>
    </sheetView>
  </sheetViews>
  <sheetFormatPr defaultColWidth="9" defaultRowHeight="15"/>
  <cols>
    <col min="1" max="1" width="11.375" style="1031" bestFit="1" customWidth="1"/>
    <col min="2" max="8" width="8.625" style="1032" customWidth="1"/>
    <col min="9" max="11" width="8.625" style="1033" customWidth="1"/>
    <col min="12" max="15" width="9" style="983"/>
    <col min="16" max="22" width="9" style="983" customWidth="1"/>
    <col min="23" max="16384" width="9" style="983"/>
  </cols>
  <sheetData>
    <row r="1" spans="1:36" ht="15.75" thickBot="1">
      <c r="A1" s="980"/>
      <c r="B1" s="981"/>
      <c r="C1" s="981"/>
      <c r="D1" s="981"/>
      <c r="E1" s="981"/>
      <c r="F1" s="981"/>
      <c r="G1" s="981"/>
      <c r="H1" s="981"/>
      <c r="I1" s="982"/>
      <c r="J1" s="982"/>
      <c r="K1" s="982"/>
    </row>
    <row r="2" spans="1:36" s="984" customFormat="1" ht="21.75" thickTop="1" thickBot="1">
      <c r="A2" s="1061" t="s">
        <v>1639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  <c r="AD2" s="1062"/>
      <c r="AE2" s="1062"/>
      <c r="AF2" s="1062"/>
      <c r="AG2" s="1062"/>
      <c r="AH2" s="1062"/>
      <c r="AI2" s="1063"/>
    </row>
    <row r="3" spans="1:36" s="993" customFormat="1" ht="15.75" customHeight="1">
      <c r="A3" s="985"/>
      <c r="B3" s="986" t="s">
        <v>1157</v>
      </c>
      <c r="C3" s="987" t="s">
        <v>1158</v>
      </c>
      <c r="D3" s="987" t="s">
        <v>1159</v>
      </c>
      <c r="E3" s="987" t="s">
        <v>1160</v>
      </c>
      <c r="F3" s="987" t="s">
        <v>1161</v>
      </c>
      <c r="G3" s="987" t="s">
        <v>1162</v>
      </c>
      <c r="H3" s="988" t="s">
        <v>1163</v>
      </c>
      <c r="I3" s="989" t="s">
        <v>1164</v>
      </c>
      <c r="J3" s="987" t="s">
        <v>1165</v>
      </c>
      <c r="K3" s="987" t="s">
        <v>1166</v>
      </c>
      <c r="L3" s="987" t="s">
        <v>1167</v>
      </c>
      <c r="M3" s="987" t="s">
        <v>1168</v>
      </c>
      <c r="N3" s="987" t="s">
        <v>1169</v>
      </c>
      <c r="O3" s="987" t="s">
        <v>1170</v>
      </c>
      <c r="P3" s="986" t="s">
        <v>1171</v>
      </c>
      <c r="Q3" s="987" t="s">
        <v>1172</v>
      </c>
      <c r="R3" s="987" t="s">
        <v>1173</v>
      </c>
      <c r="S3" s="987" t="s">
        <v>1174</v>
      </c>
      <c r="T3" s="987" t="s">
        <v>1175</v>
      </c>
      <c r="U3" s="987" t="s">
        <v>1176</v>
      </c>
      <c r="V3" s="988" t="s">
        <v>1177</v>
      </c>
      <c r="W3" s="987" t="s">
        <v>1178</v>
      </c>
      <c r="X3" s="987" t="s">
        <v>1179</v>
      </c>
      <c r="Y3" s="987" t="s">
        <v>1180</v>
      </c>
      <c r="Z3" s="987" t="s">
        <v>1181</v>
      </c>
      <c r="AA3" s="987" t="s">
        <v>1182</v>
      </c>
      <c r="AB3" s="987" t="s">
        <v>1183</v>
      </c>
      <c r="AC3" s="990" t="s">
        <v>1184</v>
      </c>
      <c r="AD3" s="1253" t="s">
        <v>1185</v>
      </c>
      <c r="AE3" s="1253" t="s">
        <v>1186</v>
      </c>
      <c r="AF3" s="1253" t="s">
        <v>1187</v>
      </c>
      <c r="AG3" s="1253" t="s">
        <v>1188</v>
      </c>
      <c r="AH3" s="1253" t="s">
        <v>1189</v>
      </c>
      <c r="AI3" s="992" t="s">
        <v>1190</v>
      </c>
    </row>
    <row r="4" spans="1:36" s="995" customFormat="1" ht="15.75" customHeight="1">
      <c r="A4" s="994"/>
      <c r="B4" s="1149" t="s">
        <v>1228</v>
      </c>
      <c r="C4" s="1254"/>
      <c r="D4" s="1254"/>
      <c r="E4" s="1254"/>
      <c r="F4" s="1254"/>
      <c r="G4" s="1254"/>
      <c r="H4" s="1151"/>
      <c r="I4" s="1152" t="s">
        <v>1229</v>
      </c>
      <c r="J4" s="1254"/>
      <c r="K4" s="1254"/>
      <c r="L4" s="1254"/>
      <c r="M4" s="1254"/>
      <c r="N4" s="1254"/>
      <c r="O4" s="1254"/>
      <c r="P4" s="1149" t="s">
        <v>1268</v>
      </c>
      <c r="Q4" s="1254"/>
      <c r="R4" s="1254"/>
      <c r="S4" s="1254"/>
      <c r="T4" s="1254"/>
      <c r="U4" s="1254"/>
      <c r="V4" s="1151"/>
      <c r="W4" s="1152" t="s">
        <v>1269</v>
      </c>
      <c r="X4" s="1254"/>
      <c r="Y4" s="1254"/>
      <c r="Z4" s="1254"/>
      <c r="AA4" s="1254"/>
      <c r="AB4" s="1254"/>
      <c r="AC4" s="1153"/>
      <c r="AD4" s="1254" t="s">
        <v>1270</v>
      </c>
      <c r="AE4" s="1254"/>
      <c r="AF4" s="1254"/>
      <c r="AG4" s="1254"/>
      <c r="AH4" s="1254"/>
      <c r="AI4" s="1154"/>
    </row>
    <row r="5" spans="1:36" s="1003" customFormat="1" ht="31.5">
      <c r="A5" s="996" t="s">
        <v>1191</v>
      </c>
      <c r="B5" s="997" t="s">
        <v>1192</v>
      </c>
      <c r="C5" s="1255" t="s">
        <v>1193</v>
      </c>
      <c r="D5" s="1255" t="s">
        <v>1194</v>
      </c>
      <c r="E5" s="1255" t="s">
        <v>1195</v>
      </c>
      <c r="F5" s="1255" t="s">
        <v>1196</v>
      </c>
      <c r="G5" s="1255" t="s">
        <v>1197</v>
      </c>
      <c r="H5" s="999" t="s">
        <v>1198</v>
      </c>
      <c r="I5" s="1000" t="s">
        <v>1192</v>
      </c>
      <c r="J5" s="1255" t="s">
        <v>1193</v>
      </c>
      <c r="K5" s="1255" t="s">
        <v>1194</v>
      </c>
      <c r="L5" s="1255" t="s">
        <v>1195</v>
      </c>
      <c r="M5" s="1255" t="s">
        <v>1196</v>
      </c>
      <c r="N5" s="1255" t="s">
        <v>1197</v>
      </c>
      <c r="O5" s="1255" t="s">
        <v>1198</v>
      </c>
      <c r="P5" s="997" t="s">
        <v>1192</v>
      </c>
      <c r="Q5" s="1255" t="s">
        <v>1193</v>
      </c>
      <c r="R5" s="1255" t="s">
        <v>1194</v>
      </c>
      <c r="S5" s="1255" t="s">
        <v>1195</v>
      </c>
      <c r="T5" s="1255" t="s">
        <v>1196</v>
      </c>
      <c r="U5" s="1255" t="s">
        <v>1197</v>
      </c>
      <c r="V5" s="999" t="s">
        <v>1198</v>
      </c>
      <c r="W5" s="1000" t="s">
        <v>1192</v>
      </c>
      <c r="X5" s="1255" t="s">
        <v>1193</v>
      </c>
      <c r="Y5" s="1255" t="s">
        <v>1194</v>
      </c>
      <c r="Z5" s="1255" t="s">
        <v>1195</v>
      </c>
      <c r="AA5" s="1255" t="s">
        <v>1196</v>
      </c>
      <c r="AB5" s="1255" t="s">
        <v>1197</v>
      </c>
      <c r="AC5" s="1001" t="s">
        <v>1198</v>
      </c>
      <c r="AD5" s="1255" t="s">
        <v>1192</v>
      </c>
      <c r="AE5" s="1255" t="s">
        <v>1193</v>
      </c>
      <c r="AF5" s="1255" t="s">
        <v>1194</v>
      </c>
      <c r="AG5" s="1255" t="s">
        <v>1195</v>
      </c>
      <c r="AH5" s="1255" t="s">
        <v>1196</v>
      </c>
      <c r="AI5" s="1002" t="s">
        <v>1197</v>
      </c>
    </row>
    <row r="6" spans="1:36" s="1003" customFormat="1">
      <c r="A6" s="1004"/>
      <c r="B6" s="1005" t="s">
        <v>1199</v>
      </c>
      <c r="C6" s="1006" t="s">
        <v>1199</v>
      </c>
      <c r="D6" s="1006" t="s">
        <v>1199</v>
      </c>
      <c r="E6" s="1006" t="s">
        <v>1199</v>
      </c>
      <c r="F6" s="1006" t="s">
        <v>1199</v>
      </c>
      <c r="G6" s="1006" t="s">
        <v>1199</v>
      </c>
      <c r="H6" s="1007"/>
      <c r="I6" s="1008" t="s">
        <v>1199</v>
      </c>
      <c r="J6" s="1006" t="s">
        <v>1199</v>
      </c>
      <c r="K6" s="1006" t="s">
        <v>1199</v>
      </c>
      <c r="L6" s="1006" t="s">
        <v>1199</v>
      </c>
      <c r="M6" s="1006" t="s">
        <v>1199</v>
      </c>
      <c r="N6" s="1006" t="s">
        <v>1199</v>
      </c>
      <c r="O6" s="1006"/>
      <c r="P6" s="1005" t="s">
        <v>1199</v>
      </c>
      <c r="Q6" s="1006" t="s">
        <v>1199</v>
      </c>
      <c r="R6" s="1006" t="s">
        <v>1199</v>
      </c>
      <c r="S6" s="1006" t="s">
        <v>1199</v>
      </c>
      <c r="T6" s="1006" t="s">
        <v>1199</v>
      </c>
      <c r="U6" s="1006" t="s">
        <v>1199</v>
      </c>
      <c r="V6" s="1007"/>
      <c r="W6" s="1008" t="s">
        <v>1199</v>
      </c>
      <c r="X6" s="1006" t="s">
        <v>1199</v>
      </c>
      <c r="Y6" s="1006" t="s">
        <v>1199</v>
      </c>
      <c r="Z6" s="1006" t="s">
        <v>1199</v>
      </c>
      <c r="AA6" s="1006" t="s">
        <v>1199</v>
      </c>
      <c r="AB6" s="1006" t="s">
        <v>1199</v>
      </c>
      <c r="AC6" s="1009"/>
      <c r="AD6" s="1006" t="s">
        <v>1199</v>
      </c>
      <c r="AE6" s="1006" t="s">
        <v>1199</v>
      </c>
      <c r="AF6" s="1006" t="s">
        <v>1199</v>
      </c>
      <c r="AG6" s="1006" t="s">
        <v>1199</v>
      </c>
      <c r="AH6" s="1006" t="s">
        <v>1199</v>
      </c>
      <c r="AI6" s="1010" t="s">
        <v>1199</v>
      </c>
    </row>
    <row r="7" spans="1:36" s="1022" customFormat="1" ht="18.75" customHeight="1">
      <c r="A7" s="1011" t="s">
        <v>1200</v>
      </c>
      <c r="B7" s="1012"/>
      <c r="C7" s="1256"/>
      <c r="D7" s="1256"/>
      <c r="E7" s="1256"/>
      <c r="F7" s="1256"/>
      <c r="G7" s="1256"/>
      <c r="H7" s="1014"/>
      <c r="I7" s="1015"/>
      <c r="J7" s="1257"/>
      <c r="K7" s="1257"/>
      <c r="L7" s="1017"/>
      <c r="M7" s="1257"/>
      <c r="N7" s="1257"/>
      <c r="O7" s="1256"/>
      <c r="P7" s="1018"/>
      <c r="Q7" s="1257"/>
      <c r="R7" s="1257"/>
      <c r="S7" s="1017"/>
      <c r="T7" s="1257"/>
      <c r="U7" s="1257"/>
      <c r="V7" s="1019"/>
      <c r="W7" s="1015"/>
      <c r="X7" s="1257"/>
      <c r="Y7" s="1257"/>
      <c r="Z7" s="1017"/>
      <c r="AA7" s="1257"/>
      <c r="AB7" s="1257"/>
      <c r="AC7" s="1050"/>
      <c r="AD7" s="1017"/>
      <c r="AE7" s="1257"/>
      <c r="AF7" s="1257"/>
      <c r="AG7" s="1017"/>
      <c r="AH7" s="1257"/>
      <c r="AI7" s="1051"/>
    </row>
    <row r="8" spans="1:36" s="1022" customFormat="1" ht="18.75" customHeight="1">
      <c r="A8" s="1023">
        <v>1981</v>
      </c>
      <c r="B8" s="1012"/>
      <c r="C8" s="216">
        <f>[11]HKG1981!$I$110</f>
        <v>3.2985124737024307E-2</v>
      </c>
      <c r="D8" s="1024">
        <f>[11]Summary!$G$2</f>
        <v>0.11933976411819458</v>
      </c>
      <c r="E8" s="1024">
        <f>[11]Summary!$F$2</f>
        <v>0.40680709481239319</v>
      </c>
      <c r="F8" s="1024">
        <f>[11]Summary!$E$2</f>
        <v>0.54283010959625244</v>
      </c>
      <c r="G8" s="1024">
        <f>[11]Summary!$D$2</f>
        <v>5.0362765789031982E-2</v>
      </c>
      <c r="H8" s="1025">
        <f>[11]Summary!$C$2</f>
        <v>0.62473368644714355</v>
      </c>
      <c r="I8" s="214"/>
      <c r="J8" s="216">
        <f>[12]HKG1981!$I$110</f>
        <v>4.3609581887722015E-2</v>
      </c>
      <c r="K8" s="1024">
        <f>[12]Summary!$G$2</f>
        <v>0.16582444310188293</v>
      </c>
      <c r="L8" s="1024">
        <f>[12]Summary!$F$2</f>
        <v>0.493528813123703</v>
      </c>
      <c r="M8" s="1024">
        <f>[12]Summary!$E$2</f>
        <v>0.45363673567771912</v>
      </c>
      <c r="N8" s="1024">
        <f>[12]Summary!$D$2</f>
        <v>5.2834451198577881E-2</v>
      </c>
      <c r="O8" s="1024">
        <f>[12]Summary!$C$2</f>
        <v>0.66997474431991577</v>
      </c>
      <c r="P8" s="1012"/>
      <c r="Q8" s="216">
        <f>[13]HKG1981!$I$110</f>
        <v>5.3695820271968842E-2</v>
      </c>
      <c r="R8" s="1024">
        <f>[13]Summary!$G$2</f>
        <v>0.1559278815984726</v>
      </c>
      <c r="S8" s="1024">
        <f>[13]Summary!$F$2</f>
        <v>0.42774033546447754</v>
      </c>
      <c r="T8" s="1024">
        <f>[13]Summary!$E$2</f>
        <v>0.4631536602973938</v>
      </c>
      <c r="U8" s="1024">
        <f>[13]Summary!$D$2</f>
        <v>0.10910600423812866</v>
      </c>
      <c r="V8" s="1025">
        <f>[13]Summary!$C$2</f>
        <v>0.59534770250320435</v>
      </c>
      <c r="W8" s="214"/>
      <c r="X8" s="216">
        <f>[14]HKG1981!$I$110</f>
        <v>5.7179015129804611E-2</v>
      </c>
      <c r="Y8" s="1024">
        <f>[14]Summary!$G$2</f>
        <v>0.19844453036785126</v>
      </c>
      <c r="Z8" s="1024">
        <f>[14]Summary!$F$2</f>
        <v>0.50984549522399902</v>
      </c>
      <c r="AA8" s="1024">
        <f>[14]Summary!$E$2</f>
        <v>0.38861250877380371</v>
      </c>
      <c r="AB8" s="1024">
        <f>[14]Summary!$D$2</f>
        <v>0.10154199600219727</v>
      </c>
      <c r="AC8" s="1248">
        <f>[14]Summary!$C$2</f>
        <v>0.6445692777633667</v>
      </c>
      <c r="AD8" s="1257"/>
      <c r="AE8" s="1257"/>
      <c r="AF8" s="1257"/>
      <c r="AG8" s="1257"/>
      <c r="AH8" s="1257"/>
      <c r="AI8" s="1051"/>
    </row>
    <row r="9" spans="1:36" s="1022" customFormat="1">
      <c r="A9" s="1023">
        <v>1986</v>
      </c>
      <c r="B9" s="1012"/>
      <c r="C9" s="370">
        <f>[11]HKG1986!$I$110</f>
        <v>2.5429561734199524E-2</v>
      </c>
      <c r="D9" s="371">
        <f>[11]Summary!$G$7</f>
        <v>0.12173150479793549</v>
      </c>
      <c r="E9" s="371">
        <f>[11]Summary!$F$7</f>
        <v>0.43842890858650208</v>
      </c>
      <c r="F9" s="371">
        <f>[11]Summary!$E$7</f>
        <v>0.54062771797180176</v>
      </c>
      <c r="G9" s="371">
        <f>[11]Summary!$D$7</f>
        <v>2.0943343639373779E-2</v>
      </c>
      <c r="H9" s="372">
        <f>[11]Summary!$C$7</f>
        <v>0.65998685359954834</v>
      </c>
      <c r="I9" s="373"/>
      <c r="J9" s="370">
        <f>[12]HKG1986!$I$110</f>
        <v>3.9415907114744186E-2</v>
      </c>
      <c r="K9" s="371">
        <f>[12]Summary!$G$7</f>
        <v>0.15885241329669952</v>
      </c>
      <c r="L9" s="371">
        <f>[12]Summary!$F$7</f>
        <v>0.48961910605430603</v>
      </c>
      <c r="M9" s="371">
        <f>[12]Summary!$E$7</f>
        <v>0.47519752383232117</v>
      </c>
      <c r="N9" s="371">
        <f>[12]Summary!$D$7</f>
        <v>3.5183370113372803E-2</v>
      </c>
      <c r="O9" s="371">
        <f>[12]Summary!$C$7</f>
        <v>0.68221497535705566</v>
      </c>
      <c r="P9" s="1012"/>
      <c r="Q9" s="370">
        <f>[13]HKG1986!$I$110</f>
        <v>3.5555601119995117E-2</v>
      </c>
      <c r="R9" s="371">
        <f>[13]Summary!$G$7</f>
        <v>0.14290329813957214</v>
      </c>
      <c r="S9" s="371">
        <f>[13]Summary!$F$7</f>
        <v>0.44534868001937866</v>
      </c>
      <c r="T9" s="371">
        <f>[13]Summary!$E$7</f>
        <v>0.46786981821060181</v>
      </c>
      <c r="U9" s="371">
        <f>[13]Summary!$D$7</f>
        <v>8.6781501770019531E-2</v>
      </c>
      <c r="V9" s="372">
        <f>[13]Summary!$C$7</f>
        <v>0.62116712331771851</v>
      </c>
      <c r="W9" s="373"/>
      <c r="X9" s="370">
        <f>[14]HKG1986!$I$110</f>
        <v>5.0383131951093674E-2</v>
      </c>
      <c r="Y9" s="371">
        <f>[14]Summary!$G$7</f>
        <v>0.18561244010925293</v>
      </c>
      <c r="Z9" s="371">
        <f>[14]Summary!$F$7</f>
        <v>0.51062226295471191</v>
      </c>
      <c r="AA9" s="371">
        <f>[14]Summary!$E$7</f>
        <v>0.42704951763153076</v>
      </c>
      <c r="AB9" s="371">
        <f>[14]Summary!$D$7</f>
        <v>6.2328219413757324E-2</v>
      </c>
      <c r="AC9" s="1026">
        <f>[14]Summary!$C$7</f>
        <v>0.67614001035690308</v>
      </c>
      <c r="AD9" s="1257"/>
      <c r="AE9" s="1257"/>
      <c r="AF9" s="1257"/>
      <c r="AG9" s="1257"/>
      <c r="AH9" s="1257"/>
      <c r="AI9" s="1051"/>
    </row>
    <row r="10" spans="1:36">
      <c r="A10" s="1023">
        <v>1991</v>
      </c>
      <c r="B10" s="374"/>
      <c r="C10" s="1027">
        <f>[11]HKG1991!$I$110</f>
        <v>2.2598989307880402E-2</v>
      </c>
      <c r="D10" s="371">
        <f>[11]Summary!$G$12</f>
        <v>0.12954474985599518</v>
      </c>
      <c r="E10" s="371">
        <f>[11]Summary!$F$12</f>
        <v>0.46114099025726318</v>
      </c>
      <c r="F10" s="371">
        <f>[11]Summary!$E$12</f>
        <v>0.5088161826133728</v>
      </c>
      <c r="G10" s="371">
        <f>[11]Summary!$D$12</f>
        <v>3.0042827129364014E-2</v>
      </c>
      <c r="H10" s="372">
        <f>[11]Summary!$C$12</f>
        <v>0.66930162906646729</v>
      </c>
      <c r="I10" s="1028"/>
      <c r="J10" s="1027">
        <f>[12]HKG1991!$I$110</f>
        <v>4.1941456496715546E-2</v>
      </c>
      <c r="K10" s="371">
        <f>[12]Summary!$G$12</f>
        <v>0.15905550122261047</v>
      </c>
      <c r="L10" s="371">
        <f>[12]Summary!$F$12</f>
        <v>0.48872223496437073</v>
      </c>
      <c r="M10" s="371">
        <f>[12]Summary!$E$12</f>
        <v>0.47788611054420471</v>
      </c>
      <c r="N10" s="371">
        <f>[12]Summary!$D$12</f>
        <v>3.3391654491424561E-2</v>
      </c>
      <c r="O10" s="371">
        <f>[12]Summary!$C$12</f>
        <v>0.68255358934402466</v>
      </c>
      <c r="P10" s="374"/>
      <c r="Q10" s="1027">
        <f>[13]HKG1991!$I$110</f>
        <v>2.0603030920028687E-2</v>
      </c>
      <c r="R10" s="371">
        <f>[13]Summary!$G$12</f>
        <v>0.12898634374141693</v>
      </c>
      <c r="S10" s="371">
        <f>[13]Summary!$F$12</f>
        <v>0.45118939876556396</v>
      </c>
      <c r="T10" s="371">
        <f>[13]Summary!$E$12</f>
        <v>0.44784969091415405</v>
      </c>
      <c r="U10" s="371">
        <f>[13]Summary!$D$12</f>
        <v>0.10096091032028198</v>
      </c>
      <c r="V10" s="372">
        <f>[13]Summary!$C$12</f>
        <v>0.61298412084579468</v>
      </c>
      <c r="W10" s="1028"/>
      <c r="X10" s="1027">
        <f>[14]HKG1991!$I$110</f>
        <v>4.5190010219812393E-2</v>
      </c>
      <c r="Y10" s="371">
        <f>[14]Summary!$G$12</f>
        <v>0.16941156983375549</v>
      </c>
      <c r="Z10" s="371">
        <f>[14]Summary!$F$12</f>
        <v>0.5037657618522644</v>
      </c>
      <c r="AA10" s="371">
        <f>[14]Summary!$E$12</f>
        <v>0.43877613544464111</v>
      </c>
      <c r="AB10" s="371">
        <f>[14]Summary!$D$12</f>
        <v>5.7458102703094482E-2</v>
      </c>
      <c r="AC10" s="1026">
        <f>[14]Summary!$C$12</f>
        <v>0.67457085847854614</v>
      </c>
      <c r="AD10" s="1027"/>
      <c r="AE10" s="1027"/>
      <c r="AF10" s="1027"/>
      <c r="AG10" s="375"/>
      <c r="AH10" s="375"/>
      <c r="AI10" s="376"/>
      <c r="AJ10" s="983">
        <v>2006</v>
      </c>
    </row>
    <row r="11" spans="1:36">
      <c r="A11" s="1023">
        <v>1996</v>
      </c>
      <c r="B11" s="374"/>
      <c r="C11" s="1027">
        <f>[11]HKG1996!$I$110</f>
        <v>1.8123462796211243E-2</v>
      </c>
      <c r="D11" s="371">
        <f>[11]Summary!$G$17</f>
        <v>0.12992760539054871</v>
      </c>
      <c r="E11" s="371">
        <f>[11]Summary!$F$17</f>
        <v>0.48251849412918091</v>
      </c>
      <c r="F11" s="371">
        <f>[11]Summary!$E$17</f>
        <v>0.49434393644332886</v>
      </c>
      <c r="G11" s="371">
        <f>[11]Summary!$D$17</f>
        <v>2.3137569427490234E-2</v>
      </c>
      <c r="H11" s="372">
        <f>[11]Summary!$C$17</f>
        <v>0.68677592277526855</v>
      </c>
      <c r="I11" s="1028"/>
      <c r="J11" s="1027">
        <f>[12]HKG1996!$I$110</f>
        <v>4.2460612952709198E-2</v>
      </c>
      <c r="K11" s="371">
        <f>[12]Summary!$G$17</f>
        <v>0.14711904525756836</v>
      </c>
      <c r="L11" s="371">
        <f>[12]Summary!$F$17</f>
        <v>0.47591885924339294</v>
      </c>
      <c r="M11" s="371">
        <f>[12]Summary!$E$17</f>
        <v>0.47673097252845764</v>
      </c>
      <c r="N11" s="371">
        <f>[12]Summary!$D$17</f>
        <v>4.7350168228149414E-2</v>
      </c>
      <c r="O11" s="371">
        <f>[12]Summary!$C$17</f>
        <v>0.66813141107559204</v>
      </c>
      <c r="P11" s="374"/>
      <c r="Q11" s="1027">
        <f>[13]HKG1996!$I$110</f>
        <v>1.6847932711243629E-2</v>
      </c>
      <c r="R11" s="371">
        <f>[13]Summary!$G$17</f>
        <v>0.11672555655241013</v>
      </c>
      <c r="S11" s="371">
        <f>[13]Summary!$F$17</f>
        <v>0.43847906589508057</v>
      </c>
      <c r="T11" s="371">
        <f>[13]Summary!$E$17</f>
        <v>0.46330928802490234</v>
      </c>
      <c r="U11" s="371">
        <f>[13]Summary!$D$17</f>
        <v>9.821164608001709E-2</v>
      </c>
      <c r="V11" s="372">
        <f>[13]Summary!$C$17</f>
        <v>0.60932987928390503</v>
      </c>
      <c r="W11" s="1028"/>
      <c r="X11" s="1027">
        <f>[14]HKG1996!$I$110</f>
        <v>4.7887582331895828E-2</v>
      </c>
      <c r="Y11" s="371">
        <f>[14]Summary!$G$17</f>
        <v>0.14578592777252197</v>
      </c>
      <c r="Z11" s="371">
        <f>[14]Summary!$F$17</f>
        <v>0.45996958017349243</v>
      </c>
      <c r="AA11" s="371">
        <f>[14]Summary!$E$17</f>
        <v>0.45222461223602295</v>
      </c>
      <c r="AB11" s="371">
        <f>[14]Summary!$D$17</f>
        <v>8.7805807590484619E-2</v>
      </c>
      <c r="AC11" s="1026">
        <f>[14]Summary!$C$17</f>
        <v>0.63049989938735962</v>
      </c>
      <c r="AD11" s="1029">
        <v>1997</v>
      </c>
      <c r="AE11" s="1027">
        <v>3.6700000000000003E-2</v>
      </c>
      <c r="AF11" s="1027">
        <v>0.12139999999999999</v>
      </c>
      <c r="AG11" s="375">
        <v>0.3921</v>
      </c>
      <c r="AH11" s="375"/>
      <c r="AI11" s="376"/>
      <c r="AJ11" s="983">
        <v>2008</v>
      </c>
    </row>
    <row r="12" spans="1:36">
      <c r="A12" s="1023">
        <v>2001</v>
      </c>
      <c r="B12" s="374"/>
      <c r="C12" s="1027">
        <f>[11]HKG2001!$I$110</f>
        <v>1.6175717115402222E-2</v>
      </c>
      <c r="D12" s="371">
        <f>[11]Summary!$G$22</f>
        <v>0.12162333726882935</v>
      </c>
      <c r="E12" s="371">
        <f>[11]Summary!$F$22</f>
        <v>0.49508139491081238</v>
      </c>
      <c r="F12" s="371">
        <f>[11]Summary!$E$22</f>
        <v>0.49418166279792786</v>
      </c>
      <c r="G12" s="371">
        <f>[11]Summary!$D$22</f>
        <v>1.0736942291259766E-2</v>
      </c>
      <c r="H12" s="372">
        <f>[11]Summary!$C$22</f>
        <v>0.70532536506652832</v>
      </c>
      <c r="I12" s="1028"/>
      <c r="J12" s="1027">
        <f>[12]HKG2001!$I$110</f>
        <v>4.194408655166626E-2</v>
      </c>
      <c r="K12" s="371">
        <f>[12]Summary!$G$22</f>
        <v>0.14110811054706573</v>
      </c>
      <c r="L12" s="371">
        <f>[12]Summary!$F$22</f>
        <v>0.50535953044891357</v>
      </c>
      <c r="M12" s="371">
        <f>[12]Summary!$E$22</f>
        <v>0.45575189590454102</v>
      </c>
      <c r="N12" s="371">
        <f>[12]Summary!$D$22</f>
        <v>3.888857364654541E-2</v>
      </c>
      <c r="O12" s="371">
        <f>[12]Summary!$C$22</f>
        <v>0.69219613075256348</v>
      </c>
      <c r="P12" s="374"/>
      <c r="Q12" s="1027">
        <f>[13]HKG2001!$I$110</f>
        <v>1.6501195728778839E-2</v>
      </c>
      <c r="R12" s="371">
        <f>[13]Summary!$G$22</f>
        <v>0.11069107055664063</v>
      </c>
      <c r="S12" s="371">
        <f>[13]Summary!$F$22</f>
        <v>0.44668924808502197</v>
      </c>
      <c r="T12" s="371">
        <f>[13]Summary!$E$22</f>
        <v>0.4659649133682251</v>
      </c>
      <c r="U12" s="371">
        <f>[13]Summary!$D$22</f>
        <v>8.734583854675293E-2</v>
      </c>
      <c r="V12" s="372">
        <f>[13]Summary!$C$22</f>
        <v>0.62256878614425659</v>
      </c>
      <c r="W12" s="1028"/>
      <c r="X12" s="1027">
        <f>[14]HKG2001!$I$110</f>
        <v>5.097544938325882E-2</v>
      </c>
      <c r="Y12" s="371">
        <f>[14]Summary!$G$22</f>
        <v>0.14294131100177765</v>
      </c>
      <c r="Z12" s="371">
        <f>[14]Summary!$F$22</f>
        <v>0.48356658220291138</v>
      </c>
      <c r="AA12" s="371">
        <f>[14]Summary!$E$22</f>
        <v>0.43694233894348145</v>
      </c>
      <c r="AB12" s="371">
        <f>[14]Summary!$D$22</f>
        <v>7.9491078853607178E-2</v>
      </c>
      <c r="AC12" s="1026">
        <f>[14]Summary!$C$22</f>
        <v>0.65007531642913818</v>
      </c>
      <c r="AD12" s="1027"/>
      <c r="AE12" s="1027">
        <v>4.9799999999999997E-2</v>
      </c>
      <c r="AF12" s="1027">
        <v>0.1351</v>
      </c>
      <c r="AG12" s="375">
        <v>0.44130000000000003</v>
      </c>
      <c r="AH12" s="375"/>
      <c r="AI12" s="376"/>
      <c r="AJ12" s="983">
        <v>2010</v>
      </c>
    </row>
    <row r="13" spans="1:36">
      <c r="A13" s="1023">
        <v>2006</v>
      </c>
      <c r="B13" s="374"/>
      <c r="C13" s="1027">
        <f>[11]HKG2006!$I$110</f>
        <v>1.7871212214231491E-2</v>
      </c>
      <c r="D13" s="371">
        <f>[11]Summary!$G$27</f>
        <v>0.1261652410030365</v>
      </c>
      <c r="E13" s="371">
        <f>[11]Summary!$F$27</f>
        <v>0.50080054998397827</v>
      </c>
      <c r="F13" s="371">
        <f>[11]Summary!$E$27</f>
        <v>0.49216949939727783</v>
      </c>
      <c r="G13" s="371">
        <f>[11]Summary!$D$27</f>
        <v>7.0299506187438965E-3</v>
      </c>
      <c r="H13" s="372">
        <f>[11]Summary!$C$27</f>
        <v>0.71177589893341064</v>
      </c>
      <c r="I13" s="1028"/>
      <c r="J13" s="1027">
        <f>[12]HKG2006!$I$110</f>
        <v>7.8030161559581757E-2</v>
      </c>
      <c r="K13" s="371">
        <f>[12]Summary!$G$27</f>
        <v>0.2021583616733551</v>
      </c>
      <c r="L13" s="371">
        <f>[12]Summary!$F$27</f>
        <v>0.53562301397323608</v>
      </c>
      <c r="M13" s="371">
        <f>[12]Summary!$E$27</f>
        <v>0.42782831192016602</v>
      </c>
      <c r="N13" s="371">
        <f>[12]Summary!$D$27</f>
        <v>3.65486741065979E-2</v>
      </c>
      <c r="O13" s="371">
        <f>[12]Summary!$C$27</f>
        <v>0.71220368146896362</v>
      </c>
      <c r="P13" s="374"/>
      <c r="Q13" s="1027">
        <f>[13]HKG2006!$I$110</f>
        <v>1.6393382102251053E-2</v>
      </c>
      <c r="R13" s="371">
        <f>[13]Summary!$G$27</f>
        <v>0.11602085083723068</v>
      </c>
      <c r="S13" s="371">
        <f>[13]Summary!$F$27</f>
        <v>0.45866522192955017</v>
      </c>
      <c r="T13" s="371">
        <f>[13]Summary!$E$27</f>
        <v>0.45581111311912537</v>
      </c>
      <c r="U13" s="371">
        <f>[13]Summary!$D$27</f>
        <v>8.5523664951324463E-2</v>
      </c>
      <c r="V13" s="372">
        <f>[13]Summary!$C$27</f>
        <v>0.63082122802734375</v>
      </c>
      <c r="W13" s="1028"/>
      <c r="X13" s="1027">
        <f>[14]HKG2006!$I$110</f>
        <v>8.7410949170589447E-2</v>
      </c>
      <c r="Y13" s="371">
        <f>[14]Summary!$G$27</f>
        <v>0.20466521382331848</v>
      </c>
      <c r="Z13" s="371">
        <f>[14]Summary!$F$27</f>
        <v>0.52309226989746094</v>
      </c>
      <c r="AA13" s="371">
        <f>[14]Summary!$E$27</f>
        <v>0.40146732330322266</v>
      </c>
      <c r="AB13" s="371">
        <f>[14]Summary!$D$27</f>
        <v>7.5440406799316406E-2</v>
      </c>
      <c r="AC13" s="1026">
        <f>[14]Summary!$C$27</f>
        <v>0.67618805170059204</v>
      </c>
      <c r="AD13" s="1027"/>
      <c r="AE13" s="1027">
        <v>7.4200000000000002E-2</v>
      </c>
      <c r="AF13" s="1027">
        <v>0.1925</v>
      </c>
      <c r="AG13" s="375">
        <v>0.50970000000000004</v>
      </c>
      <c r="AH13" s="375"/>
      <c r="AI13" s="376"/>
      <c r="AJ13" s="983">
        <v>2012</v>
      </c>
    </row>
    <row r="14" spans="1:36">
      <c r="A14" s="1023">
        <v>2011</v>
      </c>
      <c r="B14" s="374"/>
      <c r="C14" s="1027">
        <f>[11]HKG2011!$I$110</f>
        <v>1.5350603498518467E-2</v>
      </c>
      <c r="D14" s="371">
        <f>[11]Summary!$G$32</f>
        <v>0.12558041512966156</v>
      </c>
      <c r="E14" s="371">
        <f>[11]Summary!$F$32</f>
        <v>0.51925551891326904</v>
      </c>
      <c r="F14" s="371">
        <f>[11]Summary!$E$32</f>
        <v>0.4780961275100708</v>
      </c>
      <c r="G14" s="371">
        <f>[11]Summary!$D$32</f>
        <v>2.6483535766601563E-3</v>
      </c>
      <c r="H14" s="372">
        <f>[11]Summary!$C$32</f>
        <v>0.72517025470733643</v>
      </c>
      <c r="I14" s="1028"/>
      <c r="J14" s="1027">
        <f>[12]HKG2011!$I$110</f>
        <v>7.2245776653289795E-2</v>
      </c>
      <c r="K14" s="371">
        <f>[12]Summary!$G$32</f>
        <v>0.20436631143093109</v>
      </c>
      <c r="L14" s="371">
        <f>[12]Summary!$F$32</f>
        <v>0.54978245496749878</v>
      </c>
      <c r="M14" s="371">
        <f>[12]Summary!$E$32</f>
        <v>0.41625487804412842</v>
      </c>
      <c r="N14" s="371">
        <f>[12]Summary!$D$32</f>
        <v>3.3962666988372803E-2</v>
      </c>
      <c r="O14" s="371">
        <f>[12]Summary!$C$32</f>
        <v>0.72169005870819092</v>
      </c>
      <c r="P14" s="374"/>
      <c r="Q14" s="1027">
        <f>[13]HKG2011!$I$110</f>
        <v>1.6347456723451614E-2</v>
      </c>
      <c r="R14" s="371">
        <f>[13]Summary!$G$32</f>
        <v>0.11134129762649536</v>
      </c>
      <c r="S14" s="371">
        <f>[13]Summary!$F$32</f>
        <v>0.46564033627510071</v>
      </c>
      <c r="T14" s="371">
        <f>[13]Summary!$E$32</f>
        <v>0.45416894555091858</v>
      </c>
      <c r="U14" s="371">
        <f>[13]Summary!$D$32</f>
        <v>8.0190718173980713E-2</v>
      </c>
      <c r="V14" s="372">
        <f>[13]Summary!$C$32</f>
        <v>0.63979917764663696</v>
      </c>
      <c r="W14" s="1028"/>
      <c r="X14" s="1027">
        <f>[14]HKG2011!$I$110</f>
        <v>9.2308729887008667E-2</v>
      </c>
      <c r="Y14" s="371">
        <f>[14]Summary!$G$32</f>
        <v>0.21154007315635681</v>
      </c>
      <c r="Z14" s="371">
        <f>[14]Summary!$F$32</f>
        <v>0.537567138671875</v>
      </c>
      <c r="AA14" s="371">
        <f>[14]Summary!$E$32</f>
        <v>0.39678752422332764</v>
      </c>
      <c r="AB14" s="371">
        <f>[14]Summary!$D$32</f>
        <v>6.5645337104797363E-2</v>
      </c>
      <c r="AC14" s="1026">
        <f>[14]Summary!$C$32</f>
        <v>0.6927565336227417</v>
      </c>
      <c r="AD14" s="1027"/>
      <c r="AE14" s="1027">
        <v>6.4699999999999994E-2</v>
      </c>
      <c r="AF14" s="1027">
        <v>0.18479999999999999</v>
      </c>
      <c r="AG14" s="375">
        <v>0.49880000000000002</v>
      </c>
      <c r="AH14" s="375"/>
      <c r="AI14" s="376"/>
      <c r="AJ14" s="983">
        <v>2014</v>
      </c>
    </row>
    <row r="15" spans="1:36" ht="15.75" thickBot="1">
      <c r="A15" s="1258">
        <v>2016</v>
      </c>
      <c r="B15" s="410"/>
      <c r="C15" s="1259">
        <f>[11]HKG2016!$I$110</f>
        <v>1.3102632015943527E-2</v>
      </c>
      <c r="D15" s="412">
        <f>[11]Summary!$G$37</f>
        <v>0.11200673878192902</v>
      </c>
      <c r="E15" s="412">
        <f>[11]Summary!$F$37</f>
        <v>0.50785791873931885</v>
      </c>
      <c r="F15" s="412">
        <f>[11]Summary!$E$37</f>
        <v>0.49131661653518677</v>
      </c>
      <c r="G15" s="412">
        <f>[11]Summary!$D$37</f>
        <v>8.2546472549438477E-4</v>
      </c>
      <c r="H15" s="413">
        <f>[11]Summary!$C$37</f>
        <v>0.72004109621047974</v>
      </c>
      <c r="I15" s="1260"/>
      <c r="J15" s="1259">
        <f>[12]HKG2016!$I$110</f>
        <v>6.4354553818702698E-2</v>
      </c>
      <c r="K15" s="412">
        <f>[12]Summary!$G$37</f>
        <v>0.18681512773036957</v>
      </c>
      <c r="L15" s="412">
        <f>[12]Summary!$F$37</f>
        <v>0.53520458936691284</v>
      </c>
      <c r="M15" s="412">
        <f>[12]Summary!$E$37</f>
        <v>0.42429482936859131</v>
      </c>
      <c r="N15" s="412">
        <f>[12]Summary!$D$37</f>
        <v>4.050058126449585E-2</v>
      </c>
      <c r="O15" s="412">
        <f>[12]Summary!$C$37</f>
        <v>0.70984041690826416</v>
      </c>
      <c r="P15" s="410"/>
      <c r="Q15" s="1259">
        <f>[13]HKG2016!$I$110</f>
        <v>1.3949675485491753E-2</v>
      </c>
      <c r="R15" s="412">
        <f>[13]Summary!$G$37</f>
        <v>9.9737904965877533E-2</v>
      </c>
      <c r="S15" s="412">
        <f>[13]Summary!$F$37</f>
        <v>0.45139473676681519</v>
      </c>
      <c r="T15" s="412">
        <f>[13]Summary!$E$37</f>
        <v>0.46208125352859497</v>
      </c>
      <c r="U15" s="412">
        <f>[13]Summary!$D$37</f>
        <v>8.6524009704589844E-2</v>
      </c>
      <c r="V15" s="413">
        <f>[13]Summary!$C$37</f>
        <v>0.62476474046707153</v>
      </c>
      <c r="W15" s="1260"/>
      <c r="X15" s="1259">
        <f>[14]HKG2016!$I$110</f>
        <v>8.2773871719837189E-2</v>
      </c>
      <c r="Y15" s="412">
        <f>[14]Summary!$G$37</f>
        <v>0.19411809742450714</v>
      </c>
      <c r="Z15" s="412">
        <f>[14]Summary!$F$37</f>
        <v>0.52347654104232788</v>
      </c>
      <c r="AA15" s="412">
        <f>[14]Summary!$E$37</f>
        <v>0.40640717744827271</v>
      </c>
      <c r="AB15" s="412">
        <f>[14]Summary!$D$37</f>
        <v>7.0116281509399414E-2</v>
      </c>
      <c r="AC15" s="1261">
        <f>[14]Summary!$C$37</f>
        <v>0.68100076913833618</v>
      </c>
      <c r="AD15" s="1262">
        <v>2015</v>
      </c>
      <c r="AE15" s="1259">
        <v>6.3700000000000007E-2</v>
      </c>
      <c r="AF15" s="1259">
        <v>0.17879999999999999</v>
      </c>
      <c r="AG15" s="416">
        <v>0.49859999999999999</v>
      </c>
      <c r="AH15" s="416"/>
      <c r="AI15" s="417"/>
      <c r="AJ15" s="983">
        <v>2016</v>
      </c>
    </row>
    <row r="16" spans="1:36" s="1032" customFormat="1" ht="15.75" thickTop="1">
      <c r="A16" s="1031"/>
      <c r="I16" s="1033"/>
      <c r="J16" s="1033"/>
      <c r="K16" s="103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1034"/>
      <c r="Y16" s="1035"/>
      <c r="Z16" s="1036"/>
      <c r="AA16" s="1035"/>
      <c r="AB16" s="1035"/>
      <c r="AC16" s="1035"/>
    </row>
    <row r="17" spans="1:29">
      <c r="Y17" s="1035"/>
      <c r="Z17" s="1035"/>
      <c r="AA17" s="1035"/>
      <c r="AB17" s="1035"/>
      <c r="AC17" s="1035"/>
    </row>
    <row r="18" spans="1:29" ht="15.75" thickBot="1"/>
    <row r="19" spans="1:29" ht="15.75" thickTop="1">
      <c r="A19" s="1140" t="s">
        <v>1271</v>
      </c>
      <c r="B19" s="1141"/>
      <c r="C19" s="1141"/>
      <c r="D19" s="1141"/>
      <c r="E19" s="1141"/>
      <c r="F19" s="1141"/>
      <c r="G19" s="1141"/>
      <c r="H19" s="1141"/>
      <c r="I19" s="1141"/>
      <c r="J19" s="1142"/>
    </row>
    <row r="20" spans="1:29">
      <c r="A20" s="1143"/>
      <c r="B20" s="1144"/>
      <c r="C20" s="1144"/>
      <c r="D20" s="1144"/>
      <c r="E20" s="1144"/>
      <c r="F20" s="1144"/>
      <c r="G20" s="1144"/>
      <c r="H20" s="1144"/>
      <c r="I20" s="1144"/>
      <c r="J20" s="1145"/>
    </row>
    <row r="21" spans="1:29" ht="15.75" thickBot="1">
      <c r="A21" s="1146"/>
      <c r="B21" s="1147"/>
      <c r="C21" s="1147"/>
      <c r="D21" s="1147"/>
      <c r="E21" s="1147"/>
      <c r="F21" s="1147"/>
      <c r="G21" s="1147"/>
      <c r="H21" s="1147"/>
      <c r="I21" s="1147"/>
      <c r="J21" s="1148"/>
    </row>
    <row r="22" spans="1:29" ht="15.75" thickTop="1"/>
  </sheetData>
  <mergeCells count="6">
    <mergeCell ref="AD4:AI4"/>
    <mergeCell ref="A19:J21"/>
    <mergeCell ref="B4:H4"/>
    <mergeCell ref="I4:O4"/>
    <mergeCell ref="P4:V4"/>
    <mergeCell ref="W4:AC4"/>
  </mergeCells>
  <phoneticPr fontId="1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25DA-1952-4288-AE0F-BD09EE633B91}">
  <sheetPr>
    <tabColor theme="5" tint="0.39997558519241921"/>
  </sheetPr>
  <dimension ref="A1:AC16"/>
  <sheetViews>
    <sheetView zoomScale="115" zoomScaleNormal="115" workbookViewId="0">
      <pane xSplit="1" topLeftCell="I1" activePane="topRight" state="frozen"/>
      <selection activeCell="F35" sqref="F35"/>
      <selection pane="topRight" activeCell="I11" sqref="I11:AC11"/>
    </sheetView>
  </sheetViews>
  <sheetFormatPr defaultColWidth="9" defaultRowHeight="15"/>
  <cols>
    <col min="1" max="1" width="11.375" style="1031" bestFit="1" customWidth="1"/>
    <col min="2" max="8" width="8.625" style="1032" customWidth="1"/>
    <col min="9" max="11" width="8.625" style="1033" customWidth="1"/>
    <col min="12" max="16384" width="9" style="983"/>
  </cols>
  <sheetData>
    <row r="1" spans="1:29" ht="15.75" thickBot="1">
      <c r="A1" s="980"/>
      <c r="B1" s="981"/>
      <c r="C1" s="981"/>
      <c r="D1" s="981"/>
      <c r="E1" s="981"/>
      <c r="F1" s="981"/>
      <c r="G1" s="981"/>
      <c r="H1" s="981"/>
      <c r="I1" s="982"/>
      <c r="J1" s="982"/>
      <c r="K1" s="982"/>
    </row>
    <row r="2" spans="1:29" s="984" customFormat="1" ht="45" customHeight="1" thickTop="1" thickBot="1">
      <c r="A2" s="1061" t="s">
        <v>1640</v>
      </c>
      <c r="B2" s="1062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3"/>
    </row>
    <row r="3" spans="1:29" s="993" customFormat="1" ht="15.75" customHeight="1">
      <c r="A3" s="985"/>
      <c r="B3" s="986" t="s">
        <v>1157</v>
      </c>
      <c r="C3" s="987" t="s">
        <v>1158</v>
      </c>
      <c r="D3" s="987" t="s">
        <v>1159</v>
      </c>
      <c r="E3" s="987" t="s">
        <v>1160</v>
      </c>
      <c r="F3" s="987" t="s">
        <v>1161</v>
      </c>
      <c r="G3" s="987" t="s">
        <v>1162</v>
      </c>
      <c r="H3" s="988" t="s">
        <v>1163</v>
      </c>
      <c r="I3" s="989" t="s">
        <v>1164</v>
      </c>
      <c r="J3" s="987" t="s">
        <v>1165</v>
      </c>
      <c r="K3" s="987" t="s">
        <v>1166</v>
      </c>
      <c r="L3" s="987" t="s">
        <v>1167</v>
      </c>
      <c r="M3" s="987" t="s">
        <v>1168</v>
      </c>
      <c r="N3" s="987" t="s">
        <v>1169</v>
      </c>
      <c r="O3" s="988" t="s">
        <v>1170</v>
      </c>
      <c r="P3" s="989" t="s">
        <v>1171</v>
      </c>
      <c r="Q3" s="987" t="s">
        <v>1172</v>
      </c>
      <c r="R3" s="987" t="s">
        <v>1173</v>
      </c>
      <c r="S3" s="987" t="s">
        <v>1174</v>
      </c>
      <c r="T3" s="987" t="s">
        <v>1175</v>
      </c>
      <c r="U3" s="987" t="s">
        <v>1176</v>
      </c>
      <c r="V3" s="988" t="s">
        <v>1177</v>
      </c>
      <c r="W3" s="991" t="s">
        <v>1178</v>
      </c>
      <c r="X3" s="991" t="s">
        <v>1179</v>
      </c>
      <c r="Y3" s="991" t="s">
        <v>1180</v>
      </c>
      <c r="Z3" s="991" t="s">
        <v>1181</v>
      </c>
      <c r="AA3" s="991" t="s">
        <v>1182</v>
      </c>
      <c r="AB3" s="991" t="s">
        <v>1183</v>
      </c>
      <c r="AC3" s="1037" t="s">
        <v>1184</v>
      </c>
    </row>
    <row r="4" spans="1:29" s="995" customFormat="1" ht="15.75" customHeight="1">
      <c r="A4" s="994"/>
      <c r="B4" s="1149" t="s">
        <v>1228</v>
      </c>
      <c r="C4" s="1150"/>
      <c r="D4" s="1150"/>
      <c r="E4" s="1150"/>
      <c r="F4" s="1150"/>
      <c r="G4" s="1150"/>
      <c r="H4" s="1151"/>
      <c r="I4" s="1152" t="s">
        <v>1229</v>
      </c>
      <c r="J4" s="1150"/>
      <c r="K4" s="1150"/>
      <c r="L4" s="1150"/>
      <c r="M4" s="1150"/>
      <c r="N4" s="1150"/>
      <c r="O4" s="1151"/>
      <c r="P4" s="1150" t="s">
        <v>1268</v>
      </c>
      <c r="Q4" s="1150"/>
      <c r="R4" s="1150"/>
      <c r="S4" s="1150"/>
      <c r="T4" s="1150"/>
      <c r="U4" s="1150"/>
      <c r="V4" s="1151"/>
      <c r="W4" s="1152" t="s">
        <v>1269</v>
      </c>
      <c r="X4" s="1150"/>
      <c r="Y4" s="1150"/>
      <c r="Z4" s="1150"/>
      <c r="AA4" s="1150"/>
      <c r="AB4" s="1150"/>
      <c r="AC4" s="1154"/>
    </row>
    <row r="5" spans="1:29" s="1003" customFormat="1" ht="31.5">
      <c r="A5" s="996" t="s">
        <v>1191</v>
      </c>
      <c r="B5" s="997" t="s">
        <v>1192</v>
      </c>
      <c r="C5" s="998" t="s">
        <v>1193</v>
      </c>
      <c r="D5" s="998" t="s">
        <v>1194</v>
      </c>
      <c r="E5" s="998" t="s">
        <v>1195</v>
      </c>
      <c r="F5" s="998" t="s">
        <v>1196</v>
      </c>
      <c r="G5" s="998" t="s">
        <v>1197</v>
      </c>
      <c r="H5" s="999" t="s">
        <v>1263</v>
      </c>
      <c r="I5" s="1000" t="s">
        <v>1192</v>
      </c>
      <c r="J5" s="998" t="s">
        <v>1193</v>
      </c>
      <c r="K5" s="998" t="s">
        <v>1194</v>
      </c>
      <c r="L5" s="998" t="s">
        <v>1195</v>
      </c>
      <c r="M5" s="998" t="s">
        <v>1196</v>
      </c>
      <c r="N5" s="998" t="s">
        <v>1197</v>
      </c>
      <c r="O5" s="999" t="s">
        <v>1263</v>
      </c>
      <c r="P5" s="1000" t="s">
        <v>1192</v>
      </c>
      <c r="Q5" s="998" t="s">
        <v>1193</v>
      </c>
      <c r="R5" s="998" t="s">
        <v>1194</v>
      </c>
      <c r="S5" s="998" t="s">
        <v>1195</v>
      </c>
      <c r="T5" s="998" t="s">
        <v>1196</v>
      </c>
      <c r="U5" s="998" t="s">
        <v>1197</v>
      </c>
      <c r="V5" s="999" t="s">
        <v>1263</v>
      </c>
      <c r="W5" s="1000" t="s">
        <v>1192</v>
      </c>
      <c r="X5" s="998" t="s">
        <v>1193</v>
      </c>
      <c r="Y5" s="998" t="s">
        <v>1194</v>
      </c>
      <c r="Z5" s="998" t="s">
        <v>1195</v>
      </c>
      <c r="AA5" s="998" t="s">
        <v>1196</v>
      </c>
      <c r="AB5" s="998" t="s">
        <v>1197</v>
      </c>
      <c r="AC5" s="1002" t="s">
        <v>1263</v>
      </c>
    </row>
    <row r="6" spans="1:29" s="1003" customFormat="1">
      <c r="A6" s="1004"/>
      <c r="B6" s="1005" t="s">
        <v>1199</v>
      </c>
      <c r="C6" s="1006" t="s">
        <v>1199</v>
      </c>
      <c r="D6" s="1006" t="s">
        <v>1199</v>
      </c>
      <c r="E6" s="1006" t="s">
        <v>1199</v>
      </c>
      <c r="F6" s="1006" t="s">
        <v>1199</v>
      </c>
      <c r="G6" s="1006" t="s">
        <v>1199</v>
      </c>
      <c r="H6" s="1007" t="s">
        <v>1199</v>
      </c>
      <c r="I6" s="1008" t="s">
        <v>1199</v>
      </c>
      <c r="J6" s="1006" t="s">
        <v>1199</v>
      </c>
      <c r="K6" s="1006" t="s">
        <v>1199</v>
      </c>
      <c r="L6" s="1006" t="s">
        <v>1199</v>
      </c>
      <c r="M6" s="1006" t="s">
        <v>1199</v>
      </c>
      <c r="N6" s="1006" t="s">
        <v>1199</v>
      </c>
      <c r="O6" s="1007"/>
      <c r="P6" s="1008" t="s">
        <v>1199</v>
      </c>
      <c r="Q6" s="1006" t="s">
        <v>1199</v>
      </c>
      <c r="R6" s="1006" t="s">
        <v>1199</v>
      </c>
      <c r="S6" s="1006" t="s">
        <v>1199</v>
      </c>
      <c r="T6" s="1006" t="s">
        <v>1199</v>
      </c>
      <c r="U6" s="1006" t="s">
        <v>1199</v>
      </c>
      <c r="V6" s="1007"/>
      <c r="W6" s="1008" t="s">
        <v>1199</v>
      </c>
      <c r="X6" s="1006" t="s">
        <v>1199</v>
      </c>
      <c r="Y6" s="1006" t="s">
        <v>1199</v>
      </c>
      <c r="Z6" s="1006" t="s">
        <v>1199</v>
      </c>
      <c r="AA6" s="1006" t="s">
        <v>1199</v>
      </c>
      <c r="AB6" s="1006" t="s">
        <v>1199</v>
      </c>
      <c r="AC6" s="1010"/>
    </row>
    <row r="7" spans="1:29" s="1022" customFormat="1" ht="18.75" customHeight="1">
      <c r="A7" s="1011" t="s">
        <v>1200</v>
      </c>
      <c r="B7" s="1038"/>
      <c r="C7" s="1039"/>
      <c r="D7" s="1039"/>
      <c r="E7" s="1039"/>
      <c r="F7" s="1039"/>
      <c r="G7" s="1013"/>
      <c r="H7" s="1014"/>
      <c r="I7" s="1015"/>
      <c r="J7" s="1016"/>
      <c r="K7" s="1016"/>
      <c r="L7" s="1017"/>
      <c r="M7" s="1016"/>
      <c r="N7" s="1016"/>
      <c r="O7" s="1014"/>
      <c r="P7" s="1015"/>
      <c r="Q7" s="1016"/>
      <c r="R7" s="1016"/>
      <c r="S7" s="1017"/>
      <c r="T7" s="1016"/>
      <c r="U7" s="1016"/>
      <c r="V7" s="1019"/>
      <c r="W7" s="1015"/>
      <c r="X7" s="1016"/>
      <c r="Y7" s="1016"/>
      <c r="Z7" s="1017"/>
      <c r="AA7" s="1016"/>
      <c r="AB7" s="1016"/>
      <c r="AC7" s="1021"/>
    </row>
    <row r="8" spans="1:29" s="1022" customFormat="1" ht="18.75" customHeight="1">
      <c r="A8" s="1023" t="s">
        <v>1259</v>
      </c>
      <c r="B8" s="1012"/>
      <c r="C8" s="216">
        <f>('A2.4'!C11*'[15]A2.0'!$G24/('[15]A2.0'!$G9*'A2.4'!C8))^(1/15)-1</f>
        <v>4.6987101480207238E-2</v>
      </c>
      <c r="D8" s="216">
        <f>('A2.4'!D11*'[15]A2.0'!$G24/('[15]A2.0'!$G9*'A2.4'!D8))^(1/15)-1</f>
        <v>9.5824178684120298E-2</v>
      </c>
      <c r="E8" s="216">
        <f>('A2.4'!E11*'[15]A2.0'!$G24/('[15]A2.0'!$G9*'A2.4'!E8))^(1/15)-1</f>
        <v>0.1021012400533341</v>
      </c>
      <c r="F8" s="216">
        <f>('A2.4'!F11*'[15]A2.0'!$G24/('[15]A2.0'!$G9*'A2.4'!F8))^(1/15)-1</f>
        <v>8.2856264970549542E-2</v>
      </c>
      <c r="G8" s="216">
        <f>('A2.4'!G11*'[15]A2.0'!$G24/('[15]A2.0'!$G9*'A2.4'!G8))^(1/15)-1</f>
        <v>3.4571091248448926E-2</v>
      </c>
      <c r="H8" s="311">
        <f>('[15]A2.0'!$G24/'[15]A2.0'!$G9)^(1/15)-1</f>
        <v>8.963186377233634E-2</v>
      </c>
      <c r="I8" s="214"/>
      <c r="J8" s="216">
        <f>('A2.4'!J11*'[15]A2.0'!$I24/('[15]A2.0'!$I9*'A2.4'!J8))^(1/15)-1</f>
        <v>7.2959049086056105E-2</v>
      </c>
      <c r="K8" s="216">
        <f>('A2.4'!K11*'[15]A2.0'!$I24/('[15]A2.0'!$I9*'A2.4'!K8))^(1/15)-1</f>
        <v>6.6328166741726591E-2</v>
      </c>
      <c r="L8" s="216">
        <f>('A2.4'!L11*'[15]A2.0'!$I24/('[15]A2.0'!$I9*'A2.4'!L8))^(1/15)-1</f>
        <v>7.2270154201617087E-2</v>
      </c>
      <c r="M8" s="216">
        <f>('A2.4'!M11*'[15]A2.0'!$I24/('[15]A2.0'!$I9*'A2.4'!M8))^(1/15)-1</f>
        <v>7.843473596077466E-2</v>
      </c>
      <c r="N8" s="216">
        <f>('A2.4'!N11*'[15]A2.0'!$I24/('[15]A2.0'!$I9*'A2.4'!N8))^(1/15)-1</f>
        <v>6.704600986667919E-2</v>
      </c>
      <c r="O8" s="216">
        <f>('[15]A2.0'!$I24/'[15]A2.0'!$I9)^(1/15)-1</f>
        <v>7.4870617134774609E-2</v>
      </c>
      <c r="P8" s="1040"/>
      <c r="Q8" s="216">
        <f>('A2.4'!Q11*'[15]A2.0'!$N24/('[15]A2.0'!$N9*'A2.4'!Q8))^(1/15)-1</f>
        <v>6.5801884345342287E-3</v>
      </c>
      <c r="R8" s="216">
        <f>('A2.4'!R11*'[15]A2.0'!$N24/('[15]A2.0'!$N9*'A2.4'!R8))^(1/15)-1</f>
        <v>6.6655345384374121E-2</v>
      </c>
      <c r="S8" s="216">
        <f>('A2.4'!S11*'[15]A2.0'!$N24/('[15]A2.0'!$N9*'A2.4'!S8))^(1/15)-1</f>
        <v>8.9245764004826311E-2</v>
      </c>
      <c r="T8" s="216">
        <f>('A2.4'!T11*'[15]A2.0'!$N24/('[15]A2.0'!$N9*'A2.4'!T8))^(1/15)-1</f>
        <v>8.7471029822256741E-2</v>
      </c>
      <c r="U8" s="216">
        <f>('A2.4'!U11*'[15]A2.0'!$N24/('[15]A2.0'!$N9*'A2.4'!U8))^(1/15)-1</f>
        <v>7.9847080372310142E-2</v>
      </c>
      <c r="V8" s="216">
        <f>('[15]A2.0'!$N24/'[15]A2.0'!$N9)^(1/15)-1</f>
        <v>8.744667356829261E-2</v>
      </c>
      <c r="W8" s="214"/>
      <c r="X8" s="216">
        <f>('A2.4'!X11*'[15]A2.0'!$P24/('[15]A2.0'!$P9*'A2.4'!X8))^(1/15)-1</f>
        <v>4.730486986116178E-2</v>
      </c>
      <c r="Y8" s="216">
        <f>('A2.4'!Y11*'[15]A2.0'!$P24/('[15]A2.0'!$P9*'A2.4'!Y8))^(1/15)-1</f>
        <v>3.8195490991839387E-2</v>
      </c>
      <c r="Z8" s="216">
        <f>('A2.4'!Z11*'[15]A2.0'!$P24/('[15]A2.0'!$P9*'A2.4'!Z8))^(1/15)-1</f>
        <v>5.2511238538966332E-2</v>
      </c>
      <c r="AA8" s="216">
        <f>('A2.4'!AA11*'[15]A2.0'!$P24/('[15]A2.0'!$P9*'A2.4'!AA8))^(1/15)-1</f>
        <v>7.0524312306045722E-2</v>
      </c>
      <c r="AB8" s="216">
        <f>('A2.4'!AB11*'[15]A2.0'!$P24/('[15]A2.0'!$P9*'A2.4'!AB8))^(1/15)-1</f>
        <v>4.9540519341458422E-2</v>
      </c>
      <c r="AC8" s="292">
        <f>('[15]A2.0'!$P24/'[15]A2.0'!$P9)^(1/15)-1</f>
        <v>5.9759634601443734E-2</v>
      </c>
    </row>
    <row r="9" spans="1:29" s="1022" customFormat="1">
      <c r="A9" s="1023" t="s">
        <v>1265</v>
      </c>
      <c r="B9" s="1012"/>
      <c r="C9" s="216">
        <f>('A2.4'!C12*'[15]A2.0'!$G29/('[15]A2.0'!$G24*'A2.4'!C11))^(1/5)-1</f>
        <v>2.8646310369289996E-2</v>
      </c>
      <c r="D9" s="216">
        <f>('A2.4'!D12*'[15]A2.0'!$G29/('[15]A2.0'!$G24*'A2.4'!D11))^(1/5)-1</f>
        <v>3.8495685263276735E-2</v>
      </c>
      <c r="E9" s="216">
        <f>('A2.4'!E12*'[15]A2.0'!$G29/('[15]A2.0'!$G24*'A2.4'!E11))^(1/5)-1</f>
        <v>5.7728310486835133E-2</v>
      </c>
      <c r="F9" s="216">
        <f>('A2.4'!F12*'[15]A2.0'!$G29/('[15]A2.0'!$G24*'A2.4'!F11))^(1/5)-1</f>
        <v>5.2235822956671507E-2</v>
      </c>
      <c r="G9" s="216">
        <f>('A2.4'!G12*'[15]A2.0'!$G29/('[15]A2.0'!$G24*'A2.4'!G11))^(1/5)-1</f>
        <v>-9.7485523236158556E-2</v>
      </c>
      <c r="H9" s="311">
        <f>('[15]A2.0'!$G29/('[15]A2.0'!$G24))^(1/5)-1</f>
        <v>5.2304918082007656E-2</v>
      </c>
      <c r="I9" s="214"/>
      <c r="J9" s="216">
        <f>('A2.4'!J12*'[15]A2.0'!$I29/('[15]A2.0'!$I24*'A2.4'!J11))^(1/5)-1</f>
        <v>4.8937095374754325E-2</v>
      </c>
      <c r="K9" s="216">
        <f>('A2.4'!K12*'[15]A2.0'!$I29/('[15]A2.0'!$I24*'A2.4'!K11))^(1/5)-1</f>
        <v>4.2771526115712E-2</v>
      </c>
      <c r="L9" s="216">
        <f>('A2.4'!L12*'[15]A2.0'!$I29/('[15]A2.0'!$I24*'A2.4'!L11))^(1/5)-1</f>
        <v>6.4206867456836569E-2</v>
      </c>
      <c r="M9" s="216">
        <f>('A2.4'!M12*'[15]A2.0'!$I29/('[15]A2.0'!$I24*'A2.4'!M11))^(1/5)-1</f>
        <v>4.2086023581774823E-2</v>
      </c>
      <c r="N9" s="216">
        <f>('A2.4'!N12*'[15]A2.0'!$I29/('[15]A2.0'!$I24*'A2.4'!N11))^(1/5)-1</f>
        <v>1.0910356237525454E-2</v>
      </c>
      <c r="O9" s="216">
        <f>('[15]A2.0'!$I29/('[15]A2.0'!$I24))^(1/5)-1</f>
        <v>5.1507919778572386E-2</v>
      </c>
      <c r="P9" s="1040"/>
      <c r="Q9" s="216">
        <f>('A2.4'!Q12*'[15]A2.0'!$N29/('[15]A2.0'!$N24*'A2.4'!Q11))^(1/5)-1</f>
        <v>4.0853930186930842E-2</v>
      </c>
      <c r="R9" s="216">
        <f>('A2.4'!R12*'[15]A2.0'!$N29/('[15]A2.0'!$N24*'A2.4'!R11))^(1/5)-1</f>
        <v>3.4154328429450098E-2</v>
      </c>
      <c r="S9" s="216">
        <f>('A2.4'!S12*'[15]A2.0'!$N29/('[15]A2.0'!$N24*'A2.4'!S11))^(1/5)-1</f>
        <v>4.9076972270007735E-2</v>
      </c>
      <c r="T9" s="216">
        <f>('A2.4'!T12*'[15]A2.0'!$N29/('[15]A2.0'!$N24*'A2.4'!T11))^(1/5)-1</f>
        <v>4.6387321761680811E-2</v>
      </c>
      <c r="U9" s="216">
        <f>('A2.4'!U12*'[15]A2.0'!$N29/('[15]A2.0'!$N24*'A2.4'!U11))^(1/5)-1</f>
        <v>2.0967394720061483E-2</v>
      </c>
      <c r="V9" s="216">
        <f>('[15]A2.0'!$N29/('[15]A2.0'!$N24))^(1/5)-1</f>
        <v>4.51918801485236E-2</v>
      </c>
      <c r="W9" s="214"/>
      <c r="X9" s="216">
        <f>('A2.4'!X12*'[15]A2.0'!$P29/('[15]A2.0'!$P24*'A2.4'!X11))^(1/5)-1</f>
        <v>6.0814382177695414E-2</v>
      </c>
      <c r="Y9" s="216">
        <f>('A2.4'!Y12*'[15]A2.0'!$P29/('[15]A2.0'!$P24*'A2.4'!Y11))^(1/5)-1</f>
        <v>4.3518613366809511E-2</v>
      </c>
      <c r="Z9" s="216">
        <f>('A2.4'!Z12*'[15]A2.0'!$P29/('[15]A2.0'!$P24*'A2.4'!Z11))^(1/5)-1</f>
        <v>5.8174283457811615E-2</v>
      </c>
      <c r="AA9" s="216">
        <f>('A2.4'!AA12*'[15]A2.0'!$P29/('[15]A2.0'!$P24*'A2.4'!AA11))^(1/5)-1</f>
        <v>4.0460879332830268E-2</v>
      </c>
      <c r="AB9" s="216">
        <f>('A2.4'!AB12*'[15]A2.0'!$P29/('[15]A2.0'!$P24*'A2.4'!AB11))^(1/5)-1</f>
        <v>2.7000839887633132E-2</v>
      </c>
      <c r="AC9" s="292">
        <f>('[15]A2.0'!$P29/('[15]A2.0'!$P24))^(1/5)-1</f>
        <v>4.7639268964501769E-2</v>
      </c>
    </row>
    <row r="10" spans="1:29" s="1043" customFormat="1">
      <c r="A10" s="1030" t="s">
        <v>1264</v>
      </c>
      <c r="B10" s="1041"/>
      <c r="C10" s="896">
        <f>('A2.4'!C15*'[15]A2.0'!$G44/('[15]A2.0'!$G29*'A2.4'!C12))^(1/15)-1</f>
        <v>-4.5004358958400381E-3</v>
      </c>
      <c r="D10" s="896">
        <f>('A2.4'!D15*'[15]A2.0'!$G44/('[15]A2.0'!$G29*'A2.4'!D12))^(1/15)-1</f>
        <v>4.0528114849549546E-3</v>
      </c>
      <c r="E10" s="896">
        <f>('A2.4'!E15*'[15]A2.0'!$G44/('[15]A2.0'!$G29*'A2.4'!E12))^(1/15)-1</f>
        <v>1.1297923843803348E-2</v>
      </c>
      <c r="F10" s="896">
        <f>('A2.4'!F15*'[15]A2.0'!$G44/('[15]A2.0'!$G29*'A2.4'!F12))^(1/15)-1</f>
        <v>9.1902883212862108E-3</v>
      </c>
      <c r="G10" s="896">
        <f>('A2.4'!G15*'[15]A2.0'!$G44/('[15]A2.0'!$G29*'A2.4'!G12))^(1/15)-1</f>
        <v>-0.14913119652104401</v>
      </c>
      <c r="H10" s="312">
        <f>('[15]A2.0'!$G44/('[15]A2.0'!$G29))^(1/15)-1</f>
        <v>9.5815550925606452E-3</v>
      </c>
      <c r="I10" s="283"/>
      <c r="J10" s="896">
        <f>('A2.4'!J15*'[15]A2.0'!$I44/('[15]A2.0'!$I29*'A2.4'!J12))^(1/15)-1</f>
        <v>4.8576748803618397E-2</v>
      </c>
      <c r="K10" s="896">
        <f>('A2.4'!K15*'[15]A2.0'!$I44/('[15]A2.0'!$I29*'A2.4'!K12))^(1/15)-1</f>
        <v>3.8317861279729026E-2</v>
      </c>
      <c r="L10" s="896">
        <f>('A2.4'!L15*'[15]A2.0'!$I44/('[15]A2.0'!$I29*'A2.4'!L12))^(1/15)-1</f>
        <v>2.2981104198019908E-2</v>
      </c>
      <c r="M10" s="896">
        <f>('A2.4'!M15*'[15]A2.0'!$I44/('[15]A2.0'!$I29*'A2.4'!M12))^(1/15)-1</f>
        <v>1.422801919902672E-2</v>
      </c>
      <c r="N10" s="896">
        <f>('A2.4'!N15*'[15]A2.0'!$I44/('[15]A2.0'!$I29*'A2.4'!N12))^(1/15)-1</f>
        <v>2.1838519703008208E-2</v>
      </c>
      <c r="O10" s="896">
        <f>('[15]A2.0'!$I44/('[15]A2.0'!$I29))^(1/15)-1</f>
        <v>1.9075405899327658E-2</v>
      </c>
      <c r="P10" s="1042"/>
      <c r="Q10" s="896">
        <f>('A2.4'!Q15*'[15]A2.0'!$N44/('[15]A2.0'!$N29*'A2.4'!Q12))^(1/15)-1</f>
        <v>-2.9258140612063999E-3</v>
      </c>
      <c r="R10" s="896">
        <f>('A2.4'!R15*'[15]A2.0'!$N44/('[15]A2.0'!$N29*'A2.4'!R12))^(1/15)-1</f>
        <v>1.3227196214449233E-3</v>
      </c>
      <c r="S10" s="896">
        <f>('A2.4'!S15*'[15]A2.0'!$N44/('[15]A2.0'!$N29*'A2.4'!S12))^(1/15)-1</f>
        <v>9.007263990799208E-3</v>
      </c>
      <c r="T10" s="896">
        <f>('A2.4'!T15*'[15]A2.0'!$N44/('[15]A2.0'!$N29*'A2.4'!T12))^(1/15)-1</f>
        <v>7.7401662749840838E-3</v>
      </c>
      <c r="U10" s="896">
        <f>('A2.4'!U15*'[15]A2.0'!$N44/('[15]A2.0'!$N29*'A2.4'!U12))^(1/15)-1</f>
        <v>7.6673522204839806E-3</v>
      </c>
      <c r="V10" s="896">
        <f>('[15]A2.0'!$N44/('[15]A2.0'!$N29))^(1/15)-1</f>
        <v>8.3026145787084005E-3</v>
      </c>
      <c r="W10" s="283"/>
      <c r="X10" s="896">
        <f>('A2.4'!X15*'[15]A2.0'!$P44/('[15]A2.0'!$P29*'A2.4'!X12))^(1/15)-1</f>
        <v>5.0672101119688451E-2</v>
      </c>
      <c r="Y10" s="896">
        <f>('A2.4'!Y15*'[15]A2.0'!$P44/('[15]A2.0'!$P29*'A2.4'!Y12))^(1/15)-1</f>
        <v>3.8226885497449459E-2</v>
      </c>
      <c r="Z10" s="896">
        <f>('A2.4'!Z15*'[15]A2.0'!$P44/('[15]A2.0'!$P29*'A2.4'!Z12))^(1/15)-1</f>
        <v>2.2651790097638846E-2</v>
      </c>
      <c r="AA10" s="896">
        <f>('A2.4'!AA15*'[15]A2.0'!$P44/('[15]A2.0'!$P29*'A2.4'!AA12))^(1/15)-1</f>
        <v>1.2358194679139345E-2</v>
      </c>
      <c r="AB10" s="896">
        <f>('A2.4'!AB15*'[15]A2.0'!$P44/('[15]A2.0'!$P29*'A2.4'!AB12))^(1/15)-1</f>
        <v>8.7845425160353319E-3</v>
      </c>
      <c r="AC10" s="293">
        <f>('[15]A2.0'!$P44/('[15]A2.0'!$P29))^(1/15)-1</f>
        <v>1.7259419543038002E-2</v>
      </c>
    </row>
    <row r="11" spans="1:29" s="1046" customFormat="1" ht="15.75" thickBot="1">
      <c r="A11" s="1023" t="s">
        <v>1260</v>
      </c>
      <c r="B11" s="1044"/>
      <c r="C11" s="309">
        <f>('A2.4'!C15*'[15]A2.0'!$G44/('A2.4'!C8*'[15]A2.0'!$G9))^(1/35)-1</f>
        <v>2.2019168591235871E-2</v>
      </c>
      <c r="D11" s="309">
        <f>('A2.4'!D15*'[15]A2.0'!$G44/('A2.4'!D8*'[15]A2.0'!$G9))^(1/35)-1</f>
        <v>4.743755993622667E-2</v>
      </c>
      <c r="E11" s="309">
        <f>('A2.4'!E15*'[15]A2.0'!$G44/('A2.4'!E8*'[15]A2.0'!$G9))^(1/35)-1</f>
        <v>5.6009907234958467E-2</v>
      </c>
      <c r="F11" s="309">
        <f>('A2.4'!F15*'[15]A2.0'!$G44/('A2.4'!F8*'[15]A2.0'!$G9))^(1/35)-1</f>
        <v>4.6352017216040986E-2</v>
      </c>
      <c r="G11" s="309">
        <f>('A2.4'!G15*'[15]A2.0'!$G44/('A2.4'!G8*'[15]A2.0'!$G9))^(1/35)-1</f>
        <v>-6.6953506361172588E-2</v>
      </c>
      <c r="H11" s="1045">
        <f>('[15]A2.0'!$G44/('[15]A2.0'!$G9))^(1/35)-1</f>
        <v>4.9337103917878489E-2</v>
      </c>
      <c r="I11" s="1249"/>
      <c r="J11" s="1250">
        <f>('A2.4'!J15*'[15]A2.0'!$I44/('A2.4'!J8*'[15]A2.0'!$I9))^(1/35)-1</f>
        <v>5.9009696124071143E-2</v>
      </c>
      <c r="K11" s="1250">
        <f>('A2.4'!K15*'[15]A2.0'!$I44/('A2.4'!K8*'[15]A2.0'!$I9))^(1/35)-1</f>
        <v>5.0873395655873122E-2</v>
      </c>
      <c r="L11" s="1250">
        <f>('A2.4'!L15*'[15]A2.0'!$I44/('A2.4'!L8*'[15]A2.0'!$I9))^(1/35)-1</f>
        <v>4.9729407253757296E-2</v>
      </c>
      <c r="M11" s="1250">
        <f>('A2.4'!M15*'[15]A2.0'!$I44/('A2.4'!M8*'[15]A2.0'!$I9))^(1/35)-1</f>
        <v>4.5301834330040647E-2</v>
      </c>
      <c r="N11" s="1250">
        <f>('A2.4'!N15*'[15]A2.0'!$I44/('A2.4'!N8*'[15]A2.0'!$I9))^(1/35)-1</f>
        <v>3.9376035324175218E-2</v>
      </c>
      <c r="O11" s="1251">
        <f>('[15]A2.0'!$I44/('[15]A2.0'!$I9))^(1/35)-1</f>
        <v>4.7300812435715711E-2</v>
      </c>
      <c r="P11" s="1249"/>
      <c r="Q11" s="1250">
        <f>('A2.4'!Q15*'[15]A2.0'!$N44/('A2.4'!Q8*'[15]A2.0'!$N9))^(1/35)-1</f>
        <v>7.3018229026624581E-3</v>
      </c>
      <c r="R11" s="1250">
        <f>('A2.4'!R15*'[15]A2.0'!$N44/('A2.4'!R8*'[15]A2.0'!$N9))^(1/35)-1</f>
        <v>3.3570217888654552E-2</v>
      </c>
      <c r="S11" s="1250">
        <f>('A2.4'!S15*'[15]A2.0'!$N44/('A2.4'!S8*'[15]A2.0'!$N9))^(1/35)-1</f>
        <v>4.8461658094717697E-2</v>
      </c>
      <c r="T11" s="1250">
        <f>('A2.4'!T15*'[15]A2.0'!$N44/('A2.4'!T8*'[15]A2.0'!$N9))^(1/35)-1</f>
        <v>4.6781153526564312E-2</v>
      </c>
      <c r="U11" s="1250">
        <f>('A2.4'!U15*'[15]A2.0'!$N44/('A2.4'!U8*'[15]A2.0'!$N9))^(1/35)-1</f>
        <v>3.9937342026861833E-2</v>
      </c>
      <c r="V11" s="1251">
        <f>('[15]A2.0'!$N44/('[15]A2.0'!$N9))^(1/35)-1</f>
        <v>4.685048652091206E-2</v>
      </c>
      <c r="W11" s="1249"/>
      <c r="X11" s="1250">
        <f>('A2.4'!X15*'[15]A2.0'!$P44/('A2.4'!X8*'[15]A2.0'!$P9))^(1/35)-1</f>
        <v>5.0668633387713991E-2</v>
      </c>
      <c r="Y11" s="1250">
        <f>('A2.4'!Y15*'[15]A2.0'!$P44/('A2.4'!Y8*'[15]A2.0'!$P9))^(1/35)-1</f>
        <v>3.8967735825743421E-2</v>
      </c>
      <c r="Z11" s="1250">
        <f>('A2.4'!Z15*'[15]A2.0'!$P44/('A2.4'!Z8*'[15]A2.0'!$P9))^(1/35)-1</f>
        <v>4.040628759513254E-2</v>
      </c>
      <c r="AA11" s="1250">
        <f>('A2.4'!AA15*'[15]A2.0'!$P44/('A2.4'!AA8*'[15]A2.0'!$P9))^(1/35)-1</f>
        <v>4.095304114706777E-2</v>
      </c>
      <c r="AB11" s="1250">
        <f>('A2.4'!AB15*'[15]A2.0'!$P44/('A2.4'!AB8*'[15]A2.0'!$P9))^(1/35)-1</f>
        <v>2.8680545510951339E-2</v>
      </c>
      <c r="AC11" s="1252">
        <f>('[15]A2.0'!$P44/('[15]A2.0'!$P9))^(1/35)-1</f>
        <v>3.962228064153539E-2</v>
      </c>
    </row>
    <row r="12" spans="1:29" ht="16.5" thickTop="1" thickBot="1"/>
    <row r="13" spans="1:29" ht="15.75" thickTop="1">
      <c r="A13" s="1140" t="s">
        <v>1271</v>
      </c>
      <c r="B13" s="1141"/>
      <c r="C13" s="1141"/>
      <c r="D13" s="1141"/>
      <c r="E13" s="1141"/>
      <c r="F13" s="1141"/>
      <c r="G13" s="1141"/>
      <c r="H13" s="1141"/>
      <c r="I13" s="1141"/>
      <c r="J13" s="1142"/>
    </row>
    <row r="14" spans="1:29">
      <c r="A14" s="1143"/>
      <c r="B14" s="1144"/>
      <c r="C14" s="1144"/>
      <c r="D14" s="1144"/>
      <c r="E14" s="1144"/>
      <c r="F14" s="1144"/>
      <c r="G14" s="1144"/>
      <c r="H14" s="1144"/>
      <c r="I14" s="1144"/>
      <c r="J14" s="1145"/>
    </row>
    <row r="15" spans="1:29" ht="15.75" thickBo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8"/>
    </row>
    <row r="16" spans="1:29" ht="15.75" thickTop="1"/>
  </sheetData>
  <mergeCells count="5">
    <mergeCell ref="A13:J15"/>
    <mergeCell ref="B4:H4"/>
    <mergeCell ref="I4:O4"/>
    <mergeCell ref="P4:V4"/>
    <mergeCell ref="W4:AC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A1.0</vt:lpstr>
      <vt:lpstr>A1.1</vt:lpstr>
      <vt:lpstr>A2.0</vt:lpstr>
      <vt:lpstr>A2.1</vt:lpstr>
      <vt:lpstr>A2.2</vt:lpstr>
      <vt:lpstr>A2.3</vt:lpstr>
      <vt:lpstr>A2.4</vt:lpstr>
      <vt:lpstr>A2.5</vt:lpstr>
      <vt:lpstr>A2.6</vt:lpstr>
      <vt:lpstr>A3.0</vt:lpstr>
      <vt:lpstr>A3.1</vt:lpstr>
      <vt:lpstr>A4.0</vt:lpstr>
      <vt:lpstr>A4.1</vt:lpstr>
      <vt:lpstr>AX1</vt:lpstr>
      <vt:lpstr>AX2</vt:lpstr>
      <vt:lpstr>AX3</vt:lpstr>
      <vt:lpstr>AX4</vt:lpstr>
      <vt:lpstr>AX5</vt:lpstr>
      <vt:lpstr>AX6</vt:lpstr>
      <vt:lpstr>AX7</vt:lpstr>
      <vt:lpstr>AX8</vt:lpstr>
      <vt:lpstr>AX9</vt:lpstr>
      <vt:lpstr>AX10</vt:lpstr>
      <vt:lpstr>AX11</vt:lpstr>
      <vt:lpstr>AX12</vt:lpstr>
      <vt:lpstr>AX13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Yang</dc:creator>
  <cp:lastModifiedBy>Li Yang</cp:lastModifiedBy>
  <cp:lastPrinted>2021-02-10T14:50:19Z</cp:lastPrinted>
  <dcterms:created xsi:type="dcterms:W3CDTF">2015-06-05T18:17:20Z</dcterms:created>
  <dcterms:modified xsi:type="dcterms:W3CDTF">2021-07-20T13:28:18Z</dcterms:modified>
</cp:coreProperties>
</file>