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24" windowWidth="20376" windowHeight="12792" tabRatio="500"/>
  </bookViews>
  <sheets>
    <sheet name="ReadMe" sheetId="101" r:id="rId1"/>
    <sheet name="1900" sheetId="269" r:id="rId2"/>
    <sheet name="1910" sheetId="268" r:id="rId3"/>
    <sheet name="1915" sheetId="267" r:id="rId4"/>
    <sheet name="1916" sheetId="266" r:id="rId5"/>
    <sheet name="1917" sheetId="265" r:id="rId6"/>
    <sheet name="1918" sheetId="264" r:id="rId7"/>
    <sheet name="1919" sheetId="263" r:id="rId8"/>
    <sheet name="1920" sheetId="262" r:id="rId9"/>
    <sheet name="1921" sheetId="261" r:id="rId10"/>
    <sheet name="1922" sheetId="260" r:id="rId11"/>
    <sheet name="1923" sheetId="259" r:id="rId12"/>
    <sheet name="1924" sheetId="258" r:id="rId13"/>
    <sheet name="1925" sheetId="257" r:id="rId14"/>
    <sheet name="1926" sheetId="256" r:id="rId15"/>
    <sheet name="1927" sheetId="255" r:id="rId16"/>
    <sheet name="1928" sheetId="254" r:id="rId17"/>
    <sheet name="1929" sheetId="253" r:id="rId18"/>
    <sheet name="1930" sheetId="252" r:id="rId19"/>
    <sheet name="1931" sheetId="251" r:id="rId20"/>
    <sheet name="1932" sheetId="250" r:id="rId21"/>
    <sheet name="1933" sheetId="249" r:id="rId22"/>
    <sheet name="1934" sheetId="248" r:id="rId23"/>
    <sheet name="1935" sheetId="247" r:id="rId24"/>
    <sheet name="1936" sheetId="246" r:id="rId25"/>
    <sheet name="1937" sheetId="245" r:id="rId26"/>
    <sheet name="1938" sheetId="243" r:id="rId27"/>
    <sheet name="1939" sheetId="242" r:id="rId28"/>
    <sheet name="1940" sheetId="241" r:id="rId29"/>
    <sheet name="1941" sheetId="240" r:id="rId30"/>
    <sheet name="1942" sheetId="239" r:id="rId31"/>
    <sheet name="1943" sheetId="238" r:id="rId32"/>
    <sheet name="1944" sheetId="237" r:id="rId33"/>
    <sheet name="1945" sheetId="236" r:id="rId34"/>
    <sheet name="1946" sheetId="235" r:id="rId35"/>
    <sheet name="1947" sheetId="234" r:id="rId36"/>
    <sheet name="1948" sheetId="233" r:id="rId37"/>
    <sheet name="1949" sheetId="232" r:id="rId38"/>
    <sheet name="1950" sheetId="231" r:id="rId39"/>
    <sheet name="1951" sheetId="230" r:id="rId40"/>
    <sheet name="1952" sheetId="229" r:id="rId41"/>
    <sheet name="1953" sheetId="228" r:id="rId42"/>
    <sheet name="1954" sheetId="227" r:id="rId43"/>
    <sheet name="1955" sheetId="226" r:id="rId44"/>
    <sheet name="1956" sheetId="225" r:id="rId45"/>
    <sheet name="1957" sheetId="224" r:id="rId46"/>
    <sheet name="1958" sheetId="223" r:id="rId47"/>
    <sheet name="1959" sheetId="222" r:id="rId48"/>
    <sheet name="1960" sheetId="221" r:id="rId49"/>
    <sheet name="1961" sheetId="220" r:id="rId50"/>
    <sheet name="1962" sheetId="219" r:id="rId51"/>
    <sheet name="1963" sheetId="218" r:id="rId52"/>
    <sheet name="1964" sheetId="217" r:id="rId53"/>
    <sheet name="1965" sheetId="216" r:id="rId54"/>
    <sheet name="1966" sheetId="215" r:id="rId55"/>
    <sheet name="1967" sheetId="214" r:id="rId56"/>
    <sheet name="1968" sheetId="213" r:id="rId57"/>
    <sheet name="1969" sheetId="212" r:id="rId58"/>
    <sheet name="1970" sheetId="210" r:id="rId59"/>
    <sheet name="1971" sheetId="211" r:id="rId60"/>
    <sheet name="1972" sheetId="208" r:id="rId61"/>
    <sheet name="1973" sheetId="207" r:id="rId62"/>
    <sheet name="1974" sheetId="206" r:id="rId63"/>
    <sheet name="1975" sheetId="205" r:id="rId64"/>
    <sheet name="1976" sheetId="204" r:id="rId65"/>
    <sheet name="1977" sheetId="201" r:id="rId66"/>
    <sheet name="1978" sheetId="200" r:id="rId67"/>
    <sheet name="1979" sheetId="199" r:id="rId68"/>
    <sheet name="1980" sheetId="198" r:id="rId69"/>
    <sheet name="1981" sheetId="197" r:id="rId70"/>
    <sheet name="1982" sheetId="196" r:id="rId71"/>
    <sheet name="1983" sheetId="195" r:id="rId72"/>
    <sheet name="1984" sheetId="194" r:id="rId73"/>
    <sheet name="1985" sheetId="118" r:id="rId74"/>
    <sheet name="1986" sheetId="138" r:id="rId75"/>
    <sheet name="1987" sheetId="136" r:id="rId76"/>
    <sheet name="1988" sheetId="134" r:id="rId77"/>
    <sheet name="1989" sheetId="132" r:id="rId78"/>
    <sheet name="1990" sheetId="130" r:id="rId79"/>
    <sheet name="1991" sheetId="128" r:id="rId80"/>
    <sheet name="1992" sheetId="126" r:id="rId81"/>
    <sheet name="1993" sheetId="124" r:id="rId82"/>
    <sheet name="1994" sheetId="122" r:id="rId83"/>
    <sheet name="1995" sheetId="117" r:id="rId84"/>
    <sheet name="1996" sheetId="121" r:id="rId85"/>
    <sheet name="1997" sheetId="113" r:id="rId86"/>
    <sheet name="1998" sheetId="114" r:id="rId87"/>
    <sheet name="1999" sheetId="85" r:id="rId88"/>
    <sheet name="2000" sheetId="86" r:id="rId89"/>
    <sheet name="2001" sheetId="115" r:id="rId90"/>
    <sheet name="2002" sheetId="116" r:id="rId91"/>
    <sheet name="2003" sheetId="89" r:id="rId92"/>
    <sheet name="2004" sheetId="90" r:id="rId93"/>
    <sheet name="2005" sheetId="91" r:id="rId94"/>
    <sheet name="2006" sheetId="92" r:id="rId95"/>
    <sheet name="2007" sheetId="93" r:id="rId96"/>
    <sheet name="2008" sheetId="94" r:id="rId97"/>
    <sheet name="2009" sheetId="95" r:id="rId98"/>
    <sheet name="2010" sheetId="96" r:id="rId99"/>
    <sheet name="2011" sheetId="97" r:id="rId100"/>
    <sheet name="2012" sheetId="98" r:id="rId101"/>
    <sheet name="2013" sheetId="99" r:id="rId102"/>
    <sheet name="2001pv" sheetId="87" r:id="rId103"/>
    <sheet name="2002pv" sheetId="88" r:id="rId104"/>
    <sheet name="1931raw" sheetId="270" r:id="rId105"/>
    <sheet name="1932raw" sheetId="271" r:id="rId106"/>
    <sheet name="1933raw" sheetId="272" r:id="rId107"/>
    <sheet name="1934raw" sheetId="273" r:id="rId108"/>
    <sheet name="1935raw" sheetId="274" r:id="rId109"/>
    <sheet name="1942raw" sheetId="275" r:id="rId110"/>
    <sheet name="1943raw" sheetId="276" r:id="rId111"/>
    <sheet name="1944raw" sheetId="277" r:id="rId112"/>
    <sheet name="1945temp" sheetId="140" r:id="rId113"/>
    <sheet name="1946temp" sheetId="141" r:id="rId114"/>
    <sheet name="1947temp" sheetId="142" r:id="rId115"/>
    <sheet name="1948temp" sheetId="143" r:id="rId116"/>
    <sheet name="1949temp" sheetId="144" r:id="rId117"/>
    <sheet name="1950temp" sheetId="145" r:id="rId118"/>
    <sheet name="1951temp" sheetId="146" r:id="rId119"/>
    <sheet name="1952temp" sheetId="147" r:id="rId120"/>
    <sheet name="1953temp" sheetId="148" r:id="rId121"/>
    <sheet name="1954temp" sheetId="149" r:id="rId122"/>
    <sheet name="1955temp" sheetId="150" r:id="rId123"/>
    <sheet name="1956temp" sheetId="151" r:id="rId124"/>
    <sheet name="1957temp" sheetId="152" r:id="rId125"/>
    <sheet name="1958temp" sheetId="153" r:id="rId126"/>
    <sheet name="1959temp" sheetId="154" r:id="rId127"/>
    <sheet name="1960temp" sheetId="155" r:id="rId128"/>
    <sheet name="1961temp" sheetId="156" r:id="rId129"/>
    <sheet name="1962temp" sheetId="157" r:id="rId130"/>
    <sheet name="1963temp" sheetId="158" r:id="rId131"/>
    <sheet name="1964temp" sheetId="159" r:id="rId132"/>
    <sheet name="1965temp" sheetId="160" r:id="rId133"/>
    <sheet name="1966temp" sheetId="161" r:id="rId134"/>
    <sheet name="1967temp" sheetId="162" r:id="rId135"/>
    <sheet name="1968temp" sheetId="163" r:id="rId136"/>
    <sheet name="1969temp" sheetId="164" r:id="rId137"/>
    <sheet name="1970temp" sheetId="165" r:id="rId138"/>
    <sheet name="1971temp" sheetId="166" r:id="rId139"/>
    <sheet name="1972temp" sheetId="167" r:id="rId140"/>
    <sheet name="1973temp" sheetId="168" r:id="rId141"/>
    <sheet name="1974temp" sheetId="169" r:id="rId142"/>
    <sheet name="1975temp" sheetId="170" r:id="rId143"/>
    <sheet name="1976temp" sheetId="171" r:id="rId144"/>
    <sheet name="1977temp" sheetId="172" r:id="rId145"/>
    <sheet name="1978temp" sheetId="173" r:id="rId146"/>
    <sheet name="1979temp" sheetId="174" r:id="rId147"/>
    <sheet name="1980temp" sheetId="175" r:id="rId148"/>
    <sheet name="1981temp" sheetId="176" r:id="rId149"/>
    <sheet name="1982temp" sheetId="177" r:id="rId150"/>
    <sheet name="1983temp" sheetId="178" r:id="rId151"/>
    <sheet name="1984temp" sheetId="179" r:id="rId152"/>
    <sheet name="1985temp" sheetId="71" r:id="rId153"/>
    <sheet name="1986temp" sheetId="137" r:id="rId154"/>
    <sheet name="1987temp" sheetId="135" r:id="rId155"/>
    <sheet name="1988temp" sheetId="133" r:id="rId156"/>
    <sheet name="1989temp" sheetId="131" r:id="rId157"/>
    <sheet name="1990temp" sheetId="129" r:id="rId158"/>
    <sheet name="1991temp" sheetId="127" r:id="rId159"/>
    <sheet name="1992temp" sheetId="125" r:id="rId160"/>
    <sheet name="1993temp" sheetId="123" r:id="rId161"/>
    <sheet name="1994temp" sheetId="80" r:id="rId162"/>
    <sheet name="1995temp" sheetId="81" r:id="rId163"/>
    <sheet name="1996temp " sheetId="120" r:id="rId164"/>
  </sheets>
  <externalReferences>
    <externalReference r:id="rId165"/>
  </externalReferenc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237" l="1"/>
  <c r="C26" i="237"/>
  <c r="C25" i="237"/>
  <c r="C24" i="237"/>
  <c r="C23" i="237"/>
  <c r="C22" i="237"/>
  <c r="C21" i="237"/>
  <c r="C20" i="237"/>
  <c r="C19" i="237"/>
  <c r="C18" i="237"/>
  <c r="C17" i="237"/>
  <c r="C16" i="237"/>
  <c r="C15" i="237"/>
  <c r="C14" i="237"/>
  <c r="C13" i="237"/>
  <c r="C12" i="237"/>
  <c r="C11" i="237"/>
  <c r="C10" i="237"/>
  <c r="C9" i="237"/>
  <c r="C8" i="237"/>
  <c r="C7" i="237"/>
  <c r="C6" i="237"/>
  <c r="C5" i="237"/>
  <c r="H27" i="237"/>
  <c r="H26" i="237"/>
  <c r="H25" i="237"/>
  <c r="H24" i="237"/>
  <c r="H23" i="237"/>
  <c r="H22" i="237"/>
  <c r="H21" i="237"/>
  <c r="H20" i="237"/>
  <c r="H19" i="237"/>
  <c r="H18" i="237"/>
  <c r="H17" i="237"/>
  <c r="H16" i="237"/>
  <c r="H15" i="237"/>
  <c r="H14" i="237"/>
  <c r="H13" i="237"/>
  <c r="H12" i="237"/>
  <c r="H11" i="237"/>
  <c r="H10" i="237"/>
  <c r="H9" i="237"/>
  <c r="H8" i="237"/>
  <c r="H7" i="237"/>
  <c r="H6" i="237"/>
  <c r="H5" i="237"/>
  <c r="A27" i="237"/>
  <c r="A26" i="237"/>
  <c r="A25" i="237"/>
  <c r="A24" i="237"/>
  <c r="A23" i="237"/>
  <c r="A22" i="237"/>
  <c r="A21" i="237"/>
  <c r="A20" i="237"/>
  <c r="A19" i="237"/>
  <c r="A18" i="237"/>
  <c r="A17" i="237"/>
  <c r="A16" i="237"/>
  <c r="A15" i="237"/>
  <c r="A14" i="237"/>
  <c r="A13" i="237"/>
  <c r="A12" i="237"/>
  <c r="A11" i="237"/>
  <c r="A10" i="237"/>
  <c r="A9" i="237"/>
  <c r="A8" i="237"/>
  <c r="A7" i="237"/>
  <c r="A6" i="237"/>
  <c r="A5" i="237"/>
  <c r="I27" i="277"/>
  <c r="H27" i="277"/>
  <c r="D2" i="277"/>
  <c r="L2" i="277"/>
  <c r="D27" i="277"/>
  <c r="I26" i="277"/>
  <c r="H26" i="277"/>
  <c r="D26" i="277"/>
  <c r="I25" i="277"/>
  <c r="H25" i="277"/>
  <c r="D25" i="277"/>
  <c r="I24" i="277"/>
  <c r="H24" i="277"/>
  <c r="D24" i="277"/>
  <c r="I23" i="277"/>
  <c r="H23" i="277"/>
  <c r="D23" i="277"/>
  <c r="I22" i="277"/>
  <c r="H22" i="277"/>
  <c r="D22" i="277"/>
  <c r="I21" i="277"/>
  <c r="H21" i="277"/>
  <c r="D21" i="277"/>
  <c r="I20" i="277"/>
  <c r="H20" i="277"/>
  <c r="D20" i="277"/>
  <c r="I19" i="277"/>
  <c r="H19" i="277"/>
  <c r="D19" i="277"/>
  <c r="I18" i="277"/>
  <c r="H18" i="277"/>
  <c r="D18" i="277"/>
  <c r="I17" i="277"/>
  <c r="H17" i="277"/>
  <c r="D17" i="277"/>
  <c r="I16" i="277"/>
  <c r="H16" i="277"/>
  <c r="D16" i="277"/>
  <c r="I15" i="277"/>
  <c r="H15" i="277"/>
  <c r="D15" i="277"/>
  <c r="I14" i="277"/>
  <c r="H14" i="277"/>
  <c r="D14" i="277"/>
  <c r="I13" i="277"/>
  <c r="H13" i="277"/>
  <c r="D13" i="277"/>
  <c r="I12" i="277"/>
  <c r="H12" i="277"/>
  <c r="D12" i="277"/>
  <c r="I11" i="277"/>
  <c r="H11" i="277"/>
  <c r="D11" i="277"/>
  <c r="I10" i="277"/>
  <c r="H10" i="277"/>
  <c r="D10" i="277"/>
  <c r="I9" i="277"/>
  <c r="H9" i="277"/>
  <c r="D9" i="277"/>
  <c r="I8" i="277"/>
  <c r="H8" i="277"/>
  <c r="D8" i="277"/>
  <c r="I7" i="277"/>
  <c r="H7" i="277"/>
  <c r="D7" i="277"/>
  <c r="I6" i="277"/>
  <c r="H6" i="277"/>
  <c r="D6" i="277"/>
  <c r="I5" i="277"/>
  <c r="H5" i="277"/>
  <c r="D5" i="277"/>
  <c r="I4" i="277"/>
  <c r="B2" i="277"/>
  <c r="H4" i="277"/>
  <c r="D4" i="277"/>
  <c r="F1" i="277"/>
  <c r="D1" i="277"/>
  <c r="H28" i="238"/>
  <c r="H27" i="238"/>
  <c r="H26" i="238"/>
  <c r="H25" i="238"/>
  <c r="H24" i="238"/>
  <c r="H23" i="238"/>
  <c r="H22" i="238"/>
  <c r="H21" i="238"/>
  <c r="H20" i="238"/>
  <c r="H19" i="238"/>
  <c r="H18" i="238"/>
  <c r="H17" i="238"/>
  <c r="H16" i="238"/>
  <c r="H15" i="238"/>
  <c r="H14" i="238"/>
  <c r="H13" i="238"/>
  <c r="H12" i="238"/>
  <c r="H11" i="238"/>
  <c r="H10" i="238"/>
  <c r="H5" i="238"/>
  <c r="H6" i="238"/>
  <c r="H7" i="238"/>
  <c r="H8" i="238"/>
  <c r="H9" i="238"/>
  <c r="A28" i="238"/>
  <c r="A27" i="238"/>
  <c r="A26" i="238"/>
  <c r="A25" i="238"/>
  <c r="A24" i="238"/>
  <c r="A23" i="238"/>
  <c r="A22" i="238"/>
  <c r="A21" i="238"/>
  <c r="A20" i="238"/>
  <c r="A19" i="238"/>
  <c r="A18" i="238"/>
  <c r="A17" i="238"/>
  <c r="A16" i="238"/>
  <c r="A15" i="238"/>
  <c r="A14" i="238"/>
  <c r="A13" i="238"/>
  <c r="A12" i="238"/>
  <c r="A11" i="238"/>
  <c r="A10" i="238"/>
  <c r="A9" i="238"/>
  <c r="A8" i="238"/>
  <c r="A7" i="238"/>
  <c r="A6" i="238"/>
  <c r="A5" i="238"/>
  <c r="C28" i="238"/>
  <c r="C27" i="238"/>
  <c r="C26" i="238"/>
  <c r="C25" i="238"/>
  <c r="C24" i="238"/>
  <c r="C23" i="238"/>
  <c r="C22" i="238"/>
  <c r="C21" i="238"/>
  <c r="C20" i="238"/>
  <c r="C19" i="238"/>
  <c r="C18" i="238"/>
  <c r="C17" i="238"/>
  <c r="C16" i="238"/>
  <c r="C15" i="238"/>
  <c r="C14" i="238"/>
  <c r="C13" i="238"/>
  <c r="C12" i="238"/>
  <c r="C11" i="238"/>
  <c r="C10" i="238"/>
  <c r="C9" i="238"/>
  <c r="C8" i="238"/>
  <c r="C7" i="238"/>
  <c r="C6" i="238"/>
  <c r="C5" i="238"/>
  <c r="C28" i="239"/>
  <c r="C27" i="239"/>
  <c r="C26" i="239"/>
  <c r="C25" i="239"/>
  <c r="C24" i="239"/>
  <c r="C23" i="239"/>
  <c r="C22" i="239"/>
  <c r="C21" i="239"/>
  <c r="C20" i="239"/>
  <c r="C19" i="239"/>
  <c r="C18" i="239"/>
  <c r="C17" i="239"/>
  <c r="C16" i="239"/>
  <c r="C15" i="239"/>
  <c r="C14" i="239"/>
  <c r="C13" i="239"/>
  <c r="C12" i="239"/>
  <c r="C11" i="239"/>
  <c r="C10" i="239"/>
  <c r="C9" i="239"/>
  <c r="C8" i="239"/>
  <c r="C7" i="239"/>
  <c r="C6" i="239"/>
  <c r="C5" i="239"/>
  <c r="I28" i="276"/>
  <c r="H28" i="276"/>
  <c r="D2" i="276"/>
  <c r="L2" i="276"/>
  <c r="D28" i="276"/>
  <c r="I27" i="276"/>
  <c r="H27" i="276"/>
  <c r="D27" i="276"/>
  <c r="I26" i="276"/>
  <c r="H26" i="276"/>
  <c r="D26" i="276"/>
  <c r="I25" i="276"/>
  <c r="H25" i="276"/>
  <c r="D25" i="276"/>
  <c r="I24" i="276"/>
  <c r="H24" i="276"/>
  <c r="D24" i="276"/>
  <c r="I23" i="276"/>
  <c r="H23" i="276"/>
  <c r="D23" i="276"/>
  <c r="I22" i="276"/>
  <c r="H22" i="276"/>
  <c r="D22" i="276"/>
  <c r="I21" i="276"/>
  <c r="H21" i="276"/>
  <c r="D21" i="276"/>
  <c r="I20" i="276"/>
  <c r="H20" i="276"/>
  <c r="D20" i="276"/>
  <c r="I19" i="276"/>
  <c r="H19" i="276"/>
  <c r="D19" i="276"/>
  <c r="I18" i="276"/>
  <c r="H18" i="276"/>
  <c r="D18" i="276"/>
  <c r="I17" i="276"/>
  <c r="H17" i="276"/>
  <c r="D17" i="276"/>
  <c r="I16" i="276"/>
  <c r="H16" i="276"/>
  <c r="D16" i="276"/>
  <c r="I15" i="276"/>
  <c r="H15" i="276"/>
  <c r="D15" i="276"/>
  <c r="I14" i="276"/>
  <c r="H14" i="276"/>
  <c r="D14" i="276"/>
  <c r="I13" i="276"/>
  <c r="H13" i="276"/>
  <c r="D13" i="276"/>
  <c r="I12" i="276"/>
  <c r="H12" i="276"/>
  <c r="D12" i="276"/>
  <c r="I11" i="276"/>
  <c r="H11" i="276"/>
  <c r="D11" i="276"/>
  <c r="I10" i="276"/>
  <c r="H10" i="276"/>
  <c r="D10" i="276"/>
  <c r="I9" i="276"/>
  <c r="H9" i="276"/>
  <c r="D9" i="276"/>
  <c r="I8" i="276"/>
  <c r="H8" i="276"/>
  <c r="D8" i="276"/>
  <c r="I7" i="276"/>
  <c r="H7" i="276"/>
  <c r="D7" i="276"/>
  <c r="I6" i="276"/>
  <c r="H6" i="276"/>
  <c r="D6" i="276"/>
  <c r="I5" i="276"/>
  <c r="H5" i="276"/>
  <c r="D5" i="276"/>
  <c r="I4" i="276"/>
  <c r="B2" i="276"/>
  <c r="H4" i="276"/>
  <c r="D4" i="276"/>
  <c r="F1" i="276"/>
  <c r="D1" i="276"/>
  <c r="H28" i="239"/>
  <c r="H27" i="239"/>
  <c r="H26" i="239"/>
  <c r="H25" i="239"/>
  <c r="H24" i="239"/>
  <c r="H23" i="239"/>
  <c r="H22" i="239"/>
  <c r="H21" i="239"/>
  <c r="H20" i="239"/>
  <c r="H19" i="239"/>
  <c r="H18" i="239"/>
  <c r="H17" i="239"/>
  <c r="H16" i="239"/>
  <c r="H15" i="239"/>
  <c r="H14" i="239"/>
  <c r="H13" i="239"/>
  <c r="H12" i="239"/>
  <c r="H11" i="239"/>
  <c r="H10" i="239"/>
  <c r="H9" i="239"/>
  <c r="H8" i="239"/>
  <c r="H7" i="239"/>
  <c r="H6" i="239"/>
  <c r="H5" i="239"/>
  <c r="A28" i="239"/>
  <c r="A27" i="239"/>
  <c r="A26" i="239"/>
  <c r="A25" i="239"/>
  <c r="A24" i="239"/>
  <c r="A23" i="239"/>
  <c r="A22" i="239"/>
  <c r="A21" i="239"/>
  <c r="A20" i="239"/>
  <c r="A19" i="239"/>
  <c r="A18" i="239"/>
  <c r="A17" i="239"/>
  <c r="A16" i="239"/>
  <c r="A15" i="239"/>
  <c r="A14" i="239"/>
  <c r="A13" i="239"/>
  <c r="A12" i="239"/>
  <c r="A11" i="239"/>
  <c r="A10" i="239"/>
  <c r="A9" i="239"/>
  <c r="A8" i="239"/>
  <c r="A7" i="239"/>
  <c r="A6" i="239"/>
  <c r="A5" i="239"/>
  <c r="I28" i="275"/>
  <c r="H28" i="275"/>
  <c r="D2" i="275"/>
  <c r="L2" i="275"/>
  <c r="D28" i="275"/>
  <c r="I27" i="275"/>
  <c r="H27" i="275"/>
  <c r="D27" i="275"/>
  <c r="I26" i="275"/>
  <c r="H26" i="275"/>
  <c r="D26" i="275"/>
  <c r="I25" i="275"/>
  <c r="H25" i="275"/>
  <c r="D25" i="275"/>
  <c r="I24" i="275"/>
  <c r="H24" i="275"/>
  <c r="D24" i="275"/>
  <c r="I23" i="275"/>
  <c r="H23" i="275"/>
  <c r="D23" i="275"/>
  <c r="I22" i="275"/>
  <c r="H22" i="275"/>
  <c r="D22" i="275"/>
  <c r="I21" i="275"/>
  <c r="H21" i="275"/>
  <c r="D21" i="275"/>
  <c r="I20" i="275"/>
  <c r="H20" i="275"/>
  <c r="D20" i="275"/>
  <c r="I19" i="275"/>
  <c r="H19" i="275"/>
  <c r="D19" i="275"/>
  <c r="I18" i="275"/>
  <c r="H18" i="275"/>
  <c r="D18" i="275"/>
  <c r="I17" i="275"/>
  <c r="H17" i="275"/>
  <c r="D17" i="275"/>
  <c r="I16" i="275"/>
  <c r="H16" i="275"/>
  <c r="D16" i="275"/>
  <c r="I15" i="275"/>
  <c r="H15" i="275"/>
  <c r="D15" i="275"/>
  <c r="I14" i="275"/>
  <c r="H14" i="275"/>
  <c r="D14" i="275"/>
  <c r="I13" i="275"/>
  <c r="H13" i="275"/>
  <c r="D13" i="275"/>
  <c r="I12" i="275"/>
  <c r="H12" i="275"/>
  <c r="D12" i="275"/>
  <c r="I11" i="275"/>
  <c r="H11" i="275"/>
  <c r="D11" i="275"/>
  <c r="I10" i="275"/>
  <c r="H10" i="275"/>
  <c r="D10" i="275"/>
  <c r="I9" i="275"/>
  <c r="H9" i="275"/>
  <c r="D9" i="275"/>
  <c r="I8" i="275"/>
  <c r="H8" i="275"/>
  <c r="D8" i="275"/>
  <c r="I7" i="275"/>
  <c r="H7" i="275"/>
  <c r="D7" i="275"/>
  <c r="I6" i="275"/>
  <c r="H6" i="275"/>
  <c r="D6" i="275"/>
  <c r="I5" i="275"/>
  <c r="H5" i="275"/>
  <c r="D5" i="275"/>
  <c r="I4" i="275"/>
  <c r="B2" i="275"/>
  <c r="H4" i="275"/>
  <c r="D4" i="275"/>
  <c r="F1" i="275"/>
  <c r="D1" i="275"/>
  <c r="C13" i="247"/>
  <c r="C12" i="247"/>
  <c r="C11" i="247"/>
  <c r="C10" i="247"/>
  <c r="C9" i="247"/>
  <c r="C8" i="247"/>
  <c r="C7" i="247"/>
  <c r="C6" i="247"/>
  <c r="C5" i="247"/>
  <c r="H13" i="247"/>
  <c r="H12" i="247"/>
  <c r="H11" i="247"/>
  <c r="H10" i="247"/>
  <c r="H9" i="247"/>
  <c r="H8" i="247"/>
  <c r="H7" i="247"/>
  <c r="H6" i="247"/>
  <c r="H5" i="247"/>
  <c r="A13" i="274"/>
  <c r="A12" i="274"/>
  <c r="A11" i="274"/>
  <c r="A10" i="274"/>
  <c r="A9" i="274"/>
  <c r="A8" i="274"/>
  <c r="A7" i="274"/>
  <c r="A6" i="274"/>
  <c r="A5" i="274"/>
  <c r="I13" i="274"/>
  <c r="H13" i="274"/>
  <c r="D2" i="274"/>
  <c r="L2" i="274"/>
  <c r="D13" i="274"/>
  <c r="I12" i="274"/>
  <c r="H12" i="274"/>
  <c r="D12" i="274"/>
  <c r="I11" i="274"/>
  <c r="H11" i="274"/>
  <c r="D11" i="274"/>
  <c r="I10" i="274"/>
  <c r="H10" i="274"/>
  <c r="D10" i="274"/>
  <c r="I9" i="274"/>
  <c r="H9" i="274"/>
  <c r="D9" i="274"/>
  <c r="I8" i="274"/>
  <c r="H8" i="274"/>
  <c r="D8" i="274"/>
  <c r="I7" i="274"/>
  <c r="H7" i="274"/>
  <c r="D7" i="274"/>
  <c r="I6" i="274"/>
  <c r="H6" i="274"/>
  <c r="D6" i="274"/>
  <c r="I5" i="274"/>
  <c r="H5" i="274"/>
  <c r="D5" i="274"/>
  <c r="I4" i="274"/>
  <c r="B2" i="274"/>
  <c r="H4" i="274"/>
  <c r="D4" i="274"/>
  <c r="F1" i="274"/>
  <c r="D1" i="274"/>
  <c r="C13" i="248"/>
  <c r="C12" i="248"/>
  <c r="C11" i="248"/>
  <c r="C10" i="248"/>
  <c r="C9" i="248"/>
  <c r="C8" i="248"/>
  <c r="C7" i="248"/>
  <c r="C6" i="248"/>
  <c r="C5" i="248"/>
  <c r="H13" i="248"/>
  <c r="H12" i="248"/>
  <c r="H11" i="248"/>
  <c r="H10" i="248"/>
  <c r="H9" i="248"/>
  <c r="H8" i="248"/>
  <c r="H7" i="248"/>
  <c r="H6" i="248"/>
  <c r="H5" i="248"/>
  <c r="A13" i="273"/>
  <c r="A12" i="273"/>
  <c r="A11" i="273"/>
  <c r="A10" i="273"/>
  <c r="A9" i="273"/>
  <c r="A8" i="273"/>
  <c r="A7" i="273"/>
  <c r="A6" i="273"/>
  <c r="A5" i="273"/>
  <c r="I13" i="273"/>
  <c r="H13" i="273"/>
  <c r="D2" i="273"/>
  <c r="L2" i="273"/>
  <c r="D13" i="273"/>
  <c r="I12" i="273"/>
  <c r="H12" i="273"/>
  <c r="D12" i="273"/>
  <c r="I11" i="273"/>
  <c r="H11" i="273"/>
  <c r="D11" i="273"/>
  <c r="I10" i="273"/>
  <c r="H10" i="273"/>
  <c r="D10" i="273"/>
  <c r="I9" i="273"/>
  <c r="H9" i="273"/>
  <c r="D9" i="273"/>
  <c r="I8" i="273"/>
  <c r="H8" i="273"/>
  <c r="D8" i="273"/>
  <c r="I7" i="273"/>
  <c r="H7" i="273"/>
  <c r="D7" i="273"/>
  <c r="I6" i="273"/>
  <c r="H6" i="273"/>
  <c r="D6" i="273"/>
  <c r="I5" i="273"/>
  <c r="H5" i="273"/>
  <c r="D5" i="273"/>
  <c r="I4" i="273"/>
  <c r="B2" i="273"/>
  <c r="H4" i="273"/>
  <c r="D4" i="273"/>
  <c r="F1" i="273"/>
  <c r="D1" i="273"/>
  <c r="C13" i="249"/>
  <c r="C12" i="249"/>
  <c r="C11" i="249"/>
  <c r="C10" i="249"/>
  <c r="C9" i="249"/>
  <c r="C8" i="249"/>
  <c r="C7" i="249"/>
  <c r="C6" i="249"/>
  <c r="C5" i="249"/>
  <c r="H13" i="249"/>
  <c r="H12" i="249"/>
  <c r="H11" i="249"/>
  <c r="H10" i="249"/>
  <c r="H9" i="249"/>
  <c r="H8" i="249"/>
  <c r="H7" i="249"/>
  <c r="H6" i="249"/>
  <c r="H5" i="249"/>
  <c r="A13" i="272"/>
  <c r="A12" i="272"/>
  <c r="A11" i="272"/>
  <c r="A10" i="272"/>
  <c r="A9" i="272"/>
  <c r="A8" i="272"/>
  <c r="A7" i="272"/>
  <c r="A6" i="272"/>
  <c r="A5" i="272"/>
  <c r="I13" i="272"/>
  <c r="H13" i="272"/>
  <c r="D2" i="272"/>
  <c r="L2" i="272"/>
  <c r="D13" i="272"/>
  <c r="I12" i="272"/>
  <c r="H12" i="272"/>
  <c r="D12" i="272"/>
  <c r="I11" i="272"/>
  <c r="H11" i="272"/>
  <c r="D11" i="272"/>
  <c r="I10" i="272"/>
  <c r="H10" i="272"/>
  <c r="D10" i="272"/>
  <c r="I9" i="272"/>
  <c r="H9" i="272"/>
  <c r="D9" i="272"/>
  <c r="I8" i="272"/>
  <c r="H8" i="272"/>
  <c r="D8" i="272"/>
  <c r="I7" i="272"/>
  <c r="H7" i="272"/>
  <c r="D7" i="272"/>
  <c r="I6" i="272"/>
  <c r="H6" i="272"/>
  <c r="D6" i="272"/>
  <c r="I5" i="272"/>
  <c r="H5" i="272"/>
  <c r="D5" i="272"/>
  <c r="I4" i="272"/>
  <c r="B2" i="272"/>
  <c r="H4" i="272"/>
  <c r="D4" i="272"/>
  <c r="F1" i="272"/>
  <c r="D1" i="272"/>
  <c r="C13" i="250"/>
  <c r="C12" i="250"/>
  <c r="C11" i="250"/>
  <c r="C10" i="250"/>
  <c r="C9" i="250"/>
  <c r="C8" i="250"/>
  <c r="C7" i="250"/>
  <c r="C6" i="250"/>
  <c r="C5" i="250"/>
  <c r="H13" i="250"/>
  <c r="H12" i="250"/>
  <c r="H11" i="250"/>
  <c r="H10" i="250"/>
  <c r="H9" i="250"/>
  <c r="H8" i="250"/>
  <c r="H7" i="250"/>
  <c r="H6" i="250"/>
  <c r="H5" i="250"/>
  <c r="A13" i="271"/>
  <c r="A12" i="271"/>
  <c r="A11" i="271"/>
  <c r="A10" i="271"/>
  <c r="A9" i="271"/>
  <c r="A8" i="271"/>
  <c r="A7" i="271"/>
  <c r="A6" i="271"/>
  <c r="A5" i="271"/>
  <c r="I13" i="271"/>
  <c r="H13" i="271"/>
  <c r="D2" i="271"/>
  <c r="L2" i="271"/>
  <c r="D13" i="271"/>
  <c r="I12" i="271"/>
  <c r="H12" i="271"/>
  <c r="D12" i="271"/>
  <c r="I11" i="271"/>
  <c r="H11" i="271"/>
  <c r="D11" i="271"/>
  <c r="I10" i="271"/>
  <c r="H10" i="271"/>
  <c r="D10" i="271"/>
  <c r="I9" i="271"/>
  <c r="H9" i="271"/>
  <c r="D9" i="271"/>
  <c r="I8" i="271"/>
  <c r="H8" i="271"/>
  <c r="D8" i="271"/>
  <c r="I7" i="271"/>
  <c r="H7" i="271"/>
  <c r="D7" i="271"/>
  <c r="I6" i="271"/>
  <c r="H6" i="271"/>
  <c r="D6" i="271"/>
  <c r="I5" i="271"/>
  <c r="H5" i="271"/>
  <c r="D5" i="271"/>
  <c r="I4" i="271"/>
  <c r="B2" i="271"/>
  <c r="H4" i="271"/>
  <c r="D4" i="271"/>
  <c r="F1" i="271"/>
  <c r="D1" i="271"/>
  <c r="C13" i="251"/>
  <c r="C12" i="251"/>
  <c r="C11" i="251"/>
  <c r="C10" i="251"/>
  <c r="C9" i="251"/>
  <c r="C8" i="251"/>
  <c r="C7" i="251"/>
  <c r="C6" i="251"/>
  <c r="C5" i="251"/>
  <c r="H13" i="251"/>
  <c r="H12" i="251"/>
  <c r="H11" i="251"/>
  <c r="H10" i="251"/>
  <c r="H9" i="251"/>
  <c r="H8" i="251"/>
  <c r="H7" i="251"/>
  <c r="H6" i="251"/>
  <c r="H5" i="251"/>
  <c r="A13" i="270"/>
  <c r="A12" i="270"/>
  <c r="A11" i="270"/>
  <c r="A10" i="270"/>
  <c r="A9" i="270"/>
  <c r="A8" i="270"/>
  <c r="A7" i="270"/>
  <c r="A6" i="270"/>
  <c r="A5" i="270"/>
  <c r="I13" i="270"/>
  <c r="H13" i="270"/>
  <c r="D2" i="270"/>
  <c r="L2" i="270"/>
  <c r="D13" i="270"/>
  <c r="I12" i="270"/>
  <c r="H12" i="270"/>
  <c r="D12" i="270"/>
  <c r="I11" i="270"/>
  <c r="H11" i="270"/>
  <c r="D11" i="270"/>
  <c r="I10" i="270"/>
  <c r="H10" i="270"/>
  <c r="D10" i="270"/>
  <c r="I9" i="270"/>
  <c r="H9" i="270"/>
  <c r="D9" i="270"/>
  <c r="I8" i="270"/>
  <c r="H8" i="270"/>
  <c r="D8" i="270"/>
  <c r="I7" i="270"/>
  <c r="H7" i="270"/>
  <c r="D7" i="270"/>
  <c r="I6" i="270"/>
  <c r="H6" i="270"/>
  <c r="D6" i="270"/>
  <c r="I5" i="270"/>
  <c r="H5" i="270"/>
  <c r="D5" i="270"/>
  <c r="I4" i="270"/>
  <c r="B2" i="270"/>
  <c r="H4" i="270"/>
  <c r="D4" i="270"/>
  <c r="F1" i="270"/>
  <c r="D1" i="270"/>
  <c r="A13" i="247"/>
  <c r="A12" i="247"/>
  <c r="A11" i="247"/>
  <c r="A10" i="247"/>
  <c r="A9" i="247"/>
  <c r="A8" i="247"/>
  <c r="A7" i="247"/>
  <c r="A6" i="247"/>
  <c r="A5" i="247"/>
  <c r="A13" i="248"/>
  <c r="A12" i="248"/>
  <c r="A11" i="248"/>
  <c r="A10" i="248"/>
  <c r="A9" i="248"/>
  <c r="A8" i="248"/>
  <c r="A7" i="248"/>
  <c r="A6" i="248"/>
  <c r="A5" i="248"/>
  <c r="A13" i="249"/>
  <c r="A12" i="249"/>
  <c r="A11" i="249"/>
  <c r="A10" i="249"/>
  <c r="A9" i="249"/>
  <c r="A8" i="249"/>
  <c r="A7" i="249"/>
  <c r="A6" i="249"/>
  <c r="A5" i="249"/>
  <c r="A13" i="250"/>
  <c r="A12" i="250"/>
  <c r="A11" i="250"/>
  <c r="A10" i="250"/>
  <c r="A9" i="250"/>
  <c r="A8" i="250"/>
  <c r="A7" i="250"/>
  <c r="A6" i="250"/>
  <c r="A5" i="250"/>
  <c r="A13" i="251"/>
  <c r="A12" i="251"/>
  <c r="A11" i="251"/>
  <c r="A10" i="251"/>
  <c r="A9" i="251"/>
  <c r="A8" i="251"/>
  <c r="A5" i="251"/>
  <c r="A7" i="251"/>
  <c r="A6" i="251"/>
  <c r="L2" i="99"/>
  <c r="L2" i="98"/>
  <c r="L2" i="97"/>
  <c r="L2" i="95"/>
  <c r="L2" i="94"/>
  <c r="L2" i="93"/>
  <c r="L2" i="92"/>
  <c r="L2" i="91"/>
  <c r="L2" i="90"/>
  <c r="L2" i="89"/>
  <c r="I4" i="216"/>
  <c r="B2" i="216"/>
  <c r="H4" i="216"/>
  <c r="D2" i="216"/>
  <c r="L2" i="216"/>
  <c r="D5" i="216"/>
  <c r="D6" i="216"/>
  <c r="D7" i="216"/>
  <c r="D8" i="216"/>
  <c r="D9" i="216"/>
  <c r="D10" i="216"/>
  <c r="D11" i="216"/>
  <c r="D12" i="216"/>
  <c r="D13" i="216"/>
  <c r="D4" i="216"/>
  <c r="I4" i="215"/>
  <c r="B2" i="215"/>
  <c r="H4" i="215"/>
  <c r="D2" i="215"/>
  <c r="L2" i="215"/>
  <c r="D5" i="215"/>
  <c r="D6" i="215"/>
  <c r="D7" i="215"/>
  <c r="D8" i="215"/>
  <c r="D9" i="215"/>
  <c r="D10" i="215"/>
  <c r="D11" i="215"/>
  <c r="D12" i="215"/>
  <c r="D13" i="215"/>
  <c r="D4" i="215"/>
  <c r="I4" i="214"/>
  <c r="B2" i="214"/>
  <c r="H4" i="214"/>
  <c r="D2" i="214"/>
  <c r="L2" i="214"/>
  <c r="D5" i="214"/>
  <c r="D6" i="214"/>
  <c r="D7" i="214"/>
  <c r="D8" i="214"/>
  <c r="D9" i="214"/>
  <c r="D10" i="214"/>
  <c r="D11" i="214"/>
  <c r="D12" i="214"/>
  <c r="D4" i="214"/>
  <c r="I4" i="213"/>
  <c r="B2" i="213"/>
  <c r="H4" i="213"/>
  <c r="D2" i="213"/>
  <c r="L2" i="213"/>
  <c r="D5" i="213"/>
  <c r="D6" i="213"/>
  <c r="D7" i="213"/>
  <c r="D8" i="213"/>
  <c r="D9" i="213"/>
  <c r="D10" i="213"/>
  <c r="D11" i="213"/>
  <c r="D12" i="213"/>
  <c r="D13" i="213"/>
  <c r="D4" i="213"/>
  <c r="I4" i="212"/>
  <c r="B2" i="212"/>
  <c r="H4" i="212"/>
  <c r="D2" i="212"/>
  <c r="L2" i="212"/>
  <c r="D5" i="212"/>
  <c r="D6" i="212"/>
  <c r="D7" i="212"/>
  <c r="D8" i="212"/>
  <c r="D9" i="212"/>
  <c r="D10" i="212"/>
  <c r="D11" i="212"/>
  <c r="D12" i="212"/>
  <c r="D13" i="212"/>
  <c r="D4" i="212"/>
  <c r="H12" i="214"/>
  <c r="H11" i="214"/>
  <c r="H10" i="214"/>
  <c r="H9" i="214"/>
  <c r="H8" i="214"/>
  <c r="H7" i="214"/>
  <c r="H6" i="214"/>
  <c r="H5" i="214"/>
  <c r="H13" i="213"/>
  <c r="H12" i="213"/>
  <c r="H11" i="213"/>
  <c r="H10" i="213"/>
  <c r="H9" i="213"/>
  <c r="H8" i="213"/>
  <c r="H7" i="213"/>
  <c r="H6" i="213"/>
  <c r="H5" i="213"/>
  <c r="H5" i="212"/>
  <c r="H6" i="212"/>
  <c r="H7" i="212"/>
  <c r="H8" i="212"/>
  <c r="H9" i="212"/>
  <c r="H10" i="212"/>
  <c r="H11" i="212"/>
  <c r="H12" i="212"/>
  <c r="H13" i="212"/>
  <c r="B13" i="267"/>
  <c r="B12" i="267"/>
  <c r="B11" i="267"/>
  <c r="B10" i="267"/>
  <c r="B9" i="267"/>
  <c r="B8" i="267"/>
  <c r="B7" i="267"/>
  <c r="B6" i="267"/>
  <c r="B11" i="264"/>
  <c r="B10" i="264"/>
  <c r="B9" i="264"/>
  <c r="B8" i="264"/>
  <c r="B7" i="264"/>
  <c r="B6" i="264"/>
  <c r="B5" i="264"/>
  <c r="B11" i="265"/>
  <c r="B10" i="265"/>
  <c r="B9" i="265"/>
  <c r="B8" i="265"/>
  <c r="B7" i="265"/>
  <c r="B6" i="265"/>
  <c r="B5" i="265"/>
  <c r="B16" i="266"/>
  <c r="B15" i="266"/>
  <c r="B14" i="266"/>
  <c r="B13" i="266"/>
  <c r="B12" i="266"/>
  <c r="B11" i="266"/>
  <c r="B10" i="266"/>
  <c r="B9" i="266"/>
  <c r="B8" i="266"/>
  <c r="B7" i="266"/>
  <c r="B6" i="266"/>
  <c r="B5" i="266"/>
  <c r="B5" i="267"/>
  <c r="I6" i="268"/>
  <c r="B2" i="268"/>
  <c r="H6" i="268"/>
  <c r="H5" i="268"/>
  <c r="I5" i="268"/>
  <c r="A5" i="268"/>
  <c r="H4" i="268"/>
  <c r="D2" i="268"/>
  <c r="L2" i="268"/>
  <c r="D6" i="268"/>
  <c r="A6" i="268"/>
  <c r="D5" i="268"/>
  <c r="I4" i="268"/>
  <c r="D4" i="268"/>
  <c r="I6" i="269"/>
  <c r="B2" i="269"/>
  <c r="H6" i="269"/>
  <c r="I5" i="269"/>
  <c r="H5" i="269"/>
  <c r="M12" i="144"/>
  <c r="L12" i="144"/>
  <c r="O12" i="144"/>
  <c r="N12" i="144"/>
  <c r="M11" i="144"/>
  <c r="L11" i="144"/>
  <c r="O11" i="144"/>
  <c r="N11" i="144"/>
  <c r="M10" i="144"/>
  <c r="L10" i="144"/>
  <c r="O10" i="144"/>
  <c r="N10" i="144"/>
  <c r="M9" i="144"/>
  <c r="L9" i="144"/>
  <c r="O9" i="144"/>
  <c r="N9" i="144"/>
  <c r="M8" i="144"/>
  <c r="L8" i="144"/>
  <c r="O8" i="144"/>
  <c r="N8" i="144"/>
  <c r="M7" i="144"/>
  <c r="L7" i="144"/>
  <c r="O7" i="144"/>
  <c r="N7" i="144"/>
  <c r="M6" i="144"/>
  <c r="L6" i="144"/>
  <c r="O6" i="144"/>
  <c r="N6" i="144"/>
  <c r="M5" i="144"/>
  <c r="L5" i="144"/>
  <c r="O5" i="144"/>
  <c r="N5" i="144"/>
  <c r="M4" i="144"/>
  <c r="L4" i="144"/>
  <c r="O4" i="144"/>
  <c r="N4" i="144"/>
  <c r="I132" i="144"/>
  <c r="I131" i="144"/>
  <c r="I130" i="144"/>
  <c r="I129" i="144"/>
  <c r="I128" i="144"/>
  <c r="I127" i="144"/>
  <c r="I126" i="144"/>
  <c r="I125" i="144"/>
  <c r="I124" i="144"/>
  <c r="I122" i="144"/>
  <c r="I121" i="144"/>
  <c r="I120" i="144"/>
  <c r="I119" i="144"/>
  <c r="I118" i="144"/>
  <c r="I117" i="144"/>
  <c r="I116" i="144"/>
  <c r="I115" i="144"/>
  <c r="I114" i="144"/>
  <c r="I112" i="144"/>
  <c r="I111" i="144"/>
  <c r="I110" i="144"/>
  <c r="I109" i="144"/>
  <c r="I108" i="144"/>
  <c r="I107" i="144"/>
  <c r="I106" i="144"/>
  <c r="I105" i="144"/>
  <c r="I104" i="144"/>
  <c r="I102" i="144"/>
  <c r="I101" i="144"/>
  <c r="I100" i="144"/>
  <c r="I99" i="144"/>
  <c r="I98" i="144"/>
  <c r="I97" i="144"/>
  <c r="I96" i="144"/>
  <c r="I95" i="144"/>
  <c r="I94" i="144"/>
  <c r="I92" i="144"/>
  <c r="I91" i="144"/>
  <c r="I90" i="144"/>
  <c r="I89" i="144"/>
  <c r="I88" i="144"/>
  <c r="I87" i="144"/>
  <c r="I86" i="144"/>
  <c r="I85" i="144"/>
  <c r="I84" i="144"/>
  <c r="I74" i="144"/>
  <c r="I82" i="144"/>
  <c r="I81" i="144"/>
  <c r="I80" i="144"/>
  <c r="I79" i="144"/>
  <c r="I78" i="144"/>
  <c r="I77" i="144"/>
  <c r="I76" i="144"/>
  <c r="I75" i="144"/>
  <c r="I72" i="144"/>
  <c r="I71" i="144"/>
  <c r="I70" i="144"/>
  <c r="I69" i="144"/>
  <c r="I68" i="144"/>
  <c r="I67" i="144"/>
  <c r="I66" i="144"/>
  <c r="I65" i="144"/>
  <c r="I64" i="144"/>
  <c r="I62" i="144"/>
  <c r="I61" i="144"/>
  <c r="I60" i="144"/>
  <c r="I59" i="144"/>
  <c r="I58" i="144"/>
  <c r="I57" i="144"/>
  <c r="I56" i="144"/>
  <c r="I55" i="144"/>
  <c r="I54" i="144"/>
  <c r="I52" i="144"/>
  <c r="I51" i="144"/>
  <c r="I50" i="144"/>
  <c r="I49" i="144"/>
  <c r="I48" i="144"/>
  <c r="I47" i="144"/>
  <c r="I46" i="144"/>
  <c r="I45" i="144"/>
  <c r="I44" i="144"/>
  <c r="I42" i="144"/>
  <c r="I41" i="144"/>
  <c r="I40" i="144"/>
  <c r="I39" i="144"/>
  <c r="I38" i="144"/>
  <c r="I37" i="144"/>
  <c r="I36" i="144"/>
  <c r="I35" i="144"/>
  <c r="I34" i="144"/>
  <c r="I12" i="144"/>
  <c r="I11" i="144"/>
  <c r="I10" i="144"/>
  <c r="I9" i="144"/>
  <c r="I8" i="144"/>
  <c r="I7" i="144"/>
  <c r="I6" i="144"/>
  <c r="I5" i="144"/>
  <c r="I4" i="144"/>
  <c r="R12" i="144"/>
  <c r="R11" i="144"/>
  <c r="R10" i="144"/>
  <c r="R9" i="144"/>
  <c r="R8" i="144"/>
  <c r="R7" i="144"/>
  <c r="R6" i="144"/>
  <c r="R5" i="144"/>
  <c r="R4" i="144"/>
  <c r="I32" i="144"/>
  <c r="I31" i="144"/>
  <c r="I30" i="144"/>
  <c r="I29" i="144"/>
  <c r="I28" i="144"/>
  <c r="I27" i="144"/>
  <c r="I26" i="144"/>
  <c r="I25" i="144"/>
  <c r="I24" i="144"/>
  <c r="I22" i="144"/>
  <c r="I21" i="144"/>
  <c r="I20" i="144"/>
  <c r="I19" i="144"/>
  <c r="I18" i="144"/>
  <c r="I17" i="144"/>
  <c r="I16" i="144"/>
  <c r="I15" i="144"/>
  <c r="I14" i="144"/>
  <c r="I101" i="179"/>
  <c r="I100" i="179"/>
  <c r="I99" i="179"/>
  <c r="I98" i="179"/>
  <c r="I97" i="179"/>
  <c r="I96" i="179"/>
  <c r="I95" i="179"/>
  <c r="I94" i="179"/>
  <c r="H93" i="179"/>
  <c r="G93" i="179"/>
  <c r="I93" i="179"/>
  <c r="G81" i="179"/>
  <c r="G82" i="179"/>
  <c r="G92" i="179"/>
  <c r="H92" i="179"/>
  <c r="I92" i="179"/>
  <c r="I4" i="115"/>
  <c r="H4" i="115"/>
  <c r="I90" i="179"/>
  <c r="I89" i="179"/>
  <c r="I88" i="179"/>
  <c r="I87" i="179"/>
  <c r="I86" i="179"/>
  <c r="I85" i="179"/>
  <c r="I84" i="179"/>
  <c r="I83" i="179"/>
  <c r="H82" i="179"/>
  <c r="I82" i="179"/>
  <c r="H81" i="179"/>
  <c r="I81" i="179"/>
  <c r="I79" i="179"/>
  <c r="I78" i="179"/>
  <c r="I77" i="179"/>
  <c r="I76" i="179"/>
  <c r="I75" i="179"/>
  <c r="I74" i="179"/>
  <c r="I73" i="179"/>
  <c r="I72" i="179"/>
  <c r="H71" i="179"/>
  <c r="G71" i="179"/>
  <c r="I71" i="179"/>
  <c r="H70" i="179"/>
  <c r="G70" i="179"/>
  <c r="I70" i="179"/>
  <c r="I68" i="179"/>
  <c r="I67" i="179"/>
  <c r="I66" i="179"/>
  <c r="I65" i="179"/>
  <c r="I64" i="179"/>
  <c r="I63" i="179"/>
  <c r="I62" i="179"/>
  <c r="I61" i="179"/>
  <c r="H60" i="179"/>
  <c r="G60" i="179"/>
  <c r="I60" i="179"/>
  <c r="H59" i="179"/>
  <c r="G59" i="179"/>
  <c r="I59" i="179"/>
  <c r="I57" i="179"/>
  <c r="I56" i="179"/>
  <c r="I55" i="179"/>
  <c r="I54" i="179"/>
  <c r="I53" i="179"/>
  <c r="I52" i="179"/>
  <c r="I51" i="179"/>
  <c r="I50" i="179"/>
  <c r="H49" i="179"/>
  <c r="G49" i="179"/>
  <c r="I49" i="179"/>
  <c r="H48" i="179"/>
  <c r="G48" i="179"/>
  <c r="I48" i="179"/>
  <c r="I46" i="179"/>
  <c r="I45" i="179"/>
  <c r="I44" i="179"/>
  <c r="I43" i="179"/>
  <c r="I42" i="179"/>
  <c r="I41" i="179"/>
  <c r="I40" i="179"/>
  <c r="I39" i="179"/>
  <c r="H38" i="179"/>
  <c r="G38" i="179"/>
  <c r="I38" i="179"/>
  <c r="H37" i="179"/>
  <c r="G37" i="179"/>
  <c r="I37" i="179"/>
  <c r="I35" i="179"/>
  <c r="I34" i="179"/>
  <c r="I33" i="179"/>
  <c r="I32" i="179"/>
  <c r="I31" i="179"/>
  <c r="I30" i="179"/>
  <c r="I29" i="179"/>
  <c r="I28" i="179"/>
  <c r="H27" i="179"/>
  <c r="G27" i="179"/>
  <c r="I27" i="179"/>
  <c r="H26" i="179"/>
  <c r="G26" i="179"/>
  <c r="I26" i="179"/>
  <c r="I24" i="179"/>
  <c r="I23" i="179"/>
  <c r="I22" i="179"/>
  <c r="I21" i="179"/>
  <c r="I20" i="179"/>
  <c r="I19" i="179"/>
  <c r="I18" i="179"/>
  <c r="I17" i="179"/>
  <c r="H16" i="179"/>
  <c r="G16" i="179"/>
  <c r="I16" i="179"/>
  <c r="H15" i="179"/>
  <c r="G15" i="179"/>
  <c r="I15" i="179"/>
  <c r="L13" i="179"/>
  <c r="K13" i="179"/>
  <c r="P13" i="179"/>
  <c r="L12" i="179"/>
  <c r="K12" i="179"/>
  <c r="P12" i="179"/>
  <c r="L11" i="179"/>
  <c r="K11" i="179"/>
  <c r="P11" i="179"/>
  <c r="L10" i="179"/>
  <c r="K10" i="179"/>
  <c r="P10" i="179"/>
  <c r="L9" i="179"/>
  <c r="K9" i="179"/>
  <c r="P9" i="179"/>
  <c r="K8" i="179"/>
  <c r="L8" i="179"/>
  <c r="P8" i="179"/>
  <c r="L7" i="179"/>
  <c r="K7" i="179"/>
  <c r="P7" i="179"/>
  <c r="G116" i="179"/>
  <c r="H116" i="179"/>
  <c r="G127" i="179"/>
  <c r="H127" i="179"/>
  <c r="L6" i="179"/>
  <c r="K6" i="179"/>
  <c r="P6" i="179"/>
  <c r="H5" i="179"/>
  <c r="G104" i="179"/>
  <c r="H104" i="179"/>
  <c r="G115" i="179"/>
  <c r="H115" i="179"/>
  <c r="G126" i="179"/>
  <c r="H126" i="179"/>
  <c r="L5" i="179"/>
  <c r="G5" i="179"/>
  <c r="K5" i="179"/>
  <c r="P5" i="179"/>
  <c r="H4" i="179"/>
  <c r="G103" i="179"/>
  <c r="H103" i="179"/>
  <c r="G114" i="179"/>
  <c r="H114" i="179"/>
  <c r="G125" i="179"/>
  <c r="H125" i="179"/>
  <c r="L4" i="179"/>
  <c r="G4" i="179"/>
  <c r="K4" i="179"/>
  <c r="P4" i="179"/>
  <c r="I13" i="179"/>
  <c r="I12" i="179"/>
  <c r="I11" i="179"/>
  <c r="I10" i="179"/>
  <c r="I9" i="179"/>
  <c r="I8" i="179"/>
  <c r="I7" i="179"/>
  <c r="I6" i="179"/>
  <c r="F5" i="179"/>
  <c r="I5" i="179"/>
  <c r="I67" i="176"/>
  <c r="I66" i="176"/>
  <c r="I65" i="176"/>
  <c r="I64" i="176"/>
  <c r="I63" i="176"/>
  <c r="I62" i="176"/>
  <c r="I61" i="176"/>
  <c r="I60" i="176"/>
  <c r="I59" i="176"/>
  <c r="I58" i="176"/>
  <c r="I57" i="176"/>
  <c r="I56" i="176"/>
  <c r="I54" i="176"/>
  <c r="I53" i="176"/>
  <c r="I52" i="176"/>
  <c r="I51" i="176"/>
  <c r="I50" i="176"/>
  <c r="I49" i="176"/>
  <c r="I48" i="176"/>
  <c r="I47" i="176"/>
  <c r="I46" i="176"/>
  <c r="I45" i="176"/>
  <c r="I44" i="176"/>
  <c r="I43" i="176"/>
  <c r="I41" i="176"/>
  <c r="I40" i="176"/>
  <c r="I39" i="176"/>
  <c r="I38" i="176"/>
  <c r="I37" i="176"/>
  <c r="I36" i="176"/>
  <c r="I35" i="176"/>
  <c r="I34" i="176"/>
  <c r="I33" i="176"/>
  <c r="I32" i="176"/>
  <c r="I31" i="176"/>
  <c r="I30" i="176"/>
  <c r="I28" i="176"/>
  <c r="I27" i="176"/>
  <c r="I26" i="176"/>
  <c r="I25" i="176"/>
  <c r="I24" i="176"/>
  <c r="I23" i="176"/>
  <c r="I22" i="176"/>
  <c r="I21" i="176"/>
  <c r="I20" i="176"/>
  <c r="I19" i="176"/>
  <c r="I18" i="176"/>
  <c r="I17" i="176"/>
  <c r="L15" i="176"/>
  <c r="K15" i="176"/>
  <c r="P15" i="176"/>
  <c r="L14" i="176"/>
  <c r="K14" i="176"/>
  <c r="P14" i="176"/>
  <c r="L13" i="176"/>
  <c r="K13" i="176"/>
  <c r="P13" i="176"/>
  <c r="L12" i="176"/>
  <c r="K12" i="176"/>
  <c r="P12" i="176"/>
  <c r="L11" i="176"/>
  <c r="K11" i="176"/>
  <c r="P11" i="176"/>
  <c r="L10" i="176"/>
  <c r="K10" i="176"/>
  <c r="P10" i="176"/>
  <c r="L9" i="176"/>
  <c r="K9" i="176"/>
  <c r="P9" i="176"/>
  <c r="L8" i="176"/>
  <c r="K8" i="176"/>
  <c r="P8" i="176"/>
  <c r="L7" i="176"/>
  <c r="K7" i="176"/>
  <c r="P7" i="176"/>
  <c r="L6" i="176"/>
  <c r="K6" i="176"/>
  <c r="P6" i="176"/>
  <c r="L5" i="176"/>
  <c r="K5" i="176"/>
  <c r="P5" i="176"/>
  <c r="L4" i="176"/>
  <c r="K4" i="176"/>
  <c r="P4" i="176"/>
  <c r="I57" i="169"/>
  <c r="I56" i="169"/>
  <c r="I55" i="169"/>
  <c r="I54" i="169"/>
  <c r="I53" i="169"/>
  <c r="I52" i="169"/>
  <c r="I51" i="169"/>
  <c r="I50" i="169"/>
  <c r="I49" i="169"/>
  <c r="I48" i="169"/>
  <c r="I46" i="169"/>
  <c r="I45" i="169"/>
  <c r="I44" i="169"/>
  <c r="I43" i="169"/>
  <c r="I42" i="169"/>
  <c r="I41" i="169"/>
  <c r="I40" i="169"/>
  <c r="I39" i="169"/>
  <c r="I38" i="169"/>
  <c r="I37" i="169"/>
  <c r="I35" i="169"/>
  <c r="I34" i="169"/>
  <c r="I33" i="169"/>
  <c r="I32" i="169"/>
  <c r="I31" i="169"/>
  <c r="I30" i="169"/>
  <c r="I29" i="169"/>
  <c r="I28" i="169"/>
  <c r="I27" i="169"/>
  <c r="I26" i="169"/>
  <c r="I24" i="169"/>
  <c r="I23" i="169"/>
  <c r="I22" i="169"/>
  <c r="I21" i="169"/>
  <c r="I20" i="169"/>
  <c r="I19" i="169"/>
  <c r="I18" i="169"/>
  <c r="I17" i="169"/>
  <c r="I16" i="169"/>
  <c r="I15" i="169"/>
  <c r="L13" i="169"/>
  <c r="K13" i="169"/>
  <c r="P13" i="169"/>
  <c r="L12" i="169"/>
  <c r="K12" i="169"/>
  <c r="P12" i="169"/>
  <c r="L11" i="169"/>
  <c r="K11" i="169"/>
  <c r="P11" i="169"/>
  <c r="L10" i="169"/>
  <c r="K10" i="169"/>
  <c r="P10" i="169"/>
  <c r="L9" i="169"/>
  <c r="K9" i="169"/>
  <c r="P9" i="169"/>
  <c r="L8" i="169"/>
  <c r="K8" i="169"/>
  <c r="P8" i="169"/>
  <c r="L7" i="169"/>
  <c r="K7" i="169"/>
  <c r="P7" i="169"/>
  <c r="L6" i="169"/>
  <c r="K6" i="169"/>
  <c r="P6" i="169"/>
  <c r="L5" i="169"/>
  <c r="K5" i="169"/>
  <c r="P5" i="169"/>
  <c r="L4" i="169"/>
  <c r="K4" i="169"/>
  <c r="P4" i="169"/>
  <c r="I4" i="208"/>
  <c r="B2" i="208"/>
  <c r="H4" i="208"/>
  <c r="D2" i="208"/>
  <c r="I4" i="211"/>
  <c r="B2" i="211"/>
  <c r="H4" i="211"/>
  <c r="D2" i="211"/>
  <c r="I4" i="210"/>
  <c r="D2" i="210"/>
  <c r="L2" i="210"/>
  <c r="D5" i="210"/>
  <c r="D6" i="210"/>
  <c r="D7" i="210"/>
  <c r="D8" i="210"/>
  <c r="D9" i="210"/>
  <c r="D10" i="210"/>
  <c r="D11" i="210"/>
  <c r="D12" i="210"/>
  <c r="D13" i="210"/>
  <c r="I5" i="210"/>
  <c r="I6" i="210"/>
  <c r="I7" i="210"/>
  <c r="I8" i="210"/>
  <c r="I9" i="210"/>
  <c r="I10" i="210"/>
  <c r="I11" i="210"/>
  <c r="I12" i="210"/>
  <c r="I13" i="210"/>
  <c r="D4" i="210"/>
  <c r="I7" i="214"/>
  <c r="D2" i="118"/>
  <c r="F2" i="118"/>
  <c r="D1" i="269"/>
  <c r="D2" i="269"/>
  <c r="L2" i="269"/>
  <c r="D6" i="269"/>
  <c r="A6" i="269"/>
  <c r="D5" i="269"/>
  <c r="A5" i="269"/>
  <c r="I4" i="269"/>
  <c r="H4" i="269"/>
  <c r="D4" i="269"/>
  <c r="F1" i="269"/>
  <c r="D1" i="268"/>
  <c r="B2" i="267"/>
  <c r="D2" i="241"/>
  <c r="D1" i="241"/>
  <c r="D2" i="242"/>
  <c r="D1" i="242"/>
  <c r="D2" i="243"/>
  <c r="D1" i="243"/>
  <c r="D2" i="245"/>
  <c r="D1" i="245"/>
  <c r="D2" i="246"/>
  <c r="D1" i="246"/>
  <c r="D2" i="247"/>
  <c r="D1" i="247"/>
  <c r="D2" i="248"/>
  <c r="D1" i="248"/>
  <c r="D2" i="249"/>
  <c r="D1" i="249"/>
  <c r="D2" i="250"/>
  <c r="D1" i="250"/>
  <c r="D2" i="251"/>
  <c r="D1" i="251"/>
  <c r="D2" i="252"/>
  <c r="D1" i="252"/>
  <c r="D2" i="253"/>
  <c r="D1" i="253"/>
  <c r="D2" i="254"/>
  <c r="D1" i="254"/>
  <c r="D2" i="255"/>
  <c r="D1" i="255"/>
  <c r="D2" i="256"/>
  <c r="D1" i="256"/>
  <c r="D2" i="257"/>
  <c r="D1" i="257"/>
  <c r="D2" i="258"/>
  <c r="D1" i="258"/>
  <c r="D2" i="259"/>
  <c r="D1" i="259"/>
  <c r="D2" i="260"/>
  <c r="D1" i="260"/>
  <c r="D2" i="261"/>
  <c r="D1" i="261"/>
  <c r="D2" i="262"/>
  <c r="D1" i="262"/>
  <c r="D2" i="263"/>
  <c r="D1" i="263"/>
  <c r="D2" i="264"/>
  <c r="D1" i="264"/>
  <c r="D2" i="265"/>
  <c r="D1" i="265"/>
  <c r="D2" i="266"/>
  <c r="D1" i="266"/>
  <c r="D2" i="267"/>
  <c r="D1" i="267"/>
  <c r="I9" i="267"/>
  <c r="H9" i="267"/>
  <c r="I13" i="267"/>
  <c r="H13" i="267"/>
  <c r="L2" i="267"/>
  <c r="D13" i="267"/>
  <c r="I12" i="267"/>
  <c r="H12" i="267"/>
  <c r="D12" i="267"/>
  <c r="I11" i="267"/>
  <c r="H11" i="267"/>
  <c r="D11" i="267"/>
  <c r="I10" i="267"/>
  <c r="H10" i="267"/>
  <c r="D10" i="267"/>
  <c r="D9" i="267"/>
  <c r="I8" i="267"/>
  <c r="H8" i="267"/>
  <c r="D8" i="267"/>
  <c r="I7" i="267"/>
  <c r="H7" i="267"/>
  <c r="D7" i="267"/>
  <c r="I6" i="267"/>
  <c r="H6" i="267"/>
  <c r="D6" i="267"/>
  <c r="I5" i="267"/>
  <c r="H5" i="267"/>
  <c r="D5" i="267"/>
  <c r="I4" i="267"/>
  <c r="H4" i="267"/>
  <c r="D4" i="267"/>
  <c r="F1" i="267"/>
  <c r="I16" i="266"/>
  <c r="H16" i="266"/>
  <c r="I14" i="266"/>
  <c r="H14" i="266"/>
  <c r="L2" i="266"/>
  <c r="D14" i="266"/>
  <c r="I13" i="266"/>
  <c r="H13" i="266"/>
  <c r="D13" i="266"/>
  <c r="I12" i="266"/>
  <c r="H12" i="266"/>
  <c r="D12" i="266"/>
  <c r="I11" i="266"/>
  <c r="H11" i="266"/>
  <c r="D11" i="266"/>
  <c r="I10" i="266"/>
  <c r="H10" i="266"/>
  <c r="D10" i="266"/>
  <c r="I9" i="266"/>
  <c r="H9" i="266"/>
  <c r="D9" i="266"/>
  <c r="I8" i="266"/>
  <c r="H8" i="266"/>
  <c r="D8" i="266"/>
  <c r="D16" i="266"/>
  <c r="I15" i="266"/>
  <c r="H15" i="266"/>
  <c r="D15" i="266"/>
  <c r="I7" i="266"/>
  <c r="H7" i="266"/>
  <c r="D7" i="266"/>
  <c r="I6" i="266"/>
  <c r="H6" i="266"/>
  <c r="D6" i="266"/>
  <c r="I5" i="266"/>
  <c r="H5" i="266"/>
  <c r="D5" i="266"/>
  <c r="I4" i="266"/>
  <c r="D4" i="266"/>
  <c r="I11" i="265"/>
  <c r="H11" i="265"/>
  <c r="L2" i="265"/>
  <c r="D11" i="265"/>
  <c r="I10" i="265"/>
  <c r="H10" i="265"/>
  <c r="D10" i="265"/>
  <c r="I9" i="265"/>
  <c r="H9" i="265"/>
  <c r="D9" i="265"/>
  <c r="I8" i="265"/>
  <c r="H8" i="265"/>
  <c r="D8" i="265"/>
  <c r="I7" i="265"/>
  <c r="H7" i="265"/>
  <c r="D7" i="265"/>
  <c r="I6" i="265"/>
  <c r="H6" i="265"/>
  <c r="D6" i="265"/>
  <c r="I5" i="265"/>
  <c r="H5" i="265"/>
  <c r="D5" i="265"/>
  <c r="I4" i="265"/>
  <c r="D4" i="265"/>
  <c r="I4" i="264"/>
  <c r="I4" i="263"/>
  <c r="I4" i="262"/>
  <c r="I4" i="261"/>
  <c r="I4" i="260"/>
  <c r="I4" i="259"/>
  <c r="I4" i="258"/>
  <c r="I4" i="257"/>
  <c r="I4" i="256"/>
  <c r="I4" i="255"/>
  <c r="I4" i="254"/>
  <c r="I4" i="253"/>
  <c r="I4" i="252"/>
  <c r="I4" i="251"/>
  <c r="I4" i="250"/>
  <c r="I4" i="249"/>
  <c r="I4" i="248"/>
  <c r="I4" i="247"/>
  <c r="I4" i="246"/>
  <c r="I4" i="245"/>
  <c r="I4" i="243"/>
  <c r="I4" i="242"/>
  <c r="I4" i="241"/>
  <c r="I4" i="240"/>
  <c r="I4" i="239"/>
  <c r="I4" i="238"/>
  <c r="I4" i="237"/>
  <c r="I6" i="264"/>
  <c r="H6" i="264"/>
  <c r="I11" i="264"/>
  <c r="H11" i="264"/>
  <c r="L2" i="264"/>
  <c r="D11" i="264"/>
  <c r="I10" i="264"/>
  <c r="H10" i="264"/>
  <c r="D10" i="264"/>
  <c r="I9" i="264"/>
  <c r="H9" i="264"/>
  <c r="D9" i="264"/>
  <c r="I8" i="264"/>
  <c r="H8" i="264"/>
  <c r="D8" i="264"/>
  <c r="I7" i="264"/>
  <c r="H7" i="264"/>
  <c r="D7" i="264"/>
  <c r="D6" i="264"/>
  <c r="I5" i="264"/>
  <c r="H5" i="264"/>
  <c r="D5" i="264"/>
  <c r="D4" i="264"/>
  <c r="I14" i="263"/>
  <c r="H14" i="263"/>
  <c r="L2" i="263"/>
  <c r="D14" i="263"/>
  <c r="I13" i="263"/>
  <c r="H13" i="263"/>
  <c r="D13" i="263"/>
  <c r="I12" i="263"/>
  <c r="H12" i="263"/>
  <c r="D12" i="263"/>
  <c r="I11" i="263"/>
  <c r="H11" i="263"/>
  <c r="D11" i="263"/>
  <c r="I10" i="263"/>
  <c r="H10" i="263"/>
  <c r="D10" i="263"/>
  <c r="I9" i="263"/>
  <c r="H9" i="263"/>
  <c r="D9" i="263"/>
  <c r="I8" i="263"/>
  <c r="H8" i="263"/>
  <c r="D8" i="263"/>
  <c r="I7" i="263"/>
  <c r="H7" i="263"/>
  <c r="D7" i="263"/>
  <c r="I6" i="263"/>
  <c r="H6" i="263"/>
  <c r="D6" i="263"/>
  <c r="I5" i="263"/>
  <c r="H5" i="263"/>
  <c r="D5" i="263"/>
  <c r="D4" i="263"/>
  <c r="I14" i="262"/>
  <c r="H14" i="262"/>
  <c r="L2" i="262"/>
  <c r="D14" i="262"/>
  <c r="I13" i="262"/>
  <c r="H13" i="262"/>
  <c r="D13" i="262"/>
  <c r="I12" i="262"/>
  <c r="H12" i="262"/>
  <c r="D12" i="262"/>
  <c r="I11" i="262"/>
  <c r="H11" i="262"/>
  <c r="D11" i="262"/>
  <c r="I10" i="262"/>
  <c r="H10" i="262"/>
  <c r="D10" i="262"/>
  <c r="I9" i="262"/>
  <c r="H9" i="262"/>
  <c r="D9" i="262"/>
  <c r="I8" i="262"/>
  <c r="H8" i="262"/>
  <c r="D8" i="262"/>
  <c r="I7" i="262"/>
  <c r="H7" i="262"/>
  <c r="D7" i="262"/>
  <c r="I6" i="262"/>
  <c r="H6" i="262"/>
  <c r="D6" i="262"/>
  <c r="I5" i="262"/>
  <c r="H5" i="262"/>
  <c r="D5" i="262"/>
  <c r="D4" i="262"/>
  <c r="I14" i="261"/>
  <c r="H14" i="261"/>
  <c r="L2" i="261"/>
  <c r="D14" i="261"/>
  <c r="I13" i="261"/>
  <c r="H13" i="261"/>
  <c r="D13" i="261"/>
  <c r="I12" i="261"/>
  <c r="H12" i="261"/>
  <c r="D12" i="261"/>
  <c r="I11" i="261"/>
  <c r="H11" i="261"/>
  <c r="D11" i="261"/>
  <c r="I10" i="261"/>
  <c r="H10" i="261"/>
  <c r="D10" i="261"/>
  <c r="I9" i="261"/>
  <c r="H9" i="261"/>
  <c r="D9" i="261"/>
  <c r="I8" i="261"/>
  <c r="H8" i="261"/>
  <c r="D8" i="261"/>
  <c r="I7" i="261"/>
  <c r="H7" i="261"/>
  <c r="D7" i="261"/>
  <c r="I6" i="261"/>
  <c r="H6" i="261"/>
  <c r="D6" i="261"/>
  <c r="I5" i="261"/>
  <c r="H5" i="261"/>
  <c r="D5" i="261"/>
  <c r="D4" i="261"/>
  <c r="I14" i="260"/>
  <c r="H14" i="260"/>
  <c r="L2" i="260"/>
  <c r="D14" i="260"/>
  <c r="I13" i="260"/>
  <c r="H13" i="260"/>
  <c r="D13" i="260"/>
  <c r="I12" i="260"/>
  <c r="H12" i="260"/>
  <c r="D12" i="260"/>
  <c r="I11" i="260"/>
  <c r="H11" i="260"/>
  <c r="D11" i="260"/>
  <c r="I10" i="260"/>
  <c r="H10" i="260"/>
  <c r="D10" i="260"/>
  <c r="I9" i="260"/>
  <c r="H9" i="260"/>
  <c r="D9" i="260"/>
  <c r="I8" i="260"/>
  <c r="H8" i="260"/>
  <c r="D8" i="260"/>
  <c r="I7" i="260"/>
  <c r="H7" i="260"/>
  <c r="D7" i="260"/>
  <c r="I6" i="260"/>
  <c r="H6" i="260"/>
  <c r="D6" i="260"/>
  <c r="I5" i="260"/>
  <c r="H5" i="260"/>
  <c r="D5" i="260"/>
  <c r="D4" i="260"/>
  <c r="I14" i="259"/>
  <c r="H14" i="259"/>
  <c r="L2" i="259"/>
  <c r="D14" i="259"/>
  <c r="I13" i="259"/>
  <c r="H13" i="259"/>
  <c r="D13" i="259"/>
  <c r="I12" i="259"/>
  <c r="H12" i="259"/>
  <c r="D12" i="259"/>
  <c r="I11" i="259"/>
  <c r="H11" i="259"/>
  <c r="D11" i="259"/>
  <c r="I10" i="259"/>
  <c r="H10" i="259"/>
  <c r="D10" i="259"/>
  <c r="I9" i="259"/>
  <c r="H9" i="259"/>
  <c r="D9" i="259"/>
  <c r="I8" i="259"/>
  <c r="H8" i="259"/>
  <c r="D8" i="259"/>
  <c r="I7" i="259"/>
  <c r="H7" i="259"/>
  <c r="D7" i="259"/>
  <c r="I6" i="259"/>
  <c r="H6" i="259"/>
  <c r="D6" i="259"/>
  <c r="I5" i="259"/>
  <c r="H5" i="259"/>
  <c r="D5" i="259"/>
  <c r="D4" i="259"/>
  <c r="I14" i="258"/>
  <c r="H14" i="258"/>
  <c r="L2" i="258"/>
  <c r="D14" i="258"/>
  <c r="I13" i="258"/>
  <c r="H13" i="258"/>
  <c r="D13" i="258"/>
  <c r="I12" i="258"/>
  <c r="H12" i="258"/>
  <c r="D12" i="258"/>
  <c r="I11" i="258"/>
  <c r="H11" i="258"/>
  <c r="D11" i="258"/>
  <c r="I10" i="258"/>
  <c r="H10" i="258"/>
  <c r="D10" i="258"/>
  <c r="I9" i="258"/>
  <c r="H9" i="258"/>
  <c r="D9" i="258"/>
  <c r="I8" i="258"/>
  <c r="H8" i="258"/>
  <c r="D8" i="258"/>
  <c r="I7" i="258"/>
  <c r="H7" i="258"/>
  <c r="D7" i="258"/>
  <c r="I6" i="258"/>
  <c r="H6" i="258"/>
  <c r="D6" i="258"/>
  <c r="I5" i="258"/>
  <c r="H5" i="258"/>
  <c r="D5" i="258"/>
  <c r="D4" i="258"/>
  <c r="I14" i="257"/>
  <c r="H14" i="257"/>
  <c r="L2" i="257"/>
  <c r="D14" i="257"/>
  <c r="I13" i="257"/>
  <c r="H13" i="257"/>
  <c r="D13" i="257"/>
  <c r="I12" i="257"/>
  <c r="H12" i="257"/>
  <c r="D12" i="257"/>
  <c r="I11" i="257"/>
  <c r="H11" i="257"/>
  <c r="D11" i="257"/>
  <c r="I10" i="257"/>
  <c r="H10" i="257"/>
  <c r="D10" i="257"/>
  <c r="I9" i="257"/>
  <c r="H9" i="257"/>
  <c r="D9" i="257"/>
  <c r="I8" i="257"/>
  <c r="H8" i="257"/>
  <c r="D8" i="257"/>
  <c r="I7" i="257"/>
  <c r="H7" i="257"/>
  <c r="D7" i="257"/>
  <c r="I6" i="257"/>
  <c r="H6" i="257"/>
  <c r="D6" i="257"/>
  <c r="I5" i="257"/>
  <c r="H5" i="257"/>
  <c r="D5" i="257"/>
  <c r="D4" i="257"/>
  <c r="I14" i="256"/>
  <c r="H14" i="256"/>
  <c r="L2" i="256"/>
  <c r="D14" i="256"/>
  <c r="I13" i="256"/>
  <c r="H13" i="256"/>
  <c r="D13" i="256"/>
  <c r="I12" i="256"/>
  <c r="H12" i="256"/>
  <c r="D12" i="256"/>
  <c r="I11" i="256"/>
  <c r="H11" i="256"/>
  <c r="D11" i="256"/>
  <c r="I10" i="256"/>
  <c r="H10" i="256"/>
  <c r="D10" i="256"/>
  <c r="I9" i="256"/>
  <c r="H9" i="256"/>
  <c r="D9" i="256"/>
  <c r="I8" i="256"/>
  <c r="H8" i="256"/>
  <c r="D8" i="256"/>
  <c r="I7" i="256"/>
  <c r="H7" i="256"/>
  <c r="D7" i="256"/>
  <c r="I6" i="256"/>
  <c r="H6" i="256"/>
  <c r="D6" i="256"/>
  <c r="I5" i="256"/>
  <c r="H5" i="256"/>
  <c r="D5" i="256"/>
  <c r="D4" i="256"/>
  <c r="I13" i="255"/>
  <c r="H13" i="255"/>
  <c r="I14" i="255"/>
  <c r="H14" i="255"/>
  <c r="L2" i="255"/>
  <c r="D14" i="255"/>
  <c r="D13" i="255"/>
  <c r="I12" i="255"/>
  <c r="H12" i="255"/>
  <c r="D12" i="255"/>
  <c r="I11" i="255"/>
  <c r="H11" i="255"/>
  <c r="D11" i="255"/>
  <c r="I10" i="255"/>
  <c r="H10" i="255"/>
  <c r="D10" i="255"/>
  <c r="I9" i="255"/>
  <c r="H9" i="255"/>
  <c r="D9" i="255"/>
  <c r="I8" i="255"/>
  <c r="H8" i="255"/>
  <c r="D8" i="255"/>
  <c r="I7" i="255"/>
  <c r="H7" i="255"/>
  <c r="D7" i="255"/>
  <c r="I6" i="255"/>
  <c r="H6" i="255"/>
  <c r="D6" i="255"/>
  <c r="I5" i="255"/>
  <c r="H5" i="255"/>
  <c r="D5" i="255"/>
  <c r="I13" i="254"/>
  <c r="H13" i="254"/>
  <c r="L2" i="254"/>
  <c r="D13" i="254"/>
  <c r="I12" i="254"/>
  <c r="H12" i="254"/>
  <c r="D12" i="254"/>
  <c r="I11" i="254"/>
  <c r="H11" i="254"/>
  <c r="D11" i="254"/>
  <c r="I10" i="254"/>
  <c r="H10" i="254"/>
  <c r="D10" i="254"/>
  <c r="I9" i="254"/>
  <c r="H9" i="254"/>
  <c r="D9" i="254"/>
  <c r="I8" i="254"/>
  <c r="H8" i="254"/>
  <c r="D8" i="254"/>
  <c r="I7" i="254"/>
  <c r="H7" i="254"/>
  <c r="D7" i="254"/>
  <c r="I6" i="254"/>
  <c r="H6" i="254"/>
  <c r="D6" i="254"/>
  <c r="I5" i="254"/>
  <c r="H5" i="254"/>
  <c r="D5" i="254"/>
  <c r="D4" i="254"/>
  <c r="I13" i="253"/>
  <c r="H13" i="253"/>
  <c r="L2" i="253"/>
  <c r="D13" i="253"/>
  <c r="I12" i="253"/>
  <c r="H12" i="253"/>
  <c r="D12" i="253"/>
  <c r="I11" i="253"/>
  <c r="H11" i="253"/>
  <c r="D11" i="253"/>
  <c r="I10" i="253"/>
  <c r="H10" i="253"/>
  <c r="D10" i="253"/>
  <c r="I9" i="253"/>
  <c r="H9" i="253"/>
  <c r="D9" i="253"/>
  <c r="I8" i="253"/>
  <c r="H8" i="253"/>
  <c r="D8" i="253"/>
  <c r="I7" i="253"/>
  <c r="H7" i="253"/>
  <c r="D7" i="253"/>
  <c r="I6" i="253"/>
  <c r="H6" i="253"/>
  <c r="D6" i="253"/>
  <c r="I5" i="253"/>
  <c r="H5" i="253"/>
  <c r="D5" i="253"/>
  <c r="D4" i="253"/>
  <c r="I13" i="252"/>
  <c r="H13" i="252"/>
  <c r="L2" i="252"/>
  <c r="D13" i="252"/>
  <c r="I12" i="252"/>
  <c r="H12" i="252"/>
  <c r="D12" i="252"/>
  <c r="I11" i="252"/>
  <c r="H11" i="252"/>
  <c r="D11" i="252"/>
  <c r="I10" i="252"/>
  <c r="H10" i="252"/>
  <c r="D10" i="252"/>
  <c r="I9" i="252"/>
  <c r="H9" i="252"/>
  <c r="D9" i="252"/>
  <c r="I8" i="252"/>
  <c r="H8" i="252"/>
  <c r="D8" i="252"/>
  <c r="I7" i="252"/>
  <c r="H7" i="252"/>
  <c r="D7" i="252"/>
  <c r="I6" i="252"/>
  <c r="H6" i="252"/>
  <c r="D6" i="252"/>
  <c r="I5" i="252"/>
  <c r="H5" i="252"/>
  <c r="D5" i="252"/>
  <c r="D4" i="252"/>
  <c r="I13" i="251"/>
  <c r="L2" i="251"/>
  <c r="D13" i="251"/>
  <c r="I12" i="251"/>
  <c r="D12" i="251"/>
  <c r="I11" i="251"/>
  <c r="D11" i="251"/>
  <c r="I10" i="251"/>
  <c r="D10" i="251"/>
  <c r="I9" i="251"/>
  <c r="D9" i="251"/>
  <c r="I8" i="251"/>
  <c r="D8" i="251"/>
  <c r="I7" i="251"/>
  <c r="D7" i="251"/>
  <c r="I6" i="251"/>
  <c r="D6" i="251"/>
  <c r="I5" i="251"/>
  <c r="D5" i="251"/>
  <c r="D4" i="251"/>
  <c r="I13" i="250"/>
  <c r="L2" i="250"/>
  <c r="D13" i="250"/>
  <c r="I12" i="250"/>
  <c r="D12" i="250"/>
  <c r="I11" i="250"/>
  <c r="D11" i="250"/>
  <c r="I10" i="250"/>
  <c r="D10" i="250"/>
  <c r="I9" i="250"/>
  <c r="D9" i="250"/>
  <c r="I8" i="250"/>
  <c r="D8" i="250"/>
  <c r="I7" i="250"/>
  <c r="D7" i="250"/>
  <c r="I6" i="250"/>
  <c r="D6" i="250"/>
  <c r="I5" i="250"/>
  <c r="D5" i="250"/>
  <c r="D4" i="250"/>
  <c r="I13" i="249"/>
  <c r="L2" i="249"/>
  <c r="D13" i="249"/>
  <c r="I12" i="249"/>
  <c r="D12" i="249"/>
  <c r="I11" i="249"/>
  <c r="D11" i="249"/>
  <c r="I10" i="249"/>
  <c r="D10" i="249"/>
  <c r="I9" i="249"/>
  <c r="D9" i="249"/>
  <c r="I8" i="249"/>
  <c r="D8" i="249"/>
  <c r="I7" i="249"/>
  <c r="D7" i="249"/>
  <c r="I6" i="249"/>
  <c r="D6" i="249"/>
  <c r="I5" i="249"/>
  <c r="D5" i="249"/>
  <c r="D4" i="249"/>
  <c r="I13" i="248"/>
  <c r="L2" i="248"/>
  <c r="D13" i="248"/>
  <c r="I12" i="248"/>
  <c r="D12" i="248"/>
  <c r="I11" i="248"/>
  <c r="D11" i="248"/>
  <c r="I10" i="248"/>
  <c r="D10" i="248"/>
  <c r="I9" i="248"/>
  <c r="D9" i="248"/>
  <c r="I8" i="248"/>
  <c r="D8" i="248"/>
  <c r="I7" i="248"/>
  <c r="D7" i="248"/>
  <c r="I6" i="248"/>
  <c r="D6" i="248"/>
  <c r="I5" i="248"/>
  <c r="D5" i="248"/>
  <c r="D4" i="248"/>
  <c r="I13" i="247"/>
  <c r="L2" i="247"/>
  <c r="D13" i="247"/>
  <c r="I12" i="247"/>
  <c r="D12" i="247"/>
  <c r="I11" i="247"/>
  <c r="D11" i="247"/>
  <c r="I10" i="247"/>
  <c r="D10" i="247"/>
  <c r="I9" i="247"/>
  <c r="D9" i="247"/>
  <c r="I8" i="247"/>
  <c r="D8" i="247"/>
  <c r="I7" i="247"/>
  <c r="D7" i="247"/>
  <c r="I6" i="247"/>
  <c r="D6" i="247"/>
  <c r="I5" i="247"/>
  <c r="D5" i="247"/>
  <c r="D4" i="247"/>
  <c r="I15" i="246"/>
  <c r="H15" i="246"/>
  <c r="L2" i="246"/>
  <c r="D15" i="246"/>
  <c r="I14" i="246"/>
  <c r="H14" i="246"/>
  <c r="D14" i="246"/>
  <c r="I13" i="246"/>
  <c r="H13" i="246"/>
  <c r="D13" i="246"/>
  <c r="I12" i="246"/>
  <c r="H12" i="246"/>
  <c r="D12" i="246"/>
  <c r="I11" i="246"/>
  <c r="H11" i="246"/>
  <c r="D11" i="246"/>
  <c r="I10" i="246"/>
  <c r="H10" i="246"/>
  <c r="D10" i="246"/>
  <c r="I9" i="246"/>
  <c r="H9" i="246"/>
  <c r="D9" i="246"/>
  <c r="I8" i="246"/>
  <c r="H8" i="246"/>
  <c r="D8" i="246"/>
  <c r="I7" i="246"/>
  <c r="H7" i="246"/>
  <c r="D7" i="246"/>
  <c r="I6" i="246"/>
  <c r="H6" i="246"/>
  <c r="D6" i="246"/>
  <c r="I5" i="246"/>
  <c r="H5" i="246"/>
  <c r="D5" i="246"/>
  <c r="D4" i="246"/>
  <c r="L2" i="245"/>
  <c r="D5" i="245"/>
  <c r="D6" i="245"/>
  <c r="D7" i="245"/>
  <c r="D8" i="245"/>
  <c r="D9" i="245"/>
  <c r="D10" i="245"/>
  <c r="D11" i="245"/>
  <c r="D12" i="245"/>
  <c r="D13" i="245"/>
  <c r="D14" i="245"/>
  <c r="I5" i="245"/>
  <c r="I6" i="245"/>
  <c r="I7" i="245"/>
  <c r="I8" i="245"/>
  <c r="I9" i="245"/>
  <c r="I10" i="245"/>
  <c r="I11" i="245"/>
  <c r="I12" i="245"/>
  <c r="I13" i="245"/>
  <c r="I14" i="245"/>
  <c r="D4" i="245"/>
  <c r="H14" i="245"/>
  <c r="H13" i="245"/>
  <c r="H12" i="245"/>
  <c r="H11" i="245"/>
  <c r="H10" i="245"/>
  <c r="H9" i="245"/>
  <c r="H8" i="245"/>
  <c r="H7" i="245"/>
  <c r="H6" i="245"/>
  <c r="H5" i="245"/>
  <c r="L2" i="243"/>
  <c r="D5" i="243"/>
  <c r="D6" i="243"/>
  <c r="D7" i="243"/>
  <c r="D8" i="243"/>
  <c r="D9" i="243"/>
  <c r="D10" i="243"/>
  <c r="D11" i="243"/>
  <c r="D12" i="243"/>
  <c r="D13" i="243"/>
  <c r="D14" i="243"/>
  <c r="I5" i="243"/>
  <c r="I6" i="243"/>
  <c r="I7" i="243"/>
  <c r="I8" i="243"/>
  <c r="I9" i="243"/>
  <c r="I10" i="243"/>
  <c r="I11" i="243"/>
  <c r="I12" i="243"/>
  <c r="I13" i="243"/>
  <c r="I14" i="243"/>
  <c r="D4" i="243"/>
  <c r="H14" i="243"/>
  <c r="H13" i="243"/>
  <c r="H12" i="243"/>
  <c r="H11" i="243"/>
  <c r="H10" i="243"/>
  <c r="H9" i="243"/>
  <c r="H8" i="243"/>
  <c r="H7" i="243"/>
  <c r="H6" i="243"/>
  <c r="H5" i="243"/>
  <c r="I15" i="242"/>
  <c r="H15" i="242"/>
  <c r="L2" i="242"/>
  <c r="D15" i="242"/>
  <c r="I14" i="242"/>
  <c r="H14" i="242"/>
  <c r="D14" i="242"/>
  <c r="I13" i="242"/>
  <c r="H13" i="242"/>
  <c r="D13" i="242"/>
  <c r="I12" i="242"/>
  <c r="H12" i="242"/>
  <c r="D12" i="242"/>
  <c r="I11" i="242"/>
  <c r="H11" i="242"/>
  <c r="D11" i="242"/>
  <c r="I10" i="242"/>
  <c r="H10" i="242"/>
  <c r="D10" i="242"/>
  <c r="I9" i="242"/>
  <c r="H9" i="242"/>
  <c r="D9" i="242"/>
  <c r="I8" i="242"/>
  <c r="H8" i="242"/>
  <c r="D8" i="242"/>
  <c r="I7" i="242"/>
  <c r="H7" i="242"/>
  <c r="D7" i="242"/>
  <c r="I6" i="242"/>
  <c r="H6" i="242"/>
  <c r="D6" i="242"/>
  <c r="I5" i="242"/>
  <c r="H5" i="242"/>
  <c r="D5" i="242"/>
  <c r="D4" i="242"/>
  <c r="I15" i="241"/>
  <c r="H15" i="241"/>
  <c r="L2" i="241"/>
  <c r="D15" i="241"/>
  <c r="I14" i="241"/>
  <c r="H14" i="241"/>
  <c r="D14" i="241"/>
  <c r="I13" i="241"/>
  <c r="H13" i="241"/>
  <c r="D13" i="241"/>
  <c r="I12" i="241"/>
  <c r="H12" i="241"/>
  <c r="D12" i="241"/>
  <c r="I11" i="241"/>
  <c r="H11" i="241"/>
  <c r="D11" i="241"/>
  <c r="I10" i="241"/>
  <c r="H10" i="241"/>
  <c r="D10" i="241"/>
  <c r="I9" i="241"/>
  <c r="H9" i="241"/>
  <c r="D9" i="241"/>
  <c r="I8" i="241"/>
  <c r="H8" i="241"/>
  <c r="D8" i="241"/>
  <c r="I7" i="241"/>
  <c r="H7" i="241"/>
  <c r="D7" i="241"/>
  <c r="I6" i="241"/>
  <c r="H6" i="241"/>
  <c r="D6" i="241"/>
  <c r="I5" i="241"/>
  <c r="H5" i="241"/>
  <c r="D5" i="241"/>
  <c r="D4" i="241"/>
  <c r="I10" i="240"/>
  <c r="H10" i="240"/>
  <c r="I9" i="240"/>
  <c r="H9" i="240"/>
  <c r="D2" i="240"/>
  <c r="D1" i="240"/>
  <c r="I16" i="240"/>
  <c r="H16" i="240"/>
  <c r="L2" i="240"/>
  <c r="D16" i="240"/>
  <c r="I15" i="240"/>
  <c r="H15" i="240"/>
  <c r="D15" i="240"/>
  <c r="I14" i="240"/>
  <c r="H14" i="240"/>
  <c r="D14" i="240"/>
  <c r="I13" i="240"/>
  <c r="H13" i="240"/>
  <c r="D13" i="240"/>
  <c r="I12" i="240"/>
  <c r="H12" i="240"/>
  <c r="D12" i="240"/>
  <c r="I11" i="240"/>
  <c r="H11" i="240"/>
  <c r="D11" i="240"/>
  <c r="D10" i="240"/>
  <c r="D9" i="240"/>
  <c r="I8" i="240"/>
  <c r="H8" i="240"/>
  <c r="D8" i="240"/>
  <c r="I7" i="240"/>
  <c r="H7" i="240"/>
  <c r="D7" i="240"/>
  <c r="I6" i="240"/>
  <c r="H6" i="240"/>
  <c r="D6" i="240"/>
  <c r="I5" i="240"/>
  <c r="H5" i="240"/>
  <c r="D5" i="240"/>
  <c r="D4" i="240"/>
  <c r="I5" i="239"/>
  <c r="D2" i="239"/>
  <c r="L2" i="239"/>
  <c r="D5" i="239"/>
  <c r="D1" i="239"/>
  <c r="I28" i="239"/>
  <c r="D28" i="239"/>
  <c r="I27" i="239"/>
  <c r="D27" i="239"/>
  <c r="I26" i="239"/>
  <c r="D26" i="239"/>
  <c r="I25" i="239"/>
  <c r="D25" i="239"/>
  <c r="I24" i="239"/>
  <c r="D24" i="239"/>
  <c r="I23" i="239"/>
  <c r="D23" i="239"/>
  <c r="I22" i="239"/>
  <c r="D22" i="239"/>
  <c r="I21" i="239"/>
  <c r="D21" i="239"/>
  <c r="I20" i="239"/>
  <c r="D20" i="239"/>
  <c r="I19" i="239"/>
  <c r="D19" i="239"/>
  <c r="I18" i="239"/>
  <c r="D18" i="239"/>
  <c r="I17" i="239"/>
  <c r="D17" i="239"/>
  <c r="I16" i="239"/>
  <c r="D16" i="239"/>
  <c r="I15" i="239"/>
  <c r="D15" i="239"/>
  <c r="I14" i="239"/>
  <c r="D14" i="239"/>
  <c r="I13" i="239"/>
  <c r="D13" i="239"/>
  <c r="I12" i="239"/>
  <c r="D12" i="239"/>
  <c r="I11" i="239"/>
  <c r="D11" i="239"/>
  <c r="I10" i="239"/>
  <c r="D10" i="239"/>
  <c r="I9" i="239"/>
  <c r="D9" i="239"/>
  <c r="I8" i="239"/>
  <c r="D8" i="239"/>
  <c r="I7" i="239"/>
  <c r="D7" i="239"/>
  <c r="I6" i="239"/>
  <c r="D6" i="239"/>
  <c r="D4" i="239"/>
  <c r="D2" i="238"/>
  <c r="D1" i="238"/>
  <c r="I28" i="238"/>
  <c r="L2" i="238"/>
  <c r="D28" i="238"/>
  <c r="I27" i="238"/>
  <c r="D27" i="238"/>
  <c r="I26" i="238"/>
  <c r="D26" i="238"/>
  <c r="I25" i="238"/>
  <c r="D25" i="238"/>
  <c r="I24" i="238"/>
  <c r="D24" i="238"/>
  <c r="I23" i="238"/>
  <c r="D23" i="238"/>
  <c r="I22" i="238"/>
  <c r="D22" i="238"/>
  <c r="I21" i="238"/>
  <c r="D21" i="238"/>
  <c r="I20" i="238"/>
  <c r="D20" i="238"/>
  <c r="I19" i="238"/>
  <c r="D19" i="238"/>
  <c r="I18" i="238"/>
  <c r="D18" i="238"/>
  <c r="I17" i="238"/>
  <c r="D17" i="238"/>
  <c r="I16" i="238"/>
  <c r="D16" i="238"/>
  <c r="I15" i="238"/>
  <c r="D15" i="238"/>
  <c r="I14" i="238"/>
  <c r="D14" i="238"/>
  <c r="I13" i="238"/>
  <c r="D13" i="238"/>
  <c r="I12" i="238"/>
  <c r="D12" i="238"/>
  <c r="I11" i="238"/>
  <c r="D11" i="238"/>
  <c r="I10" i="238"/>
  <c r="D10" i="238"/>
  <c r="I9" i="238"/>
  <c r="D9" i="238"/>
  <c r="I8" i="238"/>
  <c r="D8" i="238"/>
  <c r="I7" i="238"/>
  <c r="D7" i="238"/>
  <c r="I6" i="238"/>
  <c r="D6" i="238"/>
  <c r="I5" i="238"/>
  <c r="D5" i="238"/>
  <c r="D4" i="238"/>
  <c r="I26" i="237"/>
  <c r="I25" i="237"/>
  <c r="I24" i="237"/>
  <c r="I23" i="237"/>
  <c r="I22" i="237"/>
  <c r="I21" i="237"/>
  <c r="I20" i="237"/>
  <c r="I19" i="237"/>
  <c r="I18" i="237"/>
  <c r="I17" i="237"/>
  <c r="I16" i="237"/>
  <c r="I15" i="237"/>
  <c r="I14" i="237"/>
  <c r="I13" i="237"/>
  <c r="I12" i="237"/>
  <c r="I11" i="237"/>
  <c r="D2" i="237"/>
  <c r="L2" i="237"/>
  <c r="D27" i="237"/>
  <c r="D26" i="237"/>
  <c r="D25" i="237"/>
  <c r="D24" i="237"/>
  <c r="D23" i="237"/>
  <c r="D22" i="237"/>
  <c r="D21" i="237"/>
  <c r="D20" i="237"/>
  <c r="D19" i="237"/>
  <c r="D18" i="237"/>
  <c r="D17" i="237"/>
  <c r="D16" i="237"/>
  <c r="D15" i="237"/>
  <c r="D14" i="237"/>
  <c r="D13" i="237"/>
  <c r="D12" i="237"/>
  <c r="D1" i="237"/>
  <c r="I27" i="237"/>
  <c r="D11" i="237"/>
  <c r="I10" i="237"/>
  <c r="D10" i="237"/>
  <c r="I9" i="237"/>
  <c r="D9" i="237"/>
  <c r="I8" i="237"/>
  <c r="D8" i="237"/>
  <c r="I7" i="237"/>
  <c r="D7" i="237"/>
  <c r="I6" i="237"/>
  <c r="D6" i="237"/>
  <c r="I5" i="237"/>
  <c r="D5" i="237"/>
  <c r="D4" i="237"/>
  <c r="D2" i="236"/>
  <c r="L2" i="236"/>
  <c r="D6" i="236"/>
  <c r="D5" i="236"/>
  <c r="I4" i="236"/>
  <c r="I6" i="236"/>
  <c r="H6" i="236"/>
  <c r="I5" i="236"/>
  <c r="H5" i="236"/>
  <c r="D1" i="236"/>
  <c r="D2" i="235"/>
  <c r="D1" i="235"/>
  <c r="I13" i="236"/>
  <c r="H13" i="236"/>
  <c r="D13" i="236"/>
  <c r="I12" i="236"/>
  <c r="H12" i="236"/>
  <c r="D12" i="236"/>
  <c r="I11" i="236"/>
  <c r="H11" i="236"/>
  <c r="D11" i="236"/>
  <c r="I10" i="236"/>
  <c r="H10" i="236"/>
  <c r="D10" i="236"/>
  <c r="I9" i="236"/>
  <c r="H9" i="236"/>
  <c r="D9" i="236"/>
  <c r="I8" i="236"/>
  <c r="H8" i="236"/>
  <c r="D8" i="236"/>
  <c r="I7" i="236"/>
  <c r="H7" i="236"/>
  <c r="D7" i="236"/>
  <c r="K28" i="140"/>
  <c r="O13" i="140"/>
  <c r="K27" i="140"/>
  <c r="O12" i="140"/>
  <c r="K26" i="140"/>
  <c r="O11" i="140"/>
  <c r="K25" i="140"/>
  <c r="O10" i="140"/>
  <c r="K24" i="140"/>
  <c r="O9" i="140"/>
  <c r="K23" i="140"/>
  <c r="O8" i="140"/>
  <c r="K22" i="140"/>
  <c r="O7" i="140"/>
  <c r="K21" i="140"/>
  <c r="O6" i="140"/>
  <c r="K20" i="140"/>
  <c r="O5" i="140"/>
  <c r="K19" i="140"/>
  <c r="O4" i="140"/>
  <c r="I11" i="235"/>
  <c r="H11" i="235"/>
  <c r="L2" i="235"/>
  <c r="D11" i="235"/>
  <c r="I10" i="235"/>
  <c r="H10" i="235"/>
  <c r="D10" i="235"/>
  <c r="I9" i="235"/>
  <c r="H9" i="235"/>
  <c r="D9" i="235"/>
  <c r="I8" i="235"/>
  <c r="H8" i="235"/>
  <c r="D8" i="235"/>
  <c r="I7" i="235"/>
  <c r="H7" i="235"/>
  <c r="D7" i="235"/>
  <c r="I6" i="235"/>
  <c r="H6" i="235"/>
  <c r="D6" i="235"/>
  <c r="I5" i="235"/>
  <c r="H5" i="235"/>
  <c r="D5" i="235"/>
  <c r="I4" i="235"/>
  <c r="D4" i="235"/>
  <c r="O13" i="141"/>
  <c r="O12" i="141"/>
  <c r="O11" i="141"/>
  <c r="O10" i="141"/>
  <c r="O9" i="141"/>
  <c r="O8" i="141"/>
  <c r="O7" i="141"/>
  <c r="O6" i="141"/>
  <c r="O5" i="141"/>
  <c r="O4" i="141"/>
  <c r="O12" i="142"/>
  <c r="O11" i="142"/>
  <c r="O10" i="142"/>
  <c r="O9" i="142"/>
  <c r="O8" i="142"/>
  <c r="O7" i="142"/>
  <c r="O6" i="142"/>
  <c r="O5" i="142"/>
  <c r="O4" i="142"/>
  <c r="I4" i="234"/>
  <c r="D2" i="234"/>
  <c r="D1" i="234"/>
  <c r="I11" i="234"/>
  <c r="H11" i="234"/>
  <c r="L2" i="234"/>
  <c r="D11" i="234"/>
  <c r="I10" i="234"/>
  <c r="H10" i="234"/>
  <c r="D10" i="234"/>
  <c r="I9" i="234"/>
  <c r="H9" i="234"/>
  <c r="D9" i="234"/>
  <c r="I8" i="234"/>
  <c r="H8" i="234"/>
  <c r="D8" i="234"/>
  <c r="I7" i="234"/>
  <c r="H7" i="234"/>
  <c r="D7" i="234"/>
  <c r="I6" i="234"/>
  <c r="H6" i="234"/>
  <c r="D6" i="234"/>
  <c r="I5" i="234"/>
  <c r="H5" i="234"/>
  <c r="D5" i="234"/>
  <c r="D4" i="234"/>
  <c r="D2" i="233"/>
  <c r="D1" i="233"/>
  <c r="I12" i="233"/>
  <c r="H12" i="233"/>
  <c r="L2" i="233"/>
  <c r="D12" i="233"/>
  <c r="I11" i="233"/>
  <c r="H11" i="233"/>
  <c r="D11" i="233"/>
  <c r="I10" i="233"/>
  <c r="H10" i="233"/>
  <c r="D10" i="233"/>
  <c r="I9" i="233"/>
  <c r="H9" i="233"/>
  <c r="D9" i="233"/>
  <c r="I8" i="233"/>
  <c r="H8" i="233"/>
  <c r="D8" i="233"/>
  <c r="I7" i="233"/>
  <c r="H7" i="233"/>
  <c r="D7" i="233"/>
  <c r="I6" i="233"/>
  <c r="H6" i="233"/>
  <c r="D6" i="233"/>
  <c r="I5" i="233"/>
  <c r="H5" i="233"/>
  <c r="D5" i="233"/>
  <c r="I4" i="233"/>
  <c r="D4" i="233"/>
  <c r="O13" i="143"/>
  <c r="O12" i="143"/>
  <c r="O11" i="143"/>
  <c r="O10" i="143"/>
  <c r="O9" i="143"/>
  <c r="O8" i="143"/>
  <c r="O7" i="143"/>
  <c r="O6" i="143"/>
  <c r="O5" i="143"/>
  <c r="O4" i="143"/>
  <c r="D1" i="232"/>
  <c r="D2" i="232"/>
  <c r="I12" i="232"/>
  <c r="H12" i="232"/>
  <c r="L2" i="232"/>
  <c r="D12" i="232"/>
  <c r="I11" i="232"/>
  <c r="H11" i="232"/>
  <c r="D11" i="232"/>
  <c r="I10" i="232"/>
  <c r="H10" i="232"/>
  <c r="D10" i="232"/>
  <c r="I9" i="232"/>
  <c r="H9" i="232"/>
  <c r="D9" i="232"/>
  <c r="I8" i="232"/>
  <c r="H8" i="232"/>
  <c r="D8" i="232"/>
  <c r="I7" i="232"/>
  <c r="H7" i="232"/>
  <c r="D7" i="232"/>
  <c r="I6" i="232"/>
  <c r="H6" i="232"/>
  <c r="D6" i="232"/>
  <c r="I5" i="232"/>
  <c r="H5" i="232"/>
  <c r="D5" i="232"/>
  <c r="I4" i="232"/>
  <c r="D4" i="232"/>
  <c r="P12" i="144"/>
  <c r="P11" i="144"/>
  <c r="P10" i="144"/>
  <c r="P9" i="144"/>
  <c r="P8" i="144"/>
  <c r="P7" i="144"/>
  <c r="P6" i="144"/>
  <c r="P5" i="144"/>
  <c r="P4" i="144"/>
  <c r="J12" i="144"/>
  <c r="J11" i="144"/>
  <c r="J10" i="144"/>
  <c r="J9" i="144"/>
  <c r="J8" i="144"/>
  <c r="J7" i="144"/>
  <c r="J6" i="144"/>
  <c r="J5" i="144"/>
  <c r="O11" i="145"/>
  <c r="O10" i="145"/>
  <c r="O9" i="145"/>
  <c r="O8" i="145"/>
  <c r="O7" i="145"/>
  <c r="O6" i="145"/>
  <c r="O5" i="145"/>
  <c r="O4" i="145"/>
  <c r="D2" i="231"/>
  <c r="D1" i="231"/>
  <c r="I10" i="231"/>
  <c r="H10" i="231"/>
  <c r="L2" i="231"/>
  <c r="D10" i="231"/>
  <c r="I9" i="231"/>
  <c r="H9" i="231"/>
  <c r="D9" i="231"/>
  <c r="I8" i="231"/>
  <c r="H8" i="231"/>
  <c r="D8" i="231"/>
  <c r="I7" i="231"/>
  <c r="H7" i="231"/>
  <c r="D7" i="231"/>
  <c r="I6" i="231"/>
  <c r="H6" i="231"/>
  <c r="D6" i="231"/>
  <c r="I5" i="231"/>
  <c r="H5" i="231"/>
  <c r="D5" i="231"/>
  <c r="I4" i="231"/>
  <c r="D4" i="231"/>
  <c r="I11" i="145"/>
  <c r="I10" i="145"/>
  <c r="I9" i="145"/>
  <c r="I8" i="145"/>
  <c r="I7" i="145"/>
  <c r="I6" i="145"/>
  <c r="I5" i="230"/>
  <c r="I6" i="230"/>
  <c r="I7" i="230"/>
  <c r="I8" i="230"/>
  <c r="I9" i="230"/>
  <c r="I10" i="230"/>
  <c r="O5" i="146"/>
  <c r="O10" i="146"/>
  <c r="O9" i="146"/>
  <c r="O8" i="146"/>
  <c r="O7" i="146"/>
  <c r="O6" i="146"/>
  <c r="O4" i="146"/>
  <c r="D2" i="230"/>
  <c r="D1" i="230"/>
  <c r="H10" i="230"/>
  <c r="L2" i="230"/>
  <c r="D10" i="230"/>
  <c r="H9" i="230"/>
  <c r="D9" i="230"/>
  <c r="H8" i="230"/>
  <c r="D8" i="230"/>
  <c r="H7" i="230"/>
  <c r="D7" i="230"/>
  <c r="H6" i="230"/>
  <c r="D6" i="230"/>
  <c r="H5" i="230"/>
  <c r="D5" i="230"/>
  <c r="I4" i="230"/>
  <c r="D4" i="230"/>
  <c r="I10" i="146"/>
  <c r="I9" i="146"/>
  <c r="I8" i="146"/>
  <c r="I7" i="146"/>
  <c r="I6" i="146"/>
  <c r="I5" i="146"/>
  <c r="D2" i="229"/>
  <c r="D1" i="229"/>
  <c r="I10" i="229"/>
  <c r="H10" i="229"/>
  <c r="L2" i="229"/>
  <c r="D10" i="229"/>
  <c r="I9" i="229"/>
  <c r="H9" i="229"/>
  <c r="D9" i="229"/>
  <c r="I8" i="229"/>
  <c r="H8" i="229"/>
  <c r="D8" i="229"/>
  <c r="I7" i="229"/>
  <c r="H7" i="229"/>
  <c r="D7" i="229"/>
  <c r="I6" i="229"/>
  <c r="H6" i="229"/>
  <c r="D6" i="229"/>
  <c r="I5" i="229"/>
  <c r="H5" i="229"/>
  <c r="D5" i="229"/>
  <c r="I4" i="229"/>
  <c r="D4" i="229"/>
  <c r="I11" i="147"/>
  <c r="I10" i="147"/>
  <c r="I9" i="147"/>
  <c r="I8" i="147"/>
  <c r="I7" i="147"/>
  <c r="I6" i="147"/>
  <c r="O11" i="147"/>
  <c r="O10" i="147"/>
  <c r="O9" i="147"/>
  <c r="O8" i="147"/>
  <c r="O7" i="147"/>
  <c r="O6" i="147"/>
  <c r="O5" i="147"/>
  <c r="O4" i="147"/>
  <c r="D2" i="228"/>
  <c r="F10" i="148"/>
  <c r="E10" i="148"/>
  <c r="F9" i="148"/>
  <c r="E9" i="148"/>
  <c r="F8" i="148"/>
  <c r="E8" i="148"/>
  <c r="F7" i="148"/>
  <c r="E7" i="148"/>
  <c r="F6" i="148"/>
  <c r="E6" i="148"/>
  <c r="F5" i="148"/>
  <c r="E5" i="148"/>
  <c r="I4" i="228"/>
  <c r="I5" i="228"/>
  <c r="H5" i="228"/>
  <c r="L2" i="228"/>
  <c r="D5" i="228"/>
  <c r="F4" i="148"/>
  <c r="E4" i="148"/>
  <c r="A5" i="148"/>
  <c r="A4" i="148"/>
  <c r="A10" i="148"/>
  <c r="A9" i="148"/>
  <c r="A8" i="148"/>
  <c r="A7" i="148"/>
  <c r="A6" i="148"/>
  <c r="D1" i="228"/>
  <c r="I11" i="228"/>
  <c r="H11" i="228"/>
  <c r="D11" i="228"/>
  <c r="I10" i="228"/>
  <c r="H10" i="228"/>
  <c r="D10" i="228"/>
  <c r="I9" i="228"/>
  <c r="H9" i="228"/>
  <c r="D9" i="228"/>
  <c r="I8" i="228"/>
  <c r="H8" i="228"/>
  <c r="D8" i="228"/>
  <c r="I7" i="228"/>
  <c r="H7" i="228"/>
  <c r="D7" i="228"/>
  <c r="I6" i="228"/>
  <c r="H6" i="228"/>
  <c r="D6" i="228"/>
  <c r="D2" i="227"/>
  <c r="D1" i="227"/>
  <c r="I10" i="227"/>
  <c r="H10" i="227"/>
  <c r="L2" i="227"/>
  <c r="D10" i="227"/>
  <c r="I9" i="227"/>
  <c r="H9" i="227"/>
  <c r="D9" i="227"/>
  <c r="I8" i="227"/>
  <c r="H8" i="227"/>
  <c r="D8" i="227"/>
  <c r="I7" i="227"/>
  <c r="H7" i="227"/>
  <c r="D7" i="227"/>
  <c r="I6" i="227"/>
  <c r="H6" i="227"/>
  <c r="D6" i="227"/>
  <c r="I5" i="227"/>
  <c r="H5" i="227"/>
  <c r="D5" i="227"/>
  <c r="I4" i="227"/>
  <c r="D4" i="227"/>
  <c r="O11" i="149"/>
  <c r="O10" i="149"/>
  <c r="O9" i="149"/>
  <c r="O8" i="149"/>
  <c r="O7" i="149"/>
  <c r="O6" i="149"/>
  <c r="O5" i="149"/>
  <c r="G13" i="149"/>
  <c r="O4" i="149"/>
  <c r="D2" i="226"/>
  <c r="D1" i="226"/>
  <c r="I11" i="149"/>
  <c r="I10" i="149"/>
  <c r="I9" i="149"/>
  <c r="I8" i="149"/>
  <c r="I7" i="149"/>
  <c r="I6" i="149"/>
  <c r="I10" i="226"/>
  <c r="H10" i="226"/>
  <c r="L2" i="226"/>
  <c r="D10" i="226"/>
  <c r="I9" i="226"/>
  <c r="H9" i="226"/>
  <c r="D9" i="226"/>
  <c r="I8" i="226"/>
  <c r="H8" i="226"/>
  <c r="D8" i="226"/>
  <c r="I7" i="226"/>
  <c r="H7" i="226"/>
  <c r="D7" i="226"/>
  <c r="I6" i="226"/>
  <c r="H6" i="226"/>
  <c r="D6" i="226"/>
  <c r="I5" i="226"/>
  <c r="H5" i="226"/>
  <c r="D5" i="226"/>
  <c r="I4" i="226"/>
  <c r="D4" i="226"/>
  <c r="O11" i="150"/>
  <c r="O10" i="150"/>
  <c r="O9" i="150"/>
  <c r="O8" i="150"/>
  <c r="O7" i="150"/>
  <c r="O6" i="150"/>
  <c r="O5" i="150"/>
  <c r="G13" i="150"/>
  <c r="O4" i="150"/>
  <c r="I11" i="150"/>
  <c r="I10" i="150"/>
  <c r="I9" i="150"/>
  <c r="I8" i="150"/>
  <c r="I7" i="150"/>
  <c r="I6" i="150"/>
  <c r="I4" i="225"/>
  <c r="D2" i="225"/>
  <c r="D1" i="225"/>
  <c r="I10" i="225"/>
  <c r="H10" i="225"/>
  <c r="L2" i="225"/>
  <c r="D10" i="225"/>
  <c r="I9" i="225"/>
  <c r="H9" i="225"/>
  <c r="D9" i="225"/>
  <c r="I8" i="225"/>
  <c r="H8" i="225"/>
  <c r="D8" i="225"/>
  <c r="I7" i="225"/>
  <c r="H7" i="225"/>
  <c r="D7" i="225"/>
  <c r="I6" i="225"/>
  <c r="H6" i="225"/>
  <c r="D6" i="225"/>
  <c r="I5" i="225"/>
  <c r="H5" i="225"/>
  <c r="D5" i="225"/>
  <c r="D4" i="225"/>
  <c r="I11" i="151"/>
  <c r="I10" i="151"/>
  <c r="I9" i="151"/>
  <c r="I8" i="151"/>
  <c r="I7" i="151"/>
  <c r="I6" i="151"/>
  <c r="O11" i="151"/>
  <c r="O10" i="151"/>
  <c r="O9" i="151"/>
  <c r="O8" i="151"/>
  <c r="O7" i="151"/>
  <c r="O6" i="151"/>
  <c r="O5" i="151"/>
  <c r="O4" i="151"/>
  <c r="D2" i="224"/>
  <c r="L2" i="224"/>
  <c r="D5" i="224"/>
  <c r="I4" i="224"/>
  <c r="I5" i="224"/>
  <c r="H5" i="224"/>
  <c r="D1" i="224"/>
  <c r="I13" i="224"/>
  <c r="H13" i="224"/>
  <c r="D13" i="224"/>
  <c r="I12" i="224"/>
  <c r="H12" i="224"/>
  <c r="D12" i="224"/>
  <c r="I11" i="224"/>
  <c r="H11" i="224"/>
  <c r="D11" i="224"/>
  <c r="I10" i="224"/>
  <c r="H10" i="224"/>
  <c r="D10" i="224"/>
  <c r="I9" i="224"/>
  <c r="H9" i="224"/>
  <c r="D9" i="224"/>
  <c r="I8" i="224"/>
  <c r="H8" i="224"/>
  <c r="D8" i="224"/>
  <c r="I7" i="224"/>
  <c r="H7" i="224"/>
  <c r="D7" i="224"/>
  <c r="I6" i="224"/>
  <c r="H6" i="224"/>
  <c r="D6" i="224"/>
  <c r="J14" i="152"/>
  <c r="J13" i="152"/>
  <c r="J12" i="152"/>
  <c r="J11" i="152"/>
  <c r="J10" i="152"/>
  <c r="J9" i="152"/>
  <c r="J8" i="152"/>
  <c r="J7" i="152"/>
  <c r="J6" i="152"/>
  <c r="I58" i="152"/>
  <c r="I57" i="152"/>
  <c r="I56" i="152"/>
  <c r="I55" i="152"/>
  <c r="I54" i="152"/>
  <c r="G41" i="152"/>
  <c r="I41" i="152"/>
  <c r="G53" i="152"/>
  <c r="I53" i="152"/>
  <c r="I4" i="152"/>
  <c r="G52" i="152"/>
  <c r="I52" i="152"/>
  <c r="H53" i="152"/>
  <c r="H52" i="152"/>
  <c r="H41" i="152"/>
  <c r="H40" i="152"/>
  <c r="G40" i="152"/>
  <c r="H29" i="152"/>
  <c r="H28" i="152"/>
  <c r="G29" i="152"/>
  <c r="G28" i="152"/>
  <c r="H17" i="152"/>
  <c r="H16" i="152"/>
  <c r="G17" i="152"/>
  <c r="G16" i="152"/>
  <c r="I48" i="152"/>
  <c r="I47" i="152"/>
  <c r="I46" i="152"/>
  <c r="I45" i="152"/>
  <c r="I44" i="152"/>
  <c r="I43" i="152"/>
  <c r="I42" i="152"/>
  <c r="I40" i="152"/>
  <c r="I36" i="152"/>
  <c r="I35" i="152"/>
  <c r="I34" i="152"/>
  <c r="I33" i="152"/>
  <c r="I32" i="152"/>
  <c r="I31" i="152"/>
  <c r="I30" i="152"/>
  <c r="I29" i="152"/>
  <c r="I28" i="152"/>
  <c r="I24" i="152"/>
  <c r="I23" i="152"/>
  <c r="I22" i="152"/>
  <c r="I21" i="152"/>
  <c r="I20" i="152"/>
  <c r="I19" i="152"/>
  <c r="I18" i="152"/>
  <c r="I17" i="152"/>
  <c r="I16" i="152"/>
  <c r="I13" i="152"/>
  <c r="I12" i="152"/>
  <c r="I11" i="152"/>
  <c r="I10" i="152"/>
  <c r="I9" i="152"/>
  <c r="I8" i="152"/>
  <c r="I7" i="152"/>
  <c r="I6" i="152"/>
  <c r="I5" i="152"/>
  <c r="L14" i="152"/>
  <c r="P14" i="152"/>
  <c r="L13" i="152"/>
  <c r="P13" i="152"/>
  <c r="L12" i="152"/>
  <c r="P12" i="152"/>
  <c r="L11" i="152"/>
  <c r="P11" i="152"/>
  <c r="L10" i="152"/>
  <c r="P10" i="152"/>
  <c r="L9" i="152"/>
  <c r="P9" i="152"/>
  <c r="L8" i="152"/>
  <c r="P8" i="152"/>
  <c r="L7" i="152"/>
  <c r="P7" i="152"/>
  <c r="L6" i="152"/>
  <c r="P6" i="152"/>
  <c r="L5" i="152"/>
  <c r="P5" i="152"/>
  <c r="L4" i="152"/>
  <c r="P4" i="152"/>
  <c r="G17" i="153"/>
  <c r="I17" i="153"/>
  <c r="G30" i="153"/>
  <c r="G29" i="153"/>
  <c r="I29" i="153"/>
  <c r="G42" i="153"/>
  <c r="G41" i="153"/>
  <c r="I41" i="153"/>
  <c r="G54" i="153"/>
  <c r="G53" i="153"/>
  <c r="I53" i="153"/>
  <c r="G65" i="153"/>
  <c r="I65" i="153"/>
  <c r="G77" i="153"/>
  <c r="I77" i="153"/>
  <c r="G89" i="153"/>
  <c r="I89" i="153"/>
  <c r="G101" i="153"/>
  <c r="I101" i="153"/>
  <c r="G113" i="153"/>
  <c r="I113" i="153"/>
  <c r="G125" i="153"/>
  <c r="I125" i="153"/>
  <c r="G137" i="153"/>
  <c r="H17" i="153"/>
  <c r="H29" i="153"/>
  <c r="H41" i="153"/>
  <c r="H53" i="153"/>
  <c r="H65" i="153"/>
  <c r="H77" i="153"/>
  <c r="H89" i="153"/>
  <c r="H101" i="153"/>
  <c r="H113" i="153"/>
  <c r="H125" i="153"/>
  <c r="H137" i="153"/>
  <c r="I4" i="153"/>
  <c r="G136" i="153"/>
  <c r="G124" i="153"/>
  <c r="G112" i="153"/>
  <c r="G100" i="153"/>
  <c r="G88" i="153"/>
  <c r="G76" i="153"/>
  <c r="G64" i="153"/>
  <c r="G52" i="153"/>
  <c r="G40" i="153"/>
  <c r="G28" i="153"/>
  <c r="G16" i="153"/>
  <c r="H16" i="153"/>
  <c r="H28" i="153"/>
  <c r="H40" i="153"/>
  <c r="H52" i="153"/>
  <c r="H64" i="153"/>
  <c r="H76" i="153"/>
  <c r="H88" i="153"/>
  <c r="H100" i="153"/>
  <c r="H112" i="153"/>
  <c r="H124" i="153"/>
  <c r="H136" i="153"/>
  <c r="H54" i="153"/>
  <c r="H42" i="153"/>
  <c r="H30" i="153"/>
  <c r="L11" i="153"/>
  <c r="I4" i="223"/>
  <c r="I4" i="222"/>
  <c r="D2" i="222"/>
  <c r="L14" i="153"/>
  <c r="P14" i="153"/>
  <c r="L13" i="153"/>
  <c r="P13" i="153"/>
  <c r="L12" i="153"/>
  <c r="P12" i="153"/>
  <c r="P11" i="153"/>
  <c r="L10" i="153"/>
  <c r="P10" i="153"/>
  <c r="L9" i="153"/>
  <c r="P9" i="153"/>
  <c r="L8" i="153"/>
  <c r="P8" i="153"/>
  <c r="L7" i="153"/>
  <c r="P7" i="153"/>
  <c r="L6" i="153"/>
  <c r="P6" i="153"/>
  <c r="L5" i="153"/>
  <c r="P5" i="153"/>
  <c r="L4" i="153"/>
  <c r="P4" i="153"/>
  <c r="D1" i="223"/>
  <c r="D2" i="223"/>
  <c r="I12" i="223"/>
  <c r="H12" i="223"/>
  <c r="L2" i="223"/>
  <c r="D12" i="223"/>
  <c r="I11" i="223"/>
  <c r="H11" i="223"/>
  <c r="D11" i="223"/>
  <c r="I10" i="223"/>
  <c r="H10" i="223"/>
  <c r="D10" i="223"/>
  <c r="I9" i="223"/>
  <c r="H9" i="223"/>
  <c r="D9" i="223"/>
  <c r="I8" i="223"/>
  <c r="H8" i="223"/>
  <c r="D8" i="223"/>
  <c r="I7" i="223"/>
  <c r="H7" i="223"/>
  <c r="D7" i="223"/>
  <c r="I6" i="223"/>
  <c r="H6" i="223"/>
  <c r="D6" i="223"/>
  <c r="I5" i="223"/>
  <c r="H5" i="223"/>
  <c r="D5" i="223"/>
  <c r="D4" i="223"/>
  <c r="J5" i="153"/>
  <c r="I137" i="153"/>
  <c r="I136" i="153"/>
  <c r="I124" i="153"/>
  <c r="I112" i="153"/>
  <c r="I100" i="153"/>
  <c r="I88" i="153"/>
  <c r="I76" i="153"/>
  <c r="I64" i="153"/>
  <c r="I10" i="153"/>
  <c r="I9" i="153"/>
  <c r="I8" i="153"/>
  <c r="I7" i="153"/>
  <c r="I6" i="153"/>
  <c r="I5" i="153"/>
  <c r="I22" i="153"/>
  <c r="I21" i="153"/>
  <c r="I20" i="153"/>
  <c r="I19" i="153"/>
  <c r="I18" i="153"/>
  <c r="I16" i="153"/>
  <c r="I34" i="153"/>
  <c r="I33" i="153"/>
  <c r="I32" i="153"/>
  <c r="I31" i="153"/>
  <c r="I30" i="153"/>
  <c r="I28" i="153"/>
  <c r="I46" i="153"/>
  <c r="I45" i="153"/>
  <c r="I44" i="153"/>
  <c r="I43" i="153"/>
  <c r="I42" i="153"/>
  <c r="I40" i="153"/>
  <c r="I58" i="153"/>
  <c r="I57" i="153"/>
  <c r="I56" i="153"/>
  <c r="I55" i="153"/>
  <c r="I54" i="153"/>
  <c r="I52" i="153"/>
  <c r="I70" i="153"/>
  <c r="I69" i="153"/>
  <c r="I68" i="153"/>
  <c r="I67" i="153"/>
  <c r="I66" i="153"/>
  <c r="I82" i="153"/>
  <c r="I81" i="153"/>
  <c r="I80" i="153"/>
  <c r="I79" i="153"/>
  <c r="I78" i="153"/>
  <c r="I94" i="153"/>
  <c r="I93" i="153"/>
  <c r="I92" i="153"/>
  <c r="I91" i="153"/>
  <c r="I90" i="153"/>
  <c r="I106" i="153"/>
  <c r="I105" i="153"/>
  <c r="I104" i="153"/>
  <c r="I103" i="153"/>
  <c r="I102" i="153"/>
  <c r="I118" i="153"/>
  <c r="I117" i="153"/>
  <c r="I116" i="153"/>
  <c r="I115" i="153"/>
  <c r="I114" i="153"/>
  <c r="I130" i="153"/>
  <c r="I129" i="153"/>
  <c r="I128" i="153"/>
  <c r="I127" i="153"/>
  <c r="I126" i="153"/>
  <c r="I142" i="153"/>
  <c r="I141" i="153"/>
  <c r="I139" i="153"/>
  <c r="I138" i="153"/>
  <c r="I140" i="153"/>
  <c r="J14" i="153"/>
  <c r="J13" i="153"/>
  <c r="J12" i="153"/>
  <c r="J11" i="153"/>
  <c r="J10" i="153"/>
  <c r="J9" i="153"/>
  <c r="J8" i="153"/>
  <c r="J7" i="153"/>
  <c r="J6" i="153"/>
  <c r="D1" i="222"/>
  <c r="I12" i="222"/>
  <c r="H12" i="222"/>
  <c r="L2" i="222"/>
  <c r="D12" i="222"/>
  <c r="I11" i="222"/>
  <c r="H11" i="222"/>
  <c r="D11" i="222"/>
  <c r="I10" i="222"/>
  <c r="H10" i="222"/>
  <c r="D10" i="222"/>
  <c r="I9" i="222"/>
  <c r="H9" i="222"/>
  <c r="D9" i="222"/>
  <c r="I8" i="222"/>
  <c r="H8" i="222"/>
  <c r="D8" i="222"/>
  <c r="I7" i="222"/>
  <c r="H7" i="222"/>
  <c r="D7" i="222"/>
  <c r="I6" i="222"/>
  <c r="H6" i="222"/>
  <c r="D6" i="222"/>
  <c r="I5" i="222"/>
  <c r="H5" i="222"/>
  <c r="D5" i="222"/>
  <c r="K13" i="154"/>
  <c r="O13" i="154"/>
  <c r="K12" i="154"/>
  <c r="O12" i="154"/>
  <c r="K11" i="154"/>
  <c r="O11" i="154"/>
  <c r="K10" i="154"/>
  <c r="O10" i="154"/>
  <c r="K9" i="154"/>
  <c r="O9" i="154"/>
  <c r="K8" i="154"/>
  <c r="O8" i="154"/>
  <c r="K7" i="154"/>
  <c r="O7" i="154"/>
  <c r="K6" i="154"/>
  <c r="O6" i="154"/>
  <c r="K5" i="154"/>
  <c r="O5" i="154"/>
  <c r="G19" i="154"/>
  <c r="K4" i="154"/>
  <c r="O4" i="154"/>
  <c r="I13" i="154"/>
  <c r="I12" i="154"/>
  <c r="I11" i="154"/>
  <c r="I10" i="154"/>
  <c r="I9" i="154"/>
  <c r="I8" i="154"/>
  <c r="I7" i="154"/>
  <c r="I6" i="154"/>
  <c r="I5" i="154"/>
  <c r="I4" i="154"/>
  <c r="D2" i="221"/>
  <c r="D1" i="221"/>
  <c r="I14" i="221"/>
  <c r="H14" i="221"/>
  <c r="L2" i="221"/>
  <c r="D14" i="221"/>
  <c r="I13" i="221"/>
  <c r="H13" i="221"/>
  <c r="D13" i="221"/>
  <c r="I12" i="221"/>
  <c r="H12" i="221"/>
  <c r="D12" i="221"/>
  <c r="I11" i="221"/>
  <c r="H11" i="221"/>
  <c r="D11" i="221"/>
  <c r="I10" i="221"/>
  <c r="H10" i="221"/>
  <c r="D10" i="221"/>
  <c r="I9" i="221"/>
  <c r="H9" i="221"/>
  <c r="D9" i="221"/>
  <c r="I8" i="221"/>
  <c r="H8" i="221"/>
  <c r="D8" i="221"/>
  <c r="I7" i="221"/>
  <c r="H7" i="221"/>
  <c r="D7" i="221"/>
  <c r="I6" i="221"/>
  <c r="H6" i="221"/>
  <c r="D6" i="221"/>
  <c r="I5" i="221"/>
  <c r="H5" i="221"/>
  <c r="D5" i="221"/>
  <c r="I4" i="221"/>
  <c r="D4" i="221"/>
  <c r="K13" i="155"/>
  <c r="O13" i="155"/>
  <c r="K12" i="155"/>
  <c r="O12" i="155"/>
  <c r="K11" i="155"/>
  <c r="O11" i="155"/>
  <c r="K10" i="155"/>
  <c r="O10" i="155"/>
  <c r="K9" i="155"/>
  <c r="O9" i="155"/>
  <c r="K8" i="155"/>
  <c r="O8" i="155"/>
  <c r="K7" i="155"/>
  <c r="O7" i="155"/>
  <c r="K6" i="155"/>
  <c r="O6" i="155"/>
  <c r="K5" i="155"/>
  <c r="O5" i="155"/>
  <c r="K4" i="155"/>
  <c r="O4" i="155"/>
  <c r="I13" i="155"/>
  <c r="I12" i="155"/>
  <c r="I11" i="155"/>
  <c r="I10" i="155"/>
  <c r="I9" i="155"/>
  <c r="I8" i="155"/>
  <c r="I7" i="155"/>
  <c r="I6" i="155"/>
  <c r="I5" i="155"/>
  <c r="I4" i="155"/>
  <c r="D2" i="220"/>
  <c r="D1" i="220"/>
  <c r="I14" i="220"/>
  <c r="H14" i="220"/>
  <c r="L2" i="220"/>
  <c r="D14" i="220"/>
  <c r="I13" i="220"/>
  <c r="H13" i="220"/>
  <c r="D13" i="220"/>
  <c r="I12" i="220"/>
  <c r="H12" i="220"/>
  <c r="D12" i="220"/>
  <c r="I11" i="220"/>
  <c r="H11" i="220"/>
  <c r="D11" i="220"/>
  <c r="I10" i="220"/>
  <c r="H10" i="220"/>
  <c r="D10" i="220"/>
  <c r="I9" i="220"/>
  <c r="H9" i="220"/>
  <c r="D9" i="220"/>
  <c r="I8" i="220"/>
  <c r="H8" i="220"/>
  <c r="D8" i="220"/>
  <c r="I7" i="220"/>
  <c r="H7" i="220"/>
  <c r="D7" i="220"/>
  <c r="I6" i="220"/>
  <c r="H6" i="220"/>
  <c r="D6" i="220"/>
  <c r="I5" i="220"/>
  <c r="H5" i="220"/>
  <c r="D5" i="220"/>
  <c r="I4" i="220"/>
  <c r="D4" i="220"/>
  <c r="K13" i="156"/>
  <c r="O13" i="156"/>
  <c r="K12" i="156"/>
  <c r="O12" i="156"/>
  <c r="K11" i="156"/>
  <c r="O11" i="156"/>
  <c r="K10" i="156"/>
  <c r="O10" i="156"/>
  <c r="K9" i="156"/>
  <c r="O9" i="156"/>
  <c r="K8" i="156"/>
  <c r="O8" i="156"/>
  <c r="K7" i="156"/>
  <c r="O7" i="156"/>
  <c r="K6" i="156"/>
  <c r="O6" i="156"/>
  <c r="K5" i="156"/>
  <c r="O5" i="156"/>
  <c r="K4" i="156"/>
  <c r="O4" i="156"/>
  <c r="I13" i="156"/>
  <c r="I12" i="156"/>
  <c r="I11" i="156"/>
  <c r="I10" i="156"/>
  <c r="I9" i="156"/>
  <c r="I8" i="156"/>
  <c r="I7" i="156"/>
  <c r="I6" i="156"/>
  <c r="I5" i="156"/>
  <c r="I4" i="156"/>
  <c r="D2" i="218"/>
  <c r="L2" i="218"/>
  <c r="D2" i="217"/>
  <c r="L2" i="217"/>
  <c r="D2" i="219"/>
  <c r="L2" i="219"/>
  <c r="D1" i="219"/>
  <c r="I14" i="219"/>
  <c r="H14" i="219"/>
  <c r="D14" i="219"/>
  <c r="I13" i="219"/>
  <c r="H13" i="219"/>
  <c r="D13" i="219"/>
  <c r="I12" i="219"/>
  <c r="H12" i="219"/>
  <c r="D12" i="219"/>
  <c r="I11" i="219"/>
  <c r="H11" i="219"/>
  <c r="D11" i="219"/>
  <c r="I10" i="219"/>
  <c r="H10" i="219"/>
  <c r="D10" i="219"/>
  <c r="I9" i="219"/>
  <c r="H9" i="219"/>
  <c r="D9" i="219"/>
  <c r="I8" i="219"/>
  <c r="H8" i="219"/>
  <c r="D8" i="219"/>
  <c r="I7" i="219"/>
  <c r="H7" i="219"/>
  <c r="D7" i="219"/>
  <c r="I6" i="219"/>
  <c r="H6" i="219"/>
  <c r="D6" i="219"/>
  <c r="I5" i="219"/>
  <c r="H5" i="219"/>
  <c r="D5" i="219"/>
  <c r="I4" i="219"/>
  <c r="D4" i="219"/>
  <c r="K13" i="157"/>
  <c r="O13" i="157"/>
  <c r="K12" i="157"/>
  <c r="O12" i="157"/>
  <c r="K11" i="157"/>
  <c r="O11" i="157"/>
  <c r="K10" i="157"/>
  <c r="O10" i="157"/>
  <c r="K9" i="157"/>
  <c r="O9" i="157"/>
  <c r="K8" i="157"/>
  <c r="O8" i="157"/>
  <c r="K7" i="157"/>
  <c r="O7" i="157"/>
  <c r="K6" i="157"/>
  <c r="O6" i="157"/>
  <c r="K5" i="157"/>
  <c r="O5" i="157"/>
  <c r="K4" i="157"/>
  <c r="O4" i="157"/>
  <c r="I13" i="157"/>
  <c r="I12" i="157"/>
  <c r="I11" i="157"/>
  <c r="I10" i="157"/>
  <c r="I9" i="157"/>
  <c r="I8" i="157"/>
  <c r="I7" i="157"/>
  <c r="I6" i="157"/>
  <c r="I5" i="157"/>
  <c r="I4" i="157"/>
  <c r="I126" i="158"/>
  <c r="I115" i="158"/>
  <c r="I104" i="158"/>
  <c r="I94" i="158"/>
  <c r="I93" i="158"/>
  <c r="I83" i="158"/>
  <c r="I82" i="158"/>
  <c r="I71" i="158"/>
  <c r="I60" i="158"/>
  <c r="I49" i="158"/>
  <c r="I38" i="158"/>
  <c r="I27" i="158"/>
  <c r="I5" i="158"/>
  <c r="I16" i="158"/>
  <c r="I9" i="218"/>
  <c r="H9" i="218"/>
  <c r="D1" i="218"/>
  <c r="I14" i="218"/>
  <c r="H14" i="218"/>
  <c r="D14" i="218"/>
  <c r="I13" i="218"/>
  <c r="H13" i="218"/>
  <c r="D13" i="218"/>
  <c r="I12" i="218"/>
  <c r="H12" i="218"/>
  <c r="D12" i="218"/>
  <c r="I11" i="218"/>
  <c r="H11" i="218"/>
  <c r="D11" i="218"/>
  <c r="I10" i="218"/>
  <c r="H10" i="218"/>
  <c r="D10" i="218"/>
  <c r="D9" i="218"/>
  <c r="I8" i="218"/>
  <c r="H8" i="218"/>
  <c r="D8" i="218"/>
  <c r="I7" i="218"/>
  <c r="H7" i="218"/>
  <c r="D7" i="218"/>
  <c r="I6" i="218"/>
  <c r="H6" i="218"/>
  <c r="D6" i="218"/>
  <c r="I5" i="218"/>
  <c r="H5" i="218"/>
  <c r="D5" i="218"/>
  <c r="I4" i="218"/>
  <c r="D4" i="218"/>
  <c r="K13" i="158"/>
  <c r="O13" i="158"/>
  <c r="K12" i="158"/>
  <c r="O12" i="158"/>
  <c r="K11" i="158"/>
  <c r="O11" i="158"/>
  <c r="K10" i="158"/>
  <c r="O10" i="158"/>
  <c r="K9" i="158"/>
  <c r="O9" i="158"/>
  <c r="K8" i="158"/>
  <c r="O8" i="158"/>
  <c r="K7" i="158"/>
  <c r="O7" i="158"/>
  <c r="K6" i="158"/>
  <c r="O6" i="158"/>
  <c r="K5" i="158"/>
  <c r="O5" i="158"/>
  <c r="K4" i="158"/>
  <c r="O4" i="158"/>
  <c r="I13" i="158"/>
  <c r="I12" i="158"/>
  <c r="I11" i="158"/>
  <c r="I10" i="158"/>
  <c r="I9" i="158"/>
  <c r="I8" i="158"/>
  <c r="I7" i="158"/>
  <c r="I6" i="158"/>
  <c r="I4" i="158"/>
  <c r="D5" i="217"/>
  <c r="L2" i="208"/>
  <c r="L2" i="211"/>
  <c r="I14" i="159"/>
  <c r="I13" i="159"/>
  <c r="I12" i="159"/>
  <c r="I11" i="159"/>
  <c r="I10" i="159"/>
  <c r="I9" i="159"/>
  <c r="I8" i="159"/>
  <c r="I7" i="159"/>
  <c r="I6" i="159"/>
  <c r="I5" i="159"/>
  <c r="I4" i="159"/>
  <c r="D1" i="217"/>
  <c r="I15" i="217"/>
  <c r="H15" i="217"/>
  <c r="D15" i="217"/>
  <c r="I14" i="217"/>
  <c r="H14" i="217"/>
  <c r="D14" i="217"/>
  <c r="I13" i="217"/>
  <c r="H13" i="217"/>
  <c r="D13" i="217"/>
  <c r="I12" i="217"/>
  <c r="H12" i="217"/>
  <c r="D12" i="217"/>
  <c r="I11" i="217"/>
  <c r="H11" i="217"/>
  <c r="D11" i="217"/>
  <c r="I10" i="217"/>
  <c r="H10" i="217"/>
  <c r="D10" i="217"/>
  <c r="I9" i="217"/>
  <c r="H9" i="217"/>
  <c r="D9" i="217"/>
  <c r="I8" i="217"/>
  <c r="H8" i="217"/>
  <c r="D8" i="217"/>
  <c r="I7" i="217"/>
  <c r="H7" i="217"/>
  <c r="D7" i="217"/>
  <c r="I6" i="217"/>
  <c r="H6" i="217"/>
  <c r="D6" i="217"/>
  <c r="I5" i="217"/>
  <c r="H5" i="217"/>
  <c r="I4" i="217"/>
  <c r="D4" i="217"/>
  <c r="K14" i="159"/>
  <c r="O14" i="159"/>
  <c r="K13" i="159"/>
  <c r="O13" i="159"/>
  <c r="K12" i="159"/>
  <c r="O12" i="159"/>
  <c r="K11" i="159"/>
  <c r="O11" i="159"/>
  <c r="K10" i="159"/>
  <c r="O10" i="159"/>
  <c r="K9" i="159"/>
  <c r="O9" i="159"/>
  <c r="K8" i="159"/>
  <c r="O8" i="159"/>
  <c r="K7" i="159"/>
  <c r="O7" i="159"/>
  <c r="K6" i="159"/>
  <c r="O6" i="159"/>
  <c r="K5" i="159"/>
  <c r="O5" i="159"/>
  <c r="K4" i="159"/>
  <c r="O4" i="159"/>
  <c r="K12" i="160"/>
  <c r="O12" i="160"/>
  <c r="K11" i="160"/>
  <c r="O11" i="160"/>
  <c r="K10" i="160"/>
  <c r="O10" i="160"/>
  <c r="K9" i="160"/>
  <c r="O9" i="160"/>
  <c r="K8" i="160"/>
  <c r="O8" i="160"/>
  <c r="K7" i="160"/>
  <c r="O7" i="160"/>
  <c r="K6" i="160"/>
  <c r="O6" i="160"/>
  <c r="K5" i="160"/>
  <c r="O5" i="160"/>
  <c r="K4" i="160"/>
  <c r="O4" i="160"/>
  <c r="I12" i="160"/>
  <c r="I11" i="160"/>
  <c r="I10" i="160"/>
  <c r="I9" i="160"/>
  <c r="I8" i="160"/>
  <c r="I7" i="160"/>
  <c r="I6" i="160"/>
  <c r="I5" i="160"/>
  <c r="I4" i="160"/>
  <c r="D1" i="216"/>
  <c r="I13" i="216"/>
  <c r="H13" i="216"/>
  <c r="I12" i="216"/>
  <c r="H12" i="216"/>
  <c r="I11" i="216"/>
  <c r="H11" i="216"/>
  <c r="I10" i="216"/>
  <c r="H10" i="216"/>
  <c r="I9" i="216"/>
  <c r="H9" i="216"/>
  <c r="I8" i="216"/>
  <c r="H8" i="216"/>
  <c r="I7" i="216"/>
  <c r="H7" i="216"/>
  <c r="I6" i="216"/>
  <c r="H6" i="216"/>
  <c r="I5" i="216"/>
  <c r="H5" i="216"/>
  <c r="D1" i="215"/>
  <c r="I13" i="215"/>
  <c r="H13" i="215"/>
  <c r="I12" i="215"/>
  <c r="H12" i="215"/>
  <c r="I11" i="215"/>
  <c r="H11" i="215"/>
  <c r="I10" i="215"/>
  <c r="H10" i="215"/>
  <c r="I9" i="215"/>
  <c r="H9" i="215"/>
  <c r="I8" i="215"/>
  <c r="H8" i="215"/>
  <c r="I7" i="215"/>
  <c r="H7" i="215"/>
  <c r="I6" i="215"/>
  <c r="H6" i="215"/>
  <c r="I5" i="215"/>
  <c r="H5" i="215"/>
  <c r="K12" i="161"/>
  <c r="O12" i="161"/>
  <c r="K11" i="161"/>
  <c r="O11" i="161"/>
  <c r="K10" i="161"/>
  <c r="O10" i="161"/>
  <c r="K9" i="161"/>
  <c r="O9" i="161"/>
  <c r="K8" i="161"/>
  <c r="O8" i="161"/>
  <c r="K7" i="161"/>
  <c r="O7" i="161"/>
  <c r="K6" i="161"/>
  <c r="O6" i="161"/>
  <c r="K5" i="161"/>
  <c r="O5" i="161"/>
  <c r="K4" i="161"/>
  <c r="O4" i="161"/>
  <c r="I12" i="161"/>
  <c r="I11" i="161"/>
  <c r="I10" i="161"/>
  <c r="I9" i="161"/>
  <c r="I8" i="161"/>
  <c r="I7" i="161"/>
  <c r="I6" i="161"/>
  <c r="I5" i="161"/>
  <c r="I4" i="161"/>
  <c r="D1" i="214"/>
  <c r="I12" i="214"/>
  <c r="I11" i="214"/>
  <c r="I10" i="214"/>
  <c r="I9" i="214"/>
  <c r="I8" i="214"/>
  <c r="I6" i="214"/>
  <c r="I5" i="214"/>
  <c r="K12" i="162"/>
  <c r="O12" i="162"/>
  <c r="K11" i="162"/>
  <c r="O11" i="162"/>
  <c r="K10" i="162"/>
  <c r="O10" i="162"/>
  <c r="K9" i="162"/>
  <c r="O9" i="162"/>
  <c r="K8" i="162"/>
  <c r="O8" i="162"/>
  <c r="K7" i="162"/>
  <c r="O7" i="162"/>
  <c r="K6" i="162"/>
  <c r="O6" i="162"/>
  <c r="K5" i="162"/>
  <c r="O5" i="162"/>
  <c r="K4" i="162"/>
  <c r="O4" i="162"/>
  <c r="I12" i="162"/>
  <c r="I11" i="162"/>
  <c r="I10" i="162"/>
  <c r="I9" i="162"/>
  <c r="I8" i="162"/>
  <c r="I7" i="162"/>
  <c r="I6" i="162"/>
  <c r="I5" i="162"/>
  <c r="I4" i="162"/>
  <c r="D1" i="213"/>
  <c r="I13" i="213"/>
  <c r="I12" i="213"/>
  <c r="I11" i="213"/>
  <c r="I10" i="213"/>
  <c r="I9" i="213"/>
  <c r="I8" i="213"/>
  <c r="I7" i="213"/>
  <c r="I6" i="213"/>
  <c r="I5" i="213"/>
  <c r="K12" i="163"/>
  <c r="O12" i="163"/>
  <c r="K11" i="163"/>
  <c r="O11" i="163"/>
  <c r="K10" i="163"/>
  <c r="O10" i="163"/>
  <c r="K9" i="163"/>
  <c r="O9" i="163"/>
  <c r="K8" i="163"/>
  <c r="O8" i="163"/>
  <c r="K7" i="163"/>
  <c r="O7" i="163"/>
  <c r="K6" i="163"/>
  <c r="O6" i="163"/>
  <c r="K5" i="163"/>
  <c r="O5" i="163"/>
  <c r="K4" i="163"/>
  <c r="O4" i="163"/>
  <c r="I12" i="163"/>
  <c r="I11" i="163"/>
  <c r="I10" i="163"/>
  <c r="I9" i="163"/>
  <c r="I8" i="163"/>
  <c r="I7" i="163"/>
  <c r="I6" i="163"/>
  <c r="I5" i="163"/>
  <c r="I4" i="163"/>
  <c r="D1" i="212"/>
  <c r="I13" i="212"/>
  <c r="I12" i="212"/>
  <c r="I11" i="212"/>
  <c r="I10" i="212"/>
  <c r="I9" i="212"/>
  <c r="I8" i="212"/>
  <c r="I7" i="212"/>
  <c r="I6" i="212"/>
  <c r="I5" i="212"/>
  <c r="D2" i="207"/>
  <c r="L2" i="207"/>
  <c r="I14" i="211"/>
  <c r="H14" i="211"/>
  <c r="D14" i="211"/>
  <c r="I13" i="211"/>
  <c r="H13" i="211"/>
  <c r="D13" i="211"/>
  <c r="I12" i="211"/>
  <c r="H12" i="211"/>
  <c r="D12" i="211"/>
  <c r="I11" i="211"/>
  <c r="H11" i="211"/>
  <c r="D11" i="211"/>
  <c r="I10" i="211"/>
  <c r="H10" i="211"/>
  <c r="D10" i="211"/>
  <c r="I9" i="211"/>
  <c r="H9" i="211"/>
  <c r="D9" i="211"/>
  <c r="I8" i="211"/>
  <c r="H8" i="211"/>
  <c r="D8" i="211"/>
  <c r="I7" i="211"/>
  <c r="H7" i="211"/>
  <c r="D7" i="211"/>
  <c r="I6" i="211"/>
  <c r="H6" i="211"/>
  <c r="D6" i="211"/>
  <c r="I5" i="211"/>
  <c r="H5" i="211"/>
  <c r="D5" i="211"/>
  <c r="D1" i="211"/>
  <c r="D5" i="208"/>
  <c r="D6" i="208"/>
  <c r="D7" i="208"/>
  <c r="D8" i="208"/>
  <c r="D9" i="208"/>
  <c r="D10" i="208"/>
  <c r="D11" i="208"/>
  <c r="D12" i="208"/>
  <c r="D13" i="208"/>
  <c r="D14" i="208"/>
  <c r="I5" i="208"/>
  <c r="I6" i="208"/>
  <c r="I7" i="208"/>
  <c r="I8" i="208"/>
  <c r="I9" i="208"/>
  <c r="I10" i="208"/>
  <c r="I11" i="208"/>
  <c r="I12" i="208"/>
  <c r="I13" i="208"/>
  <c r="I14" i="208"/>
  <c r="K12" i="164"/>
  <c r="O12" i="164"/>
  <c r="K11" i="164"/>
  <c r="O11" i="164"/>
  <c r="K10" i="164"/>
  <c r="O10" i="164"/>
  <c r="K9" i="164"/>
  <c r="O9" i="164"/>
  <c r="K8" i="164"/>
  <c r="O8" i="164"/>
  <c r="K7" i="164"/>
  <c r="O7" i="164"/>
  <c r="K6" i="164"/>
  <c r="O6" i="164"/>
  <c r="K5" i="164"/>
  <c r="O5" i="164"/>
  <c r="K4" i="164"/>
  <c r="O4" i="164"/>
  <c r="I12" i="164"/>
  <c r="I11" i="164"/>
  <c r="I10" i="164"/>
  <c r="I9" i="164"/>
  <c r="I8" i="164"/>
  <c r="I7" i="164"/>
  <c r="I6" i="164"/>
  <c r="I5" i="164"/>
  <c r="I4" i="164"/>
  <c r="H12" i="210"/>
  <c r="H11" i="210"/>
  <c r="H10" i="210"/>
  <c r="H9" i="210"/>
  <c r="H8" i="210"/>
  <c r="H7" i="210"/>
  <c r="H6" i="210"/>
  <c r="D1" i="210"/>
  <c r="H13" i="210"/>
  <c r="H5" i="210"/>
  <c r="K12" i="165"/>
  <c r="O12" i="165"/>
  <c r="K11" i="165"/>
  <c r="O11" i="165"/>
  <c r="K10" i="165"/>
  <c r="O10" i="165"/>
  <c r="K9" i="165"/>
  <c r="O9" i="165"/>
  <c r="K8" i="165"/>
  <c r="O8" i="165"/>
  <c r="K7" i="165"/>
  <c r="O7" i="165"/>
  <c r="K6" i="165"/>
  <c r="O6" i="165"/>
  <c r="K5" i="165"/>
  <c r="O5" i="165"/>
  <c r="K4" i="165"/>
  <c r="O4" i="165"/>
  <c r="I12" i="165"/>
  <c r="I11" i="165"/>
  <c r="I10" i="165"/>
  <c r="I9" i="165"/>
  <c r="I8" i="165"/>
  <c r="I7" i="165"/>
  <c r="I6" i="165"/>
  <c r="I5" i="165"/>
  <c r="I4" i="165"/>
  <c r="K13" i="166"/>
  <c r="O13" i="166"/>
  <c r="K12" i="166"/>
  <c r="O12" i="166"/>
  <c r="K11" i="166"/>
  <c r="O11" i="166"/>
  <c r="K10" i="166"/>
  <c r="O10" i="166"/>
  <c r="K9" i="166"/>
  <c r="O9" i="166"/>
  <c r="K8" i="166"/>
  <c r="O8" i="166"/>
  <c r="K7" i="166"/>
  <c r="O7" i="166"/>
  <c r="K6" i="166"/>
  <c r="O6" i="166"/>
  <c r="K5" i="166"/>
  <c r="O5" i="166"/>
  <c r="K4" i="166"/>
  <c r="O4" i="166"/>
  <c r="I13" i="166"/>
  <c r="I12" i="166"/>
  <c r="I11" i="166"/>
  <c r="I10" i="166"/>
  <c r="I9" i="166"/>
  <c r="I8" i="166"/>
  <c r="I7" i="166"/>
  <c r="I6" i="166"/>
  <c r="I5" i="166"/>
  <c r="I4" i="166"/>
  <c r="K13" i="167"/>
  <c r="O13" i="167"/>
  <c r="K12" i="167"/>
  <c r="O12" i="167"/>
  <c r="K11" i="167"/>
  <c r="O11" i="167"/>
  <c r="K10" i="167"/>
  <c r="O10" i="167"/>
  <c r="K9" i="167"/>
  <c r="O9" i="167"/>
  <c r="K8" i="167"/>
  <c r="O8" i="167"/>
  <c r="K7" i="167"/>
  <c r="O7" i="167"/>
  <c r="K6" i="167"/>
  <c r="O6" i="167"/>
  <c r="K5" i="167"/>
  <c r="O5" i="167"/>
  <c r="K4" i="167"/>
  <c r="O4" i="167"/>
  <c r="I13" i="167"/>
  <c r="I12" i="167"/>
  <c r="I11" i="167"/>
  <c r="I10" i="167"/>
  <c r="I9" i="167"/>
  <c r="I8" i="167"/>
  <c r="I7" i="167"/>
  <c r="I6" i="167"/>
  <c r="I5" i="167"/>
  <c r="I4" i="167"/>
  <c r="D1" i="208"/>
  <c r="H14" i="208"/>
  <c r="H13" i="208"/>
  <c r="H12" i="208"/>
  <c r="H11" i="208"/>
  <c r="H10" i="208"/>
  <c r="H9" i="208"/>
  <c r="H8" i="208"/>
  <c r="H7" i="208"/>
  <c r="H6" i="208"/>
  <c r="H5" i="208"/>
  <c r="D1" i="207"/>
  <c r="B2" i="207"/>
  <c r="I14" i="207"/>
  <c r="H14" i="207"/>
  <c r="D14" i="207"/>
  <c r="I13" i="207"/>
  <c r="H13" i="207"/>
  <c r="D13" i="207"/>
  <c r="I12" i="207"/>
  <c r="H12" i="207"/>
  <c r="D12" i="207"/>
  <c r="I11" i="207"/>
  <c r="H11" i="207"/>
  <c r="D11" i="207"/>
  <c r="I10" i="207"/>
  <c r="H10" i="207"/>
  <c r="D10" i="207"/>
  <c r="I9" i="207"/>
  <c r="H9" i="207"/>
  <c r="D9" i="207"/>
  <c r="I8" i="207"/>
  <c r="H8" i="207"/>
  <c r="D8" i="207"/>
  <c r="I7" i="207"/>
  <c r="H7" i="207"/>
  <c r="D7" i="207"/>
  <c r="I6" i="207"/>
  <c r="H6" i="207"/>
  <c r="D6" i="207"/>
  <c r="I5" i="207"/>
  <c r="H5" i="207"/>
  <c r="D5" i="207"/>
  <c r="I4" i="207"/>
  <c r="H4" i="207"/>
  <c r="D4" i="207"/>
  <c r="F1" i="207"/>
  <c r="K13" i="168"/>
  <c r="O13" i="168"/>
  <c r="K12" i="168"/>
  <c r="O12" i="168"/>
  <c r="K11" i="168"/>
  <c r="O11" i="168"/>
  <c r="K10" i="168"/>
  <c r="O10" i="168"/>
  <c r="K9" i="168"/>
  <c r="O9" i="168"/>
  <c r="K8" i="168"/>
  <c r="O8" i="168"/>
  <c r="K7" i="168"/>
  <c r="O7" i="168"/>
  <c r="K6" i="168"/>
  <c r="O6" i="168"/>
  <c r="K5" i="168"/>
  <c r="O5" i="168"/>
  <c r="K4" i="168"/>
  <c r="O4" i="168"/>
  <c r="I13" i="168"/>
  <c r="I12" i="168"/>
  <c r="I11" i="168"/>
  <c r="I10" i="168"/>
  <c r="I9" i="168"/>
  <c r="I8" i="168"/>
  <c r="I7" i="168"/>
  <c r="I6" i="168"/>
  <c r="I5" i="168"/>
  <c r="I4" i="168"/>
  <c r="D2" i="206"/>
  <c r="L2" i="206"/>
  <c r="D2" i="205"/>
  <c r="L2" i="205"/>
  <c r="D2" i="204"/>
  <c r="L2" i="204"/>
  <c r="D1" i="206"/>
  <c r="B2" i="206"/>
  <c r="I14" i="206"/>
  <c r="H14" i="206"/>
  <c r="D14" i="206"/>
  <c r="I13" i="206"/>
  <c r="H13" i="206"/>
  <c r="D13" i="206"/>
  <c r="I12" i="206"/>
  <c r="H12" i="206"/>
  <c r="D12" i="206"/>
  <c r="I11" i="206"/>
  <c r="H11" i="206"/>
  <c r="D11" i="206"/>
  <c r="I10" i="206"/>
  <c r="H10" i="206"/>
  <c r="D10" i="206"/>
  <c r="I9" i="206"/>
  <c r="H9" i="206"/>
  <c r="D9" i="206"/>
  <c r="I8" i="206"/>
  <c r="H8" i="206"/>
  <c r="D8" i="206"/>
  <c r="I7" i="206"/>
  <c r="H7" i="206"/>
  <c r="D7" i="206"/>
  <c r="I6" i="206"/>
  <c r="H6" i="206"/>
  <c r="D6" i="206"/>
  <c r="I5" i="206"/>
  <c r="H5" i="206"/>
  <c r="D5" i="206"/>
  <c r="I4" i="206"/>
  <c r="H4" i="206"/>
  <c r="D4" i="206"/>
  <c r="F1" i="206"/>
  <c r="O13" i="169"/>
  <c r="O12" i="169"/>
  <c r="O11" i="169"/>
  <c r="O10" i="169"/>
  <c r="O9" i="169"/>
  <c r="O8" i="169"/>
  <c r="O7" i="169"/>
  <c r="O6" i="169"/>
  <c r="O5" i="169"/>
  <c r="O4" i="169"/>
  <c r="I13" i="169"/>
  <c r="I12" i="169"/>
  <c r="I11" i="169"/>
  <c r="I10" i="169"/>
  <c r="I9" i="169"/>
  <c r="I8" i="169"/>
  <c r="I7" i="169"/>
  <c r="I6" i="169"/>
  <c r="I5" i="169"/>
  <c r="I4" i="169"/>
  <c r="D1" i="205"/>
  <c r="B2" i="205"/>
  <c r="I14" i="205"/>
  <c r="H14" i="205"/>
  <c r="D14" i="205"/>
  <c r="I13" i="205"/>
  <c r="H13" i="205"/>
  <c r="D13" i="205"/>
  <c r="I12" i="205"/>
  <c r="H12" i="205"/>
  <c r="D12" i="205"/>
  <c r="I11" i="205"/>
  <c r="H11" i="205"/>
  <c r="D11" i="205"/>
  <c r="I10" i="205"/>
  <c r="H10" i="205"/>
  <c r="D10" i="205"/>
  <c r="I9" i="205"/>
  <c r="H9" i="205"/>
  <c r="D9" i="205"/>
  <c r="I8" i="205"/>
  <c r="H8" i="205"/>
  <c r="D8" i="205"/>
  <c r="I7" i="205"/>
  <c r="H7" i="205"/>
  <c r="D7" i="205"/>
  <c r="I6" i="205"/>
  <c r="H6" i="205"/>
  <c r="D6" i="205"/>
  <c r="I5" i="205"/>
  <c r="H5" i="205"/>
  <c r="D5" i="205"/>
  <c r="I4" i="205"/>
  <c r="H4" i="205"/>
  <c r="D4" i="205"/>
  <c r="I13" i="170"/>
  <c r="I12" i="170"/>
  <c r="I11" i="170"/>
  <c r="I10" i="170"/>
  <c r="I9" i="170"/>
  <c r="I8" i="170"/>
  <c r="I7" i="170"/>
  <c r="I6" i="170"/>
  <c r="I5" i="170"/>
  <c r="I4" i="170"/>
  <c r="D1" i="204"/>
  <c r="B2" i="204"/>
  <c r="I14" i="204"/>
  <c r="H14" i="204"/>
  <c r="I13" i="204"/>
  <c r="H13" i="204"/>
  <c r="I12" i="204"/>
  <c r="H12" i="204"/>
  <c r="I11" i="204"/>
  <c r="H11" i="204"/>
  <c r="I10" i="204"/>
  <c r="H10" i="204"/>
  <c r="I9" i="204"/>
  <c r="H9" i="204"/>
  <c r="I8" i="204"/>
  <c r="H8" i="204"/>
  <c r="I7" i="204"/>
  <c r="H7" i="204"/>
  <c r="I6" i="204"/>
  <c r="H6" i="204"/>
  <c r="I5" i="204"/>
  <c r="H5" i="204"/>
  <c r="I4" i="204"/>
  <c r="H4" i="204"/>
  <c r="I13" i="171"/>
  <c r="I12" i="171"/>
  <c r="I11" i="171"/>
  <c r="I10" i="171"/>
  <c r="I9" i="171"/>
  <c r="I8" i="171"/>
  <c r="I7" i="171"/>
  <c r="I6" i="171"/>
  <c r="I5" i="171"/>
  <c r="I4" i="171"/>
  <c r="I13" i="200"/>
  <c r="H13" i="200"/>
  <c r="I12" i="200"/>
  <c r="H12" i="200"/>
  <c r="I11" i="200"/>
  <c r="H11" i="200"/>
  <c r="I10" i="200"/>
  <c r="H10" i="200"/>
  <c r="I9" i="200"/>
  <c r="H9" i="200"/>
  <c r="D2" i="201"/>
  <c r="L2" i="201"/>
  <c r="D6" i="201"/>
  <c r="D5" i="201"/>
  <c r="I13" i="201"/>
  <c r="H13" i="201"/>
  <c r="I12" i="201"/>
  <c r="H12" i="201"/>
  <c r="I11" i="201"/>
  <c r="H11" i="201"/>
  <c r="I10" i="201"/>
  <c r="H10" i="201"/>
  <c r="I9" i="201"/>
  <c r="H9" i="201"/>
  <c r="I4" i="201"/>
  <c r="D7" i="201"/>
  <c r="D8" i="201"/>
  <c r="D9" i="201"/>
  <c r="D10" i="201"/>
  <c r="D11" i="201"/>
  <c r="D12" i="201"/>
  <c r="D13" i="201"/>
  <c r="D14" i="201"/>
  <c r="I5" i="201"/>
  <c r="I6" i="201"/>
  <c r="I7" i="201"/>
  <c r="I8" i="201"/>
  <c r="I14" i="201"/>
  <c r="D4" i="201"/>
  <c r="H6" i="201"/>
  <c r="H5" i="201"/>
  <c r="B2" i="201"/>
  <c r="H4" i="201"/>
  <c r="I13" i="172"/>
  <c r="I12" i="172"/>
  <c r="I11" i="172"/>
  <c r="I10" i="172"/>
  <c r="I9" i="172"/>
  <c r="I8" i="172"/>
  <c r="I7" i="172"/>
  <c r="I6" i="172"/>
  <c r="I5" i="172"/>
  <c r="I4" i="172"/>
  <c r="D2" i="199"/>
  <c r="L2" i="199"/>
  <c r="D10" i="199"/>
  <c r="D9" i="199"/>
  <c r="D8" i="199"/>
  <c r="D7" i="199"/>
  <c r="D6" i="199"/>
  <c r="C5" i="199"/>
  <c r="B5" i="199"/>
  <c r="B2" i="199"/>
  <c r="B2" i="197"/>
  <c r="A5" i="199"/>
  <c r="I9" i="199"/>
  <c r="H9" i="199"/>
  <c r="I8" i="199"/>
  <c r="H8" i="199"/>
  <c r="I7" i="199"/>
  <c r="H7" i="199"/>
  <c r="I6" i="199"/>
  <c r="H6" i="199"/>
  <c r="I5" i="199"/>
  <c r="H5" i="199"/>
  <c r="D2" i="200"/>
  <c r="L2" i="200"/>
  <c r="D14" i="200"/>
  <c r="D13" i="200"/>
  <c r="D12" i="200"/>
  <c r="D11" i="200"/>
  <c r="D10" i="200"/>
  <c r="D9" i="200"/>
  <c r="D8" i="200"/>
  <c r="D7" i="200"/>
  <c r="D6" i="200"/>
  <c r="D5" i="200"/>
  <c r="B2" i="198"/>
  <c r="A5" i="198"/>
  <c r="B5" i="198"/>
  <c r="C5" i="198"/>
  <c r="H4" i="198"/>
  <c r="I4" i="198"/>
  <c r="D2" i="198"/>
  <c r="L2" i="198"/>
  <c r="D10" i="198"/>
  <c r="D9" i="198"/>
  <c r="D8" i="198"/>
  <c r="D7" i="198"/>
  <c r="D6" i="198"/>
  <c r="I5" i="198"/>
  <c r="H5" i="198"/>
  <c r="D2" i="197"/>
  <c r="L2" i="197"/>
  <c r="D15" i="197"/>
  <c r="D14" i="197"/>
  <c r="D13" i="197"/>
  <c r="D12" i="197"/>
  <c r="D11" i="197"/>
  <c r="D10" i="197"/>
  <c r="D9" i="197"/>
  <c r="D8" i="197"/>
  <c r="D7" i="197"/>
  <c r="D6" i="197"/>
  <c r="D5" i="197"/>
  <c r="I14" i="197"/>
  <c r="H14" i="197"/>
  <c r="I13" i="197"/>
  <c r="H13" i="197"/>
  <c r="I12" i="197"/>
  <c r="H12" i="197"/>
  <c r="I11" i="197"/>
  <c r="H11" i="197"/>
  <c r="I10" i="197"/>
  <c r="H10" i="197"/>
  <c r="I9" i="197"/>
  <c r="H9" i="197"/>
  <c r="I8" i="197"/>
  <c r="H8" i="197"/>
  <c r="I7" i="197"/>
  <c r="H7" i="197"/>
  <c r="I6" i="197"/>
  <c r="H6" i="197"/>
  <c r="H5" i="197"/>
  <c r="I5" i="197"/>
  <c r="I15" i="176"/>
  <c r="I14" i="176"/>
  <c r="I13" i="176"/>
  <c r="I12" i="176"/>
  <c r="I11" i="176"/>
  <c r="I10" i="176"/>
  <c r="I9" i="176"/>
  <c r="I8" i="176"/>
  <c r="I7" i="176"/>
  <c r="I6" i="176"/>
  <c r="I5" i="176"/>
  <c r="I4" i="176"/>
  <c r="I15" i="196"/>
  <c r="H15" i="196"/>
  <c r="I14" i="196"/>
  <c r="H14" i="196"/>
  <c r="I13" i="196"/>
  <c r="H13" i="196"/>
  <c r="I12" i="196"/>
  <c r="H12" i="196"/>
  <c r="I11" i="196"/>
  <c r="H11" i="196"/>
  <c r="I10" i="196"/>
  <c r="H10" i="196"/>
  <c r="I9" i="196"/>
  <c r="H9" i="196"/>
  <c r="I8" i="196"/>
  <c r="H8" i="196"/>
  <c r="I7" i="196"/>
  <c r="H7" i="196"/>
  <c r="I6" i="196"/>
  <c r="H6" i="196"/>
  <c r="H5" i="196"/>
  <c r="I5" i="196"/>
  <c r="D2" i="196"/>
  <c r="L2" i="196"/>
  <c r="D16" i="196"/>
  <c r="D15" i="196"/>
  <c r="D14" i="196"/>
  <c r="D13" i="196"/>
  <c r="D12" i="196"/>
  <c r="D11" i="196"/>
  <c r="D10" i="196"/>
  <c r="D9" i="196"/>
  <c r="D8" i="196"/>
  <c r="D7" i="196"/>
  <c r="D6" i="196"/>
  <c r="D5" i="196"/>
  <c r="I16" i="177"/>
  <c r="I15" i="177"/>
  <c r="I14" i="177"/>
  <c r="I13" i="177"/>
  <c r="I12" i="177"/>
  <c r="I11" i="177"/>
  <c r="I10" i="177"/>
  <c r="I9" i="177"/>
  <c r="I8" i="177"/>
  <c r="I7" i="177"/>
  <c r="I6" i="177"/>
  <c r="I5" i="177"/>
  <c r="I4" i="177"/>
  <c r="D2" i="195"/>
  <c r="L2" i="195"/>
  <c r="D12" i="195"/>
  <c r="D11" i="195"/>
  <c r="D10" i="195"/>
  <c r="D9" i="195"/>
  <c r="D8" i="195"/>
  <c r="D7" i="195"/>
  <c r="D6" i="195"/>
  <c r="D5" i="195"/>
  <c r="D2" i="194"/>
  <c r="L2" i="194"/>
  <c r="D14" i="194"/>
  <c r="D13" i="194"/>
  <c r="D12" i="194"/>
  <c r="D11" i="194"/>
  <c r="D10" i="194"/>
  <c r="D9" i="194"/>
  <c r="D8" i="194"/>
  <c r="D7" i="194"/>
  <c r="D6" i="194"/>
  <c r="D5" i="194"/>
  <c r="K13" i="170"/>
  <c r="O13" i="170"/>
  <c r="K12" i="170"/>
  <c r="O12" i="170"/>
  <c r="K11" i="170"/>
  <c r="O11" i="170"/>
  <c r="K10" i="170"/>
  <c r="O10" i="170"/>
  <c r="K9" i="170"/>
  <c r="O9" i="170"/>
  <c r="K8" i="170"/>
  <c r="O8" i="170"/>
  <c r="K7" i="170"/>
  <c r="O7" i="170"/>
  <c r="K6" i="170"/>
  <c r="O6" i="170"/>
  <c r="K5" i="170"/>
  <c r="O5" i="170"/>
  <c r="G59" i="170"/>
  <c r="K4" i="170"/>
  <c r="O4" i="170"/>
  <c r="K13" i="171"/>
  <c r="O13" i="171"/>
  <c r="K12" i="171"/>
  <c r="O12" i="171"/>
  <c r="K11" i="171"/>
  <c r="O11" i="171"/>
  <c r="K10" i="171"/>
  <c r="O10" i="171"/>
  <c r="K9" i="171"/>
  <c r="O9" i="171"/>
  <c r="K8" i="171"/>
  <c r="O8" i="171"/>
  <c r="K7" i="171"/>
  <c r="O7" i="171"/>
  <c r="K6" i="171"/>
  <c r="O6" i="171"/>
  <c r="K5" i="171"/>
  <c r="O5" i="171"/>
  <c r="G48" i="171"/>
  <c r="K4" i="171"/>
  <c r="O4" i="171"/>
  <c r="H14" i="201"/>
  <c r="H8" i="201"/>
  <c r="H7" i="201"/>
  <c r="K13" i="172"/>
  <c r="O13" i="172"/>
  <c r="K12" i="172"/>
  <c r="O12" i="172"/>
  <c r="K11" i="172"/>
  <c r="O11" i="172"/>
  <c r="K10" i="172"/>
  <c r="O10" i="172"/>
  <c r="K9" i="172"/>
  <c r="O9" i="172"/>
  <c r="K8" i="172"/>
  <c r="O8" i="172"/>
  <c r="K7" i="172"/>
  <c r="O7" i="172"/>
  <c r="K6" i="172"/>
  <c r="O6" i="172"/>
  <c r="K5" i="172"/>
  <c r="O5" i="172"/>
  <c r="K4" i="172"/>
  <c r="O4" i="172"/>
  <c r="D1" i="201"/>
  <c r="F1" i="201"/>
  <c r="I5" i="200"/>
  <c r="I6" i="200"/>
  <c r="I7" i="200"/>
  <c r="I8" i="200"/>
  <c r="I14" i="200"/>
  <c r="I4" i="200"/>
  <c r="D4" i="200"/>
  <c r="B2" i="200"/>
  <c r="H4" i="200"/>
  <c r="H5" i="200"/>
  <c r="H6" i="200"/>
  <c r="H7" i="200"/>
  <c r="H8" i="200"/>
  <c r="H14" i="200"/>
  <c r="F1" i="200"/>
  <c r="K13" i="173"/>
  <c r="O13" i="173"/>
  <c r="K12" i="173"/>
  <c r="O12" i="173"/>
  <c r="K11" i="173"/>
  <c r="O11" i="173"/>
  <c r="K10" i="173"/>
  <c r="O10" i="173"/>
  <c r="K9" i="173"/>
  <c r="O9" i="173"/>
  <c r="K8" i="173"/>
  <c r="O8" i="173"/>
  <c r="K7" i="173"/>
  <c r="O7" i="173"/>
  <c r="K6" i="173"/>
  <c r="O6" i="173"/>
  <c r="K5" i="173"/>
  <c r="O5" i="173"/>
  <c r="K4" i="173"/>
  <c r="O4" i="173"/>
  <c r="D1" i="200"/>
  <c r="D1" i="199"/>
  <c r="I10" i="199"/>
  <c r="H10" i="199"/>
  <c r="I4" i="199"/>
  <c r="H4" i="199"/>
  <c r="K8" i="174"/>
  <c r="O8" i="174"/>
  <c r="K7" i="174"/>
  <c r="O7" i="174"/>
  <c r="K6" i="174"/>
  <c r="O6" i="174"/>
  <c r="K5" i="174"/>
  <c r="O5" i="174"/>
  <c r="K4" i="174"/>
  <c r="O4" i="174"/>
  <c r="K8" i="175"/>
  <c r="O8" i="175"/>
  <c r="K7" i="175"/>
  <c r="O7" i="175"/>
  <c r="K6" i="175"/>
  <c r="O6" i="175"/>
  <c r="K5" i="175"/>
  <c r="O5" i="175"/>
  <c r="K4" i="175"/>
  <c r="O4" i="175"/>
  <c r="I10" i="198"/>
  <c r="H10" i="198"/>
  <c r="I9" i="198"/>
  <c r="H9" i="198"/>
  <c r="I8" i="198"/>
  <c r="H8" i="198"/>
  <c r="I7" i="198"/>
  <c r="H7" i="198"/>
  <c r="I6" i="198"/>
  <c r="H6" i="198"/>
  <c r="D1" i="198"/>
  <c r="I15" i="197"/>
  <c r="H15" i="197"/>
  <c r="I16" i="196"/>
  <c r="H16" i="196"/>
  <c r="O15" i="176"/>
  <c r="O14" i="176"/>
  <c r="O13" i="176"/>
  <c r="O12" i="176"/>
  <c r="O11" i="176"/>
  <c r="O10" i="176"/>
  <c r="O9" i="176"/>
  <c r="O8" i="176"/>
  <c r="O7" i="176"/>
  <c r="O6" i="176"/>
  <c r="O5" i="176"/>
  <c r="O4" i="176"/>
  <c r="D1" i="197"/>
  <c r="I4" i="197"/>
  <c r="H4" i="197"/>
  <c r="D4" i="197"/>
  <c r="F1" i="197"/>
  <c r="I4" i="196"/>
  <c r="D4" i="196"/>
  <c r="B2" i="196"/>
  <c r="H4" i="196"/>
  <c r="D1" i="196"/>
  <c r="F1" i="196"/>
  <c r="K16" i="177"/>
  <c r="O16" i="177"/>
  <c r="K15" i="177"/>
  <c r="O15" i="177"/>
  <c r="K14" i="177"/>
  <c r="O14" i="177"/>
  <c r="K13" i="177"/>
  <c r="O13" i="177"/>
  <c r="K12" i="177"/>
  <c r="O12" i="177"/>
  <c r="K11" i="177"/>
  <c r="O11" i="177"/>
  <c r="K10" i="177"/>
  <c r="O10" i="177"/>
  <c r="K9" i="177"/>
  <c r="O9" i="177"/>
  <c r="K8" i="177"/>
  <c r="O8" i="177"/>
  <c r="K7" i="177"/>
  <c r="O7" i="177"/>
  <c r="K6" i="177"/>
  <c r="O6" i="177"/>
  <c r="K5" i="177"/>
  <c r="O5" i="177"/>
  <c r="K4" i="177"/>
  <c r="O4" i="177"/>
  <c r="I12" i="195"/>
  <c r="H12" i="195"/>
  <c r="D1" i="195"/>
  <c r="B2" i="195"/>
  <c r="I11" i="195"/>
  <c r="H11" i="195"/>
  <c r="I10" i="195"/>
  <c r="H10" i="195"/>
  <c r="I9" i="195"/>
  <c r="H9" i="195"/>
  <c r="I8" i="195"/>
  <c r="H8" i="195"/>
  <c r="I7" i="195"/>
  <c r="H7" i="195"/>
  <c r="I6" i="195"/>
  <c r="H6" i="195"/>
  <c r="I5" i="195"/>
  <c r="H5" i="195"/>
  <c r="I4" i="195"/>
  <c r="H4" i="195"/>
  <c r="D4" i="195"/>
  <c r="F1" i="195"/>
  <c r="D2" i="99"/>
  <c r="D2" i="98"/>
  <c r="D2" i="97"/>
  <c r="D2" i="96"/>
  <c r="D2" i="95"/>
  <c r="D2" i="94"/>
  <c r="D2" i="93"/>
  <c r="D2" i="92"/>
  <c r="D2" i="91"/>
  <c r="D2" i="90"/>
  <c r="D2" i="89"/>
  <c r="D2" i="116"/>
  <c r="D2" i="115"/>
  <c r="D2" i="86"/>
  <c r="D2" i="85"/>
  <c r="D2" i="114"/>
  <c r="D2" i="113"/>
  <c r="D2" i="121"/>
  <c r="D2" i="117"/>
  <c r="D2" i="122"/>
  <c r="D2" i="124"/>
  <c r="D2" i="126"/>
  <c r="D2" i="128"/>
  <c r="D2" i="130"/>
  <c r="D2" i="132"/>
  <c r="D2" i="134"/>
  <c r="D2" i="136"/>
  <c r="D2" i="138"/>
  <c r="D16" i="118"/>
  <c r="D15" i="118"/>
  <c r="D14" i="118"/>
  <c r="D13" i="118"/>
  <c r="D12" i="118"/>
  <c r="D11" i="118"/>
  <c r="D10" i="118"/>
  <c r="D9" i="118"/>
  <c r="D8" i="118"/>
  <c r="D7" i="118"/>
  <c r="D6" i="118"/>
  <c r="D5" i="118"/>
  <c r="D4" i="118"/>
  <c r="D16" i="138"/>
  <c r="D15" i="138"/>
  <c r="D14" i="138"/>
  <c r="D13" i="138"/>
  <c r="D12" i="138"/>
  <c r="D11" i="138"/>
  <c r="D10" i="138"/>
  <c r="D9" i="138"/>
  <c r="D8" i="138"/>
  <c r="D7" i="138"/>
  <c r="D6" i="138"/>
  <c r="D5" i="138"/>
  <c r="D4" i="138"/>
  <c r="D16" i="136"/>
  <c r="D15" i="136"/>
  <c r="D14" i="136"/>
  <c r="D13" i="136"/>
  <c r="D12" i="136"/>
  <c r="D11" i="136"/>
  <c r="D10" i="136"/>
  <c r="D9" i="136"/>
  <c r="D8" i="136"/>
  <c r="D7" i="136"/>
  <c r="D6" i="136"/>
  <c r="D5" i="136"/>
  <c r="D4" i="136"/>
  <c r="D16" i="134"/>
  <c r="D15" i="134"/>
  <c r="D14" i="134"/>
  <c r="D13" i="134"/>
  <c r="D12" i="134"/>
  <c r="D11" i="134"/>
  <c r="D10" i="134"/>
  <c r="D9" i="134"/>
  <c r="D8" i="134"/>
  <c r="D7" i="134"/>
  <c r="D6" i="134"/>
  <c r="D5" i="134"/>
  <c r="D4" i="134"/>
  <c r="D16" i="132"/>
  <c r="D15" i="132"/>
  <c r="D14" i="132"/>
  <c r="D13" i="132"/>
  <c r="D12" i="132"/>
  <c r="D11" i="132"/>
  <c r="D10" i="132"/>
  <c r="D9" i="132"/>
  <c r="D8" i="132"/>
  <c r="D7" i="132"/>
  <c r="D6" i="132"/>
  <c r="D5" i="132"/>
  <c r="D4" i="132"/>
  <c r="D16" i="130"/>
  <c r="D15" i="130"/>
  <c r="D14" i="130"/>
  <c r="D13" i="130"/>
  <c r="D12" i="130"/>
  <c r="D11" i="130"/>
  <c r="D10" i="130"/>
  <c r="D9" i="130"/>
  <c r="D8" i="130"/>
  <c r="D7" i="130"/>
  <c r="D6" i="130"/>
  <c r="D5" i="130"/>
  <c r="D4" i="130"/>
  <c r="D16" i="128"/>
  <c r="D15" i="128"/>
  <c r="D14" i="128"/>
  <c r="D13" i="128"/>
  <c r="D12" i="128"/>
  <c r="D11" i="128"/>
  <c r="D10" i="128"/>
  <c r="D9" i="128"/>
  <c r="D8" i="128"/>
  <c r="D7" i="128"/>
  <c r="D6" i="128"/>
  <c r="D5" i="128"/>
  <c r="D4" i="128"/>
  <c r="D16" i="126"/>
  <c r="D15" i="126"/>
  <c r="D14" i="126"/>
  <c r="D13" i="126"/>
  <c r="D12" i="126"/>
  <c r="D11" i="126"/>
  <c r="D10" i="126"/>
  <c r="D9" i="126"/>
  <c r="D8" i="126"/>
  <c r="D7" i="126"/>
  <c r="D6" i="126"/>
  <c r="D5" i="126"/>
  <c r="D4" i="126"/>
  <c r="D16" i="124"/>
  <c r="D15" i="124"/>
  <c r="D14" i="124"/>
  <c r="D13" i="124"/>
  <c r="D12" i="124"/>
  <c r="D11" i="124"/>
  <c r="D10" i="124"/>
  <c r="D9" i="124"/>
  <c r="D8" i="124"/>
  <c r="D7" i="124"/>
  <c r="D6" i="124"/>
  <c r="D5" i="124"/>
  <c r="D4" i="124"/>
  <c r="D16" i="122"/>
  <c r="D15" i="122"/>
  <c r="D14" i="122"/>
  <c r="D13" i="122"/>
  <c r="D12" i="122"/>
  <c r="D11" i="122"/>
  <c r="D10" i="122"/>
  <c r="D9" i="122"/>
  <c r="D8" i="122"/>
  <c r="D7" i="122"/>
  <c r="D6" i="122"/>
  <c r="D5" i="122"/>
  <c r="D4" i="122"/>
  <c r="D16" i="117"/>
  <c r="D15" i="117"/>
  <c r="D14" i="117"/>
  <c r="D13" i="117"/>
  <c r="D12" i="117"/>
  <c r="D11" i="117"/>
  <c r="D10" i="117"/>
  <c r="D9" i="117"/>
  <c r="D8" i="117"/>
  <c r="D7" i="117"/>
  <c r="D6" i="117"/>
  <c r="D5" i="117"/>
  <c r="D4" i="117"/>
  <c r="I28" i="99"/>
  <c r="H28" i="99"/>
  <c r="D28" i="99"/>
  <c r="I27" i="99"/>
  <c r="H27" i="99"/>
  <c r="D27" i="99"/>
  <c r="I26" i="99"/>
  <c r="H26" i="99"/>
  <c r="D26" i="99"/>
  <c r="I25" i="99"/>
  <c r="H25" i="99"/>
  <c r="D25" i="99"/>
  <c r="I24" i="99"/>
  <c r="H24" i="99"/>
  <c r="D24" i="99"/>
  <c r="I23" i="99"/>
  <c r="H23" i="99"/>
  <c r="D23" i="99"/>
  <c r="I22" i="99"/>
  <c r="H22" i="99"/>
  <c r="D22" i="99"/>
  <c r="I21" i="99"/>
  <c r="H21" i="99"/>
  <c r="D21" i="99"/>
  <c r="I20" i="99"/>
  <c r="H20" i="99"/>
  <c r="D20" i="99"/>
  <c r="I19" i="99"/>
  <c r="H19" i="99"/>
  <c r="D19" i="99"/>
  <c r="I18" i="99"/>
  <c r="H18" i="99"/>
  <c r="D18" i="99"/>
  <c r="I17" i="99"/>
  <c r="H17" i="99"/>
  <c r="D17" i="99"/>
  <c r="I16" i="99"/>
  <c r="H16" i="99"/>
  <c r="D16" i="99"/>
  <c r="I15" i="99"/>
  <c r="H15" i="99"/>
  <c r="D15" i="99"/>
  <c r="I14" i="99"/>
  <c r="H14" i="99"/>
  <c r="D14" i="99"/>
  <c r="I13" i="99"/>
  <c r="H13" i="99"/>
  <c r="D13" i="99"/>
  <c r="I12" i="99"/>
  <c r="H12" i="99"/>
  <c r="D12" i="99"/>
  <c r="I11" i="99"/>
  <c r="H11" i="99"/>
  <c r="D11" i="99"/>
  <c r="I10" i="99"/>
  <c r="H10" i="99"/>
  <c r="D10" i="99"/>
  <c r="I9" i="99"/>
  <c r="H9" i="99"/>
  <c r="D9" i="99"/>
  <c r="I8" i="99"/>
  <c r="H8" i="99"/>
  <c r="D8" i="99"/>
  <c r="I7" i="99"/>
  <c r="H7" i="99"/>
  <c r="D7" i="99"/>
  <c r="I6" i="99"/>
  <c r="H6" i="99"/>
  <c r="D6" i="99"/>
  <c r="I5" i="99"/>
  <c r="H5" i="99"/>
  <c r="D5" i="99"/>
  <c r="I4" i="99"/>
  <c r="H4" i="99"/>
  <c r="D4" i="99"/>
  <c r="F1" i="99"/>
  <c r="I28" i="98"/>
  <c r="H28" i="98"/>
  <c r="D28" i="98"/>
  <c r="I27" i="98"/>
  <c r="H27" i="98"/>
  <c r="D27" i="98"/>
  <c r="I26" i="98"/>
  <c r="H26" i="98"/>
  <c r="D26" i="98"/>
  <c r="I25" i="98"/>
  <c r="H25" i="98"/>
  <c r="D25" i="98"/>
  <c r="I24" i="98"/>
  <c r="H24" i="98"/>
  <c r="D24" i="98"/>
  <c r="I23" i="98"/>
  <c r="H23" i="98"/>
  <c r="D23" i="98"/>
  <c r="I22" i="98"/>
  <c r="H22" i="98"/>
  <c r="D22" i="98"/>
  <c r="I21" i="98"/>
  <c r="H21" i="98"/>
  <c r="D21" i="98"/>
  <c r="I20" i="98"/>
  <c r="H20" i="98"/>
  <c r="D20" i="98"/>
  <c r="I19" i="98"/>
  <c r="H19" i="98"/>
  <c r="D19" i="98"/>
  <c r="I18" i="98"/>
  <c r="H18" i="98"/>
  <c r="D18" i="98"/>
  <c r="I17" i="98"/>
  <c r="H17" i="98"/>
  <c r="D17" i="98"/>
  <c r="I16" i="98"/>
  <c r="H16" i="98"/>
  <c r="D16" i="98"/>
  <c r="I15" i="98"/>
  <c r="H15" i="98"/>
  <c r="D15" i="98"/>
  <c r="I14" i="98"/>
  <c r="H14" i="98"/>
  <c r="D14" i="98"/>
  <c r="I13" i="98"/>
  <c r="H13" i="98"/>
  <c r="D13" i="98"/>
  <c r="I12" i="98"/>
  <c r="H12" i="98"/>
  <c r="D12" i="98"/>
  <c r="I11" i="98"/>
  <c r="H11" i="98"/>
  <c r="D11" i="98"/>
  <c r="I10" i="98"/>
  <c r="H10" i="98"/>
  <c r="D10" i="98"/>
  <c r="I9" i="98"/>
  <c r="H9" i="98"/>
  <c r="D9" i="98"/>
  <c r="I8" i="98"/>
  <c r="H8" i="98"/>
  <c r="D8" i="98"/>
  <c r="I7" i="98"/>
  <c r="H7" i="98"/>
  <c r="D7" i="98"/>
  <c r="I6" i="98"/>
  <c r="H6" i="98"/>
  <c r="D6" i="98"/>
  <c r="I5" i="98"/>
  <c r="H5" i="98"/>
  <c r="D5" i="98"/>
  <c r="I4" i="98"/>
  <c r="H4" i="98"/>
  <c r="D4" i="98"/>
  <c r="F1" i="98"/>
  <c r="D28" i="97"/>
  <c r="D27" i="97"/>
  <c r="D26" i="97"/>
  <c r="D25" i="97"/>
  <c r="D24" i="97"/>
  <c r="D23" i="97"/>
  <c r="D22" i="97"/>
  <c r="D21" i="97"/>
  <c r="D20" i="97"/>
  <c r="D19" i="97"/>
  <c r="D18" i="97"/>
  <c r="D17" i="97"/>
  <c r="D16" i="97"/>
  <c r="D15" i="97"/>
  <c r="D14" i="97"/>
  <c r="D13" i="97"/>
  <c r="D12" i="97"/>
  <c r="D11" i="97"/>
  <c r="D10" i="97"/>
  <c r="D9" i="97"/>
  <c r="D8" i="97"/>
  <c r="D7" i="97"/>
  <c r="D6" i="97"/>
  <c r="D5" i="97"/>
  <c r="D4" i="97"/>
  <c r="D11" i="96"/>
  <c r="D10" i="96"/>
  <c r="D9" i="96"/>
  <c r="D8" i="96"/>
  <c r="D7" i="96"/>
  <c r="D6" i="96"/>
  <c r="D5" i="96"/>
  <c r="D4" i="96"/>
  <c r="I11" i="96"/>
  <c r="H11" i="96"/>
  <c r="I10" i="96"/>
  <c r="H10" i="96"/>
  <c r="I9" i="96"/>
  <c r="H9" i="96"/>
  <c r="I8" i="96"/>
  <c r="H8" i="96"/>
  <c r="I7" i="96"/>
  <c r="H7" i="96"/>
  <c r="I6" i="96"/>
  <c r="H6" i="96"/>
  <c r="I5" i="96"/>
  <c r="H5" i="96"/>
  <c r="I4" i="96"/>
  <c r="H4" i="96"/>
  <c r="F1" i="96"/>
  <c r="D15" i="95"/>
  <c r="D14" i="95"/>
  <c r="D13" i="95"/>
  <c r="D12" i="95"/>
  <c r="D11" i="95"/>
  <c r="D10" i="95"/>
  <c r="D9" i="95"/>
  <c r="D8" i="95"/>
  <c r="D7" i="95"/>
  <c r="D6" i="95"/>
  <c r="D5" i="95"/>
  <c r="D4" i="95"/>
  <c r="I15" i="95"/>
  <c r="H15" i="95"/>
  <c r="I14" i="95"/>
  <c r="H14" i="95"/>
  <c r="I13" i="95"/>
  <c r="H13" i="95"/>
  <c r="I12" i="95"/>
  <c r="H12" i="95"/>
  <c r="I11" i="95"/>
  <c r="H11" i="95"/>
  <c r="I10" i="95"/>
  <c r="H10" i="95"/>
  <c r="I9" i="95"/>
  <c r="H9" i="95"/>
  <c r="I8" i="95"/>
  <c r="H8" i="95"/>
  <c r="I7" i="95"/>
  <c r="H7" i="95"/>
  <c r="I6" i="95"/>
  <c r="H6" i="95"/>
  <c r="I5" i="95"/>
  <c r="H5" i="95"/>
  <c r="I4" i="95"/>
  <c r="H4" i="95"/>
  <c r="D15" i="94"/>
  <c r="D14" i="94"/>
  <c r="D13" i="94"/>
  <c r="D12" i="94"/>
  <c r="D11" i="94"/>
  <c r="D10" i="94"/>
  <c r="D9" i="94"/>
  <c r="D8" i="94"/>
  <c r="D7" i="94"/>
  <c r="D6" i="94"/>
  <c r="D5" i="94"/>
  <c r="D4" i="94"/>
  <c r="I15" i="94"/>
  <c r="H15" i="94"/>
  <c r="I14" i="94"/>
  <c r="H14" i="94"/>
  <c r="I13" i="94"/>
  <c r="H13" i="94"/>
  <c r="I12" i="94"/>
  <c r="H12" i="94"/>
  <c r="I11" i="94"/>
  <c r="H11" i="94"/>
  <c r="I10" i="94"/>
  <c r="H10" i="94"/>
  <c r="I9" i="94"/>
  <c r="H9" i="94"/>
  <c r="I8" i="94"/>
  <c r="H8" i="94"/>
  <c r="I7" i="94"/>
  <c r="H7" i="94"/>
  <c r="I6" i="94"/>
  <c r="H6" i="94"/>
  <c r="I5" i="94"/>
  <c r="H5" i="94"/>
  <c r="I4" i="94"/>
  <c r="H4" i="94"/>
  <c r="D15" i="93"/>
  <c r="D14" i="93"/>
  <c r="D13" i="93"/>
  <c r="D12" i="93"/>
  <c r="D11" i="93"/>
  <c r="D10" i="93"/>
  <c r="D9" i="93"/>
  <c r="D8" i="93"/>
  <c r="D7" i="93"/>
  <c r="D6" i="93"/>
  <c r="D5" i="93"/>
  <c r="D4" i="93"/>
  <c r="I15" i="93"/>
  <c r="H15" i="93"/>
  <c r="I14" i="93"/>
  <c r="H14" i="93"/>
  <c r="I13" i="93"/>
  <c r="H13" i="93"/>
  <c r="I12" i="93"/>
  <c r="H12" i="93"/>
  <c r="I11" i="93"/>
  <c r="H11" i="93"/>
  <c r="I10" i="93"/>
  <c r="H10" i="93"/>
  <c r="I9" i="93"/>
  <c r="H9" i="93"/>
  <c r="I8" i="93"/>
  <c r="H8" i="93"/>
  <c r="I7" i="93"/>
  <c r="H7" i="93"/>
  <c r="I6" i="93"/>
  <c r="H6" i="93"/>
  <c r="I5" i="93"/>
  <c r="H5" i="93"/>
  <c r="I4" i="93"/>
  <c r="H4" i="93"/>
  <c r="F1" i="93"/>
  <c r="D15" i="92"/>
  <c r="D14" i="92"/>
  <c r="D13" i="92"/>
  <c r="D12" i="92"/>
  <c r="D11" i="92"/>
  <c r="D10" i="92"/>
  <c r="D9" i="92"/>
  <c r="D8" i="92"/>
  <c r="D7" i="92"/>
  <c r="D6" i="92"/>
  <c r="D5" i="92"/>
  <c r="D4" i="92"/>
  <c r="D15" i="91"/>
  <c r="D14" i="91"/>
  <c r="D13" i="91"/>
  <c r="D12" i="91"/>
  <c r="D11" i="91"/>
  <c r="D10" i="91"/>
  <c r="D9" i="91"/>
  <c r="D8" i="91"/>
  <c r="D7" i="91"/>
  <c r="D6" i="91"/>
  <c r="D5" i="91"/>
  <c r="D4" i="91"/>
  <c r="I15" i="92"/>
  <c r="H15" i="92"/>
  <c r="I14" i="92"/>
  <c r="H14" i="92"/>
  <c r="I13" i="92"/>
  <c r="H13" i="92"/>
  <c r="I12" i="92"/>
  <c r="H12" i="92"/>
  <c r="I11" i="92"/>
  <c r="H11" i="92"/>
  <c r="I10" i="92"/>
  <c r="H10" i="92"/>
  <c r="I9" i="92"/>
  <c r="H9" i="92"/>
  <c r="I8" i="92"/>
  <c r="H8" i="92"/>
  <c r="I7" i="92"/>
  <c r="H7" i="92"/>
  <c r="I6" i="92"/>
  <c r="H6" i="92"/>
  <c r="I5" i="92"/>
  <c r="H5" i="92"/>
  <c r="I4" i="92"/>
  <c r="H4" i="92"/>
  <c r="F1" i="92"/>
  <c r="D15" i="90"/>
  <c r="D14" i="90"/>
  <c r="D13" i="90"/>
  <c r="D12" i="90"/>
  <c r="D11" i="90"/>
  <c r="D10" i="90"/>
  <c r="D9" i="90"/>
  <c r="D8" i="90"/>
  <c r="D7" i="90"/>
  <c r="D6" i="90"/>
  <c r="D5" i="90"/>
  <c r="I15" i="91"/>
  <c r="H15" i="91"/>
  <c r="I14" i="91"/>
  <c r="H14" i="91"/>
  <c r="I13" i="91"/>
  <c r="H13" i="91"/>
  <c r="I12" i="91"/>
  <c r="H12" i="91"/>
  <c r="I11" i="91"/>
  <c r="H11" i="91"/>
  <c r="I10" i="91"/>
  <c r="H10" i="91"/>
  <c r="I9" i="91"/>
  <c r="H9" i="91"/>
  <c r="I8" i="91"/>
  <c r="H8" i="91"/>
  <c r="I7" i="91"/>
  <c r="H7" i="91"/>
  <c r="I6" i="91"/>
  <c r="H6" i="91"/>
  <c r="I5" i="91"/>
  <c r="H5" i="91"/>
  <c r="I4" i="91"/>
  <c r="H4" i="91"/>
  <c r="F1" i="91"/>
  <c r="D4" i="90"/>
  <c r="I15" i="90"/>
  <c r="H15" i="90"/>
  <c r="I14" i="90"/>
  <c r="H14" i="90"/>
  <c r="I13" i="90"/>
  <c r="H13" i="90"/>
  <c r="I12" i="90"/>
  <c r="H12" i="90"/>
  <c r="I11" i="90"/>
  <c r="H11" i="90"/>
  <c r="I10" i="90"/>
  <c r="H10" i="90"/>
  <c r="I9" i="90"/>
  <c r="H9" i="90"/>
  <c r="I8" i="90"/>
  <c r="H8" i="90"/>
  <c r="I7" i="90"/>
  <c r="H7" i="90"/>
  <c r="I6" i="90"/>
  <c r="H6" i="90"/>
  <c r="I5" i="90"/>
  <c r="H5" i="90"/>
  <c r="I4" i="90"/>
  <c r="H4" i="90"/>
  <c r="F1" i="90"/>
  <c r="D15" i="89"/>
  <c r="D14" i="89"/>
  <c r="D13" i="89"/>
  <c r="D12" i="89"/>
  <c r="D11" i="89"/>
  <c r="D10" i="89"/>
  <c r="D9" i="89"/>
  <c r="D8" i="89"/>
  <c r="D7" i="89"/>
  <c r="D6" i="89"/>
  <c r="D5" i="89"/>
  <c r="D4" i="89"/>
  <c r="I15" i="89"/>
  <c r="H15" i="89"/>
  <c r="I14" i="89"/>
  <c r="H14" i="89"/>
  <c r="I13" i="89"/>
  <c r="H13" i="89"/>
  <c r="I12" i="89"/>
  <c r="H12" i="89"/>
  <c r="I11" i="89"/>
  <c r="H11" i="89"/>
  <c r="I10" i="89"/>
  <c r="H10" i="89"/>
  <c r="I9" i="89"/>
  <c r="H9" i="89"/>
  <c r="I8" i="89"/>
  <c r="H8" i="89"/>
  <c r="I7" i="89"/>
  <c r="H7" i="89"/>
  <c r="I6" i="89"/>
  <c r="H6" i="89"/>
  <c r="I5" i="89"/>
  <c r="H5" i="89"/>
  <c r="I4" i="89"/>
  <c r="H4" i="89"/>
  <c r="D15" i="116"/>
  <c r="D14" i="116"/>
  <c r="D13" i="116"/>
  <c r="D12" i="116"/>
  <c r="D11" i="116"/>
  <c r="D10" i="116"/>
  <c r="D9" i="116"/>
  <c r="D8" i="116"/>
  <c r="D7" i="116"/>
  <c r="D6" i="116"/>
  <c r="D5" i="116"/>
  <c r="D4" i="116"/>
  <c r="D15" i="115"/>
  <c r="D14" i="115"/>
  <c r="D13" i="115"/>
  <c r="D12" i="115"/>
  <c r="D11" i="115"/>
  <c r="D10" i="115"/>
  <c r="D9" i="115"/>
  <c r="D8" i="115"/>
  <c r="D7" i="115"/>
  <c r="D6" i="115"/>
  <c r="D5" i="115"/>
  <c r="D4" i="115"/>
  <c r="D16" i="86"/>
  <c r="D15" i="86"/>
  <c r="D14" i="86"/>
  <c r="D13" i="86"/>
  <c r="D12" i="86"/>
  <c r="D11" i="86"/>
  <c r="D10" i="86"/>
  <c r="D9" i="86"/>
  <c r="D8" i="86"/>
  <c r="D7" i="86"/>
  <c r="D6" i="86"/>
  <c r="D5" i="86"/>
  <c r="D4" i="86"/>
  <c r="D16" i="85"/>
  <c r="D15" i="85"/>
  <c r="D14" i="85"/>
  <c r="D13" i="85"/>
  <c r="D12" i="85"/>
  <c r="D11" i="85"/>
  <c r="D10" i="85"/>
  <c r="D9" i="85"/>
  <c r="D8" i="85"/>
  <c r="D7" i="85"/>
  <c r="D6" i="85"/>
  <c r="D5" i="85"/>
  <c r="D4" i="85"/>
  <c r="D16" i="114"/>
  <c r="D15" i="114"/>
  <c r="D14" i="114"/>
  <c r="D13" i="114"/>
  <c r="D12" i="114"/>
  <c r="D11" i="114"/>
  <c r="D10" i="114"/>
  <c r="D9" i="114"/>
  <c r="D8" i="114"/>
  <c r="D7" i="114"/>
  <c r="D6" i="114"/>
  <c r="D5" i="114"/>
  <c r="D4" i="114"/>
  <c r="D16" i="121"/>
  <c r="D15" i="121"/>
  <c r="D14" i="121"/>
  <c r="D13" i="121"/>
  <c r="D12" i="121"/>
  <c r="D11" i="121"/>
  <c r="D10" i="121"/>
  <c r="D9" i="121"/>
  <c r="D8" i="121"/>
  <c r="D7" i="121"/>
  <c r="D6" i="121"/>
  <c r="D5" i="121"/>
  <c r="D4" i="121"/>
  <c r="I4" i="178"/>
  <c r="K11" i="178"/>
  <c r="O11" i="178"/>
  <c r="K10" i="178"/>
  <c r="O10" i="178"/>
  <c r="K9" i="178"/>
  <c r="O9" i="178"/>
  <c r="K8" i="178"/>
  <c r="O8" i="178"/>
  <c r="K7" i="178"/>
  <c r="O7" i="178"/>
  <c r="K6" i="178"/>
  <c r="O6" i="178"/>
  <c r="K5" i="178"/>
  <c r="O5" i="178"/>
  <c r="K4" i="178"/>
  <c r="O4" i="178"/>
  <c r="I14" i="194"/>
  <c r="H14" i="194"/>
  <c r="H5" i="194"/>
  <c r="I5" i="194"/>
  <c r="H6" i="194"/>
  <c r="I6" i="194"/>
  <c r="F4" i="179"/>
  <c r="I4" i="179"/>
  <c r="F126" i="179"/>
  <c r="F125" i="179"/>
  <c r="F115" i="179"/>
  <c r="F114" i="179"/>
  <c r="F104" i="179"/>
  <c r="F103" i="179"/>
  <c r="F93" i="179"/>
  <c r="F92" i="179"/>
  <c r="F82" i="179"/>
  <c r="F81" i="179"/>
  <c r="F71" i="179"/>
  <c r="F70" i="179"/>
  <c r="F60" i="179"/>
  <c r="F59" i="179"/>
  <c r="F49" i="179"/>
  <c r="F48" i="179"/>
  <c r="F38" i="179"/>
  <c r="F37" i="179"/>
  <c r="F27" i="179"/>
  <c r="F26" i="179"/>
  <c r="O5" i="179"/>
  <c r="N5" i="179"/>
  <c r="M5" i="179"/>
  <c r="O4" i="179"/>
  <c r="N4" i="179"/>
  <c r="M4" i="179"/>
  <c r="F16" i="179"/>
  <c r="F15" i="179"/>
  <c r="O13" i="179"/>
  <c r="O12" i="179"/>
  <c r="O11" i="179"/>
  <c r="O10" i="179"/>
  <c r="O9" i="179"/>
  <c r="O8" i="179"/>
  <c r="O7" i="179"/>
  <c r="O6" i="179"/>
  <c r="I13" i="194"/>
  <c r="H13" i="194"/>
  <c r="I12" i="194"/>
  <c r="H12" i="194"/>
  <c r="I11" i="194"/>
  <c r="H11" i="194"/>
  <c r="I10" i="194"/>
  <c r="H10" i="194"/>
  <c r="I9" i="194"/>
  <c r="H9" i="194"/>
  <c r="I8" i="194"/>
  <c r="H8" i="194"/>
  <c r="I7" i="194"/>
  <c r="H7" i="194"/>
  <c r="I4" i="194"/>
  <c r="H4" i="194"/>
  <c r="N13" i="179"/>
  <c r="M13" i="179"/>
  <c r="N12" i="179"/>
  <c r="M12" i="179"/>
  <c r="N11" i="179"/>
  <c r="M11" i="179"/>
  <c r="N10" i="179"/>
  <c r="M10" i="179"/>
  <c r="N9" i="179"/>
  <c r="M9" i="179"/>
  <c r="N8" i="179"/>
  <c r="M8" i="179"/>
  <c r="N7" i="179"/>
  <c r="M7" i="179"/>
  <c r="N6" i="179"/>
  <c r="M6" i="179"/>
  <c r="L11" i="178"/>
  <c r="N11" i="178"/>
  <c r="M11" i="178"/>
  <c r="L10" i="178"/>
  <c r="N10" i="178"/>
  <c r="M10" i="178"/>
  <c r="L9" i="178"/>
  <c r="N9" i="178"/>
  <c r="M9" i="178"/>
  <c r="L8" i="178"/>
  <c r="N8" i="178"/>
  <c r="M8" i="178"/>
  <c r="L7" i="178"/>
  <c r="N7" i="178"/>
  <c r="M7" i="178"/>
  <c r="L6" i="178"/>
  <c r="N6" i="178"/>
  <c r="M6" i="178"/>
  <c r="L5" i="178"/>
  <c r="N5" i="178"/>
  <c r="M5" i="178"/>
  <c r="L4" i="178"/>
  <c r="N4" i="178"/>
  <c r="M4" i="178"/>
  <c r="L16" i="177"/>
  <c r="N16" i="177"/>
  <c r="M16" i="177"/>
  <c r="L15" i="177"/>
  <c r="N15" i="177"/>
  <c r="M15" i="177"/>
  <c r="L14" i="177"/>
  <c r="N14" i="177"/>
  <c r="M14" i="177"/>
  <c r="L13" i="177"/>
  <c r="N13" i="177"/>
  <c r="M13" i="177"/>
  <c r="L12" i="177"/>
  <c r="N12" i="177"/>
  <c r="M12" i="177"/>
  <c r="L11" i="177"/>
  <c r="N11" i="177"/>
  <c r="M11" i="177"/>
  <c r="L10" i="177"/>
  <c r="N10" i="177"/>
  <c r="M10" i="177"/>
  <c r="L9" i="177"/>
  <c r="N9" i="177"/>
  <c r="M9" i="177"/>
  <c r="L8" i="177"/>
  <c r="N8" i="177"/>
  <c r="M8" i="177"/>
  <c r="L7" i="177"/>
  <c r="N7" i="177"/>
  <c r="M7" i="177"/>
  <c r="L6" i="177"/>
  <c r="N6" i="177"/>
  <c r="M6" i="177"/>
  <c r="L5" i="177"/>
  <c r="N5" i="177"/>
  <c r="M5" i="177"/>
  <c r="L4" i="177"/>
  <c r="N4" i="177"/>
  <c r="M4" i="177"/>
  <c r="N15" i="176"/>
  <c r="M15" i="176"/>
  <c r="N14" i="176"/>
  <c r="M14" i="176"/>
  <c r="N13" i="176"/>
  <c r="M13" i="176"/>
  <c r="N12" i="176"/>
  <c r="M12" i="176"/>
  <c r="N11" i="176"/>
  <c r="M11" i="176"/>
  <c r="N10" i="176"/>
  <c r="M10" i="176"/>
  <c r="N9" i="176"/>
  <c r="M9" i="176"/>
  <c r="N8" i="176"/>
  <c r="M8" i="176"/>
  <c r="N7" i="176"/>
  <c r="M7" i="176"/>
  <c r="N6" i="176"/>
  <c r="M6" i="176"/>
  <c r="N5" i="176"/>
  <c r="M5" i="176"/>
  <c r="N4" i="176"/>
  <c r="M4" i="176"/>
  <c r="L8" i="175"/>
  <c r="N8" i="175"/>
  <c r="M8" i="175"/>
  <c r="L7" i="175"/>
  <c r="N7" i="175"/>
  <c r="M7" i="175"/>
  <c r="L6" i="175"/>
  <c r="N6" i="175"/>
  <c r="M6" i="175"/>
  <c r="L5" i="175"/>
  <c r="N5" i="175"/>
  <c r="M5" i="175"/>
  <c r="L4" i="175"/>
  <c r="N4" i="175"/>
  <c r="M4" i="175"/>
  <c r="L8" i="174"/>
  <c r="N8" i="174"/>
  <c r="M8" i="174"/>
  <c r="L7" i="174"/>
  <c r="N7" i="174"/>
  <c r="M7" i="174"/>
  <c r="L6" i="174"/>
  <c r="N6" i="174"/>
  <c r="M6" i="174"/>
  <c r="L5" i="174"/>
  <c r="N5" i="174"/>
  <c r="M5" i="174"/>
  <c r="L4" i="174"/>
  <c r="N4" i="174"/>
  <c r="M4" i="174"/>
  <c r="L13" i="173"/>
  <c r="N13" i="173"/>
  <c r="M13" i="173"/>
  <c r="L12" i="173"/>
  <c r="N12" i="173"/>
  <c r="M12" i="173"/>
  <c r="L11" i="173"/>
  <c r="N11" i="173"/>
  <c r="M11" i="173"/>
  <c r="L10" i="173"/>
  <c r="N10" i="173"/>
  <c r="M10" i="173"/>
  <c r="L9" i="173"/>
  <c r="N9" i="173"/>
  <c r="M9" i="173"/>
  <c r="L8" i="173"/>
  <c r="N8" i="173"/>
  <c r="M8" i="173"/>
  <c r="L7" i="173"/>
  <c r="N7" i="173"/>
  <c r="M7" i="173"/>
  <c r="L6" i="173"/>
  <c r="N6" i="173"/>
  <c r="M6" i="173"/>
  <c r="L5" i="173"/>
  <c r="N5" i="173"/>
  <c r="M5" i="173"/>
  <c r="L4" i="173"/>
  <c r="N4" i="173"/>
  <c r="M4" i="173"/>
  <c r="L13" i="172"/>
  <c r="N13" i="172"/>
  <c r="M13" i="172"/>
  <c r="L12" i="172"/>
  <c r="N12" i="172"/>
  <c r="M12" i="172"/>
  <c r="L11" i="172"/>
  <c r="N11" i="172"/>
  <c r="M11" i="172"/>
  <c r="L10" i="172"/>
  <c r="N10" i="172"/>
  <c r="M10" i="172"/>
  <c r="L9" i="172"/>
  <c r="N9" i="172"/>
  <c r="M9" i="172"/>
  <c r="L8" i="172"/>
  <c r="N8" i="172"/>
  <c r="M8" i="172"/>
  <c r="L7" i="172"/>
  <c r="N7" i="172"/>
  <c r="M7" i="172"/>
  <c r="L6" i="172"/>
  <c r="N6" i="172"/>
  <c r="M6" i="172"/>
  <c r="L5" i="172"/>
  <c r="N5" i="172"/>
  <c r="M5" i="172"/>
  <c r="L4" i="172"/>
  <c r="N4" i="172"/>
  <c r="M4" i="172"/>
  <c r="H48" i="171"/>
  <c r="L13" i="171"/>
  <c r="N13" i="171"/>
  <c r="M13" i="171"/>
  <c r="L12" i="171"/>
  <c r="N12" i="171"/>
  <c r="M12" i="171"/>
  <c r="L11" i="171"/>
  <c r="N11" i="171"/>
  <c r="M11" i="171"/>
  <c r="L10" i="171"/>
  <c r="N10" i="171"/>
  <c r="M10" i="171"/>
  <c r="L9" i="171"/>
  <c r="N9" i="171"/>
  <c r="M9" i="171"/>
  <c r="L8" i="171"/>
  <c r="N8" i="171"/>
  <c r="M8" i="171"/>
  <c r="L7" i="171"/>
  <c r="N7" i="171"/>
  <c r="M7" i="171"/>
  <c r="L6" i="171"/>
  <c r="N6" i="171"/>
  <c r="M6" i="171"/>
  <c r="L5" i="171"/>
  <c r="N5" i="171"/>
  <c r="M5" i="171"/>
  <c r="L4" i="171"/>
  <c r="N4" i="171"/>
  <c r="M4" i="171"/>
  <c r="H59" i="170"/>
  <c r="L13" i="170"/>
  <c r="N13" i="170"/>
  <c r="M13" i="170"/>
  <c r="L12" i="170"/>
  <c r="N12" i="170"/>
  <c r="M12" i="170"/>
  <c r="L11" i="170"/>
  <c r="N11" i="170"/>
  <c r="M11" i="170"/>
  <c r="L10" i="170"/>
  <c r="N10" i="170"/>
  <c r="M10" i="170"/>
  <c r="L9" i="170"/>
  <c r="N9" i="170"/>
  <c r="M9" i="170"/>
  <c r="L8" i="170"/>
  <c r="N8" i="170"/>
  <c r="M8" i="170"/>
  <c r="L7" i="170"/>
  <c r="N7" i="170"/>
  <c r="M7" i="170"/>
  <c r="L6" i="170"/>
  <c r="N6" i="170"/>
  <c r="M6" i="170"/>
  <c r="L5" i="170"/>
  <c r="N5" i="170"/>
  <c r="M5" i="170"/>
  <c r="L4" i="170"/>
  <c r="N4" i="170"/>
  <c r="M4" i="170"/>
  <c r="N13" i="169"/>
  <c r="M13" i="169"/>
  <c r="N12" i="169"/>
  <c r="M12" i="169"/>
  <c r="N11" i="169"/>
  <c r="M11" i="169"/>
  <c r="N10" i="169"/>
  <c r="M10" i="169"/>
  <c r="N9" i="169"/>
  <c r="M9" i="169"/>
  <c r="N8" i="169"/>
  <c r="M8" i="169"/>
  <c r="N7" i="169"/>
  <c r="M7" i="169"/>
  <c r="N6" i="169"/>
  <c r="M6" i="169"/>
  <c r="N5" i="169"/>
  <c r="M5" i="169"/>
  <c r="N4" i="169"/>
  <c r="M4" i="169"/>
  <c r="L13" i="168"/>
  <c r="N13" i="168"/>
  <c r="M13" i="168"/>
  <c r="L12" i="168"/>
  <c r="N12" i="168"/>
  <c r="M12" i="168"/>
  <c r="L11" i="168"/>
  <c r="N11" i="168"/>
  <c r="M11" i="168"/>
  <c r="L10" i="168"/>
  <c r="N10" i="168"/>
  <c r="M10" i="168"/>
  <c r="L9" i="168"/>
  <c r="N9" i="168"/>
  <c r="M9" i="168"/>
  <c r="L8" i="168"/>
  <c r="N8" i="168"/>
  <c r="M8" i="168"/>
  <c r="L7" i="168"/>
  <c r="N7" i="168"/>
  <c r="M7" i="168"/>
  <c r="L6" i="168"/>
  <c r="N6" i="168"/>
  <c r="M6" i="168"/>
  <c r="L5" i="168"/>
  <c r="N5" i="168"/>
  <c r="M5" i="168"/>
  <c r="L4" i="168"/>
  <c r="N4" i="168"/>
  <c r="M4" i="168"/>
  <c r="L13" i="167"/>
  <c r="N13" i="167"/>
  <c r="M13" i="167"/>
  <c r="L12" i="167"/>
  <c r="N12" i="167"/>
  <c r="M12" i="167"/>
  <c r="L11" i="167"/>
  <c r="N11" i="167"/>
  <c r="M11" i="167"/>
  <c r="L10" i="167"/>
  <c r="N10" i="167"/>
  <c r="M10" i="167"/>
  <c r="L9" i="167"/>
  <c r="N9" i="167"/>
  <c r="M9" i="167"/>
  <c r="L8" i="167"/>
  <c r="N8" i="167"/>
  <c r="M8" i="167"/>
  <c r="L7" i="167"/>
  <c r="N7" i="167"/>
  <c r="M7" i="167"/>
  <c r="L6" i="167"/>
  <c r="N6" i="167"/>
  <c r="M6" i="167"/>
  <c r="L5" i="167"/>
  <c r="N5" i="167"/>
  <c r="M5" i="167"/>
  <c r="L4" i="167"/>
  <c r="N4" i="167"/>
  <c r="M4" i="167"/>
  <c r="L13" i="166"/>
  <c r="N13" i="166"/>
  <c r="M13" i="166"/>
  <c r="L12" i="166"/>
  <c r="N12" i="166"/>
  <c r="M12" i="166"/>
  <c r="L11" i="166"/>
  <c r="N11" i="166"/>
  <c r="M11" i="166"/>
  <c r="L10" i="166"/>
  <c r="N10" i="166"/>
  <c r="M10" i="166"/>
  <c r="L9" i="166"/>
  <c r="N9" i="166"/>
  <c r="M9" i="166"/>
  <c r="L8" i="166"/>
  <c r="N8" i="166"/>
  <c r="M8" i="166"/>
  <c r="L7" i="166"/>
  <c r="N7" i="166"/>
  <c r="M7" i="166"/>
  <c r="L6" i="166"/>
  <c r="N6" i="166"/>
  <c r="M6" i="166"/>
  <c r="L5" i="166"/>
  <c r="N5" i="166"/>
  <c r="M5" i="166"/>
  <c r="L4" i="166"/>
  <c r="N4" i="166"/>
  <c r="M4" i="166"/>
  <c r="L12" i="165"/>
  <c r="N12" i="165"/>
  <c r="M12" i="165"/>
  <c r="L11" i="165"/>
  <c r="N11" i="165"/>
  <c r="M11" i="165"/>
  <c r="L10" i="165"/>
  <c r="N10" i="165"/>
  <c r="M10" i="165"/>
  <c r="L9" i="165"/>
  <c r="N9" i="165"/>
  <c r="M9" i="165"/>
  <c r="L8" i="165"/>
  <c r="N8" i="165"/>
  <c r="M8" i="165"/>
  <c r="L7" i="165"/>
  <c r="N7" i="165"/>
  <c r="M7" i="165"/>
  <c r="L6" i="165"/>
  <c r="N6" i="165"/>
  <c r="M6" i="165"/>
  <c r="L5" i="165"/>
  <c r="N5" i="165"/>
  <c r="M5" i="165"/>
  <c r="L4" i="165"/>
  <c r="N4" i="165"/>
  <c r="M4" i="165"/>
  <c r="L12" i="164"/>
  <c r="N12" i="164"/>
  <c r="M12" i="164"/>
  <c r="L11" i="164"/>
  <c r="N11" i="164"/>
  <c r="M11" i="164"/>
  <c r="L10" i="164"/>
  <c r="N10" i="164"/>
  <c r="M10" i="164"/>
  <c r="L9" i="164"/>
  <c r="N9" i="164"/>
  <c r="M9" i="164"/>
  <c r="L8" i="164"/>
  <c r="N8" i="164"/>
  <c r="M8" i="164"/>
  <c r="L7" i="164"/>
  <c r="N7" i="164"/>
  <c r="M7" i="164"/>
  <c r="L6" i="164"/>
  <c r="N6" i="164"/>
  <c r="M6" i="164"/>
  <c r="L5" i="164"/>
  <c r="N5" i="164"/>
  <c r="M5" i="164"/>
  <c r="L4" i="164"/>
  <c r="N4" i="164"/>
  <c r="M4" i="164"/>
  <c r="L12" i="163"/>
  <c r="N12" i="163"/>
  <c r="M12" i="163"/>
  <c r="L11" i="163"/>
  <c r="N11" i="163"/>
  <c r="M11" i="163"/>
  <c r="L10" i="163"/>
  <c r="N10" i="163"/>
  <c r="M10" i="163"/>
  <c r="L9" i="163"/>
  <c r="N9" i="163"/>
  <c r="M9" i="163"/>
  <c r="L8" i="163"/>
  <c r="N8" i="163"/>
  <c r="M8" i="163"/>
  <c r="L7" i="163"/>
  <c r="N7" i="163"/>
  <c r="M7" i="163"/>
  <c r="L6" i="163"/>
  <c r="N6" i="163"/>
  <c r="M6" i="163"/>
  <c r="L5" i="163"/>
  <c r="N5" i="163"/>
  <c r="M5" i="163"/>
  <c r="L4" i="163"/>
  <c r="N4" i="163"/>
  <c r="M4" i="163"/>
  <c r="L12" i="162"/>
  <c r="N12" i="162"/>
  <c r="M12" i="162"/>
  <c r="L11" i="162"/>
  <c r="N11" i="162"/>
  <c r="M11" i="162"/>
  <c r="L10" i="162"/>
  <c r="N10" i="162"/>
  <c r="M10" i="162"/>
  <c r="L9" i="162"/>
  <c r="N9" i="162"/>
  <c r="M9" i="162"/>
  <c r="L8" i="162"/>
  <c r="N8" i="162"/>
  <c r="M8" i="162"/>
  <c r="L7" i="162"/>
  <c r="N7" i="162"/>
  <c r="M7" i="162"/>
  <c r="L6" i="162"/>
  <c r="N6" i="162"/>
  <c r="M6" i="162"/>
  <c r="L5" i="162"/>
  <c r="N5" i="162"/>
  <c r="M5" i="162"/>
  <c r="L4" i="162"/>
  <c r="N4" i="162"/>
  <c r="M4" i="162"/>
  <c r="L12" i="161"/>
  <c r="N12" i="161"/>
  <c r="M12" i="161"/>
  <c r="L11" i="161"/>
  <c r="N11" i="161"/>
  <c r="M11" i="161"/>
  <c r="L10" i="161"/>
  <c r="N10" i="161"/>
  <c r="M10" i="161"/>
  <c r="L9" i="161"/>
  <c r="N9" i="161"/>
  <c r="M9" i="161"/>
  <c r="L8" i="161"/>
  <c r="N8" i="161"/>
  <c r="M8" i="161"/>
  <c r="L7" i="161"/>
  <c r="N7" i="161"/>
  <c r="M7" i="161"/>
  <c r="L6" i="161"/>
  <c r="N6" i="161"/>
  <c r="M6" i="161"/>
  <c r="L5" i="161"/>
  <c r="N5" i="161"/>
  <c r="M5" i="161"/>
  <c r="L4" i="161"/>
  <c r="N4" i="161"/>
  <c r="M4" i="161"/>
  <c r="L12" i="160"/>
  <c r="N12" i="160"/>
  <c r="M12" i="160"/>
  <c r="L11" i="160"/>
  <c r="N11" i="160"/>
  <c r="M11" i="160"/>
  <c r="L10" i="160"/>
  <c r="N10" i="160"/>
  <c r="M10" i="160"/>
  <c r="L9" i="160"/>
  <c r="N9" i="160"/>
  <c r="M9" i="160"/>
  <c r="L8" i="160"/>
  <c r="N8" i="160"/>
  <c r="M8" i="160"/>
  <c r="L7" i="160"/>
  <c r="N7" i="160"/>
  <c r="M7" i="160"/>
  <c r="L6" i="160"/>
  <c r="N6" i="160"/>
  <c r="M6" i="160"/>
  <c r="L5" i="160"/>
  <c r="N5" i="160"/>
  <c r="M5" i="160"/>
  <c r="L4" i="160"/>
  <c r="N4" i="160"/>
  <c r="M4" i="160"/>
  <c r="L14" i="159"/>
  <c r="N14" i="159"/>
  <c r="M14" i="159"/>
  <c r="L13" i="159"/>
  <c r="N13" i="159"/>
  <c r="M13" i="159"/>
  <c r="L12" i="159"/>
  <c r="N12" i="159"/>
  <c r="M12" i="159"/>
  <c r="L11" i="159"/>
  <c r="N11" i="159"/>
  <c r="M11" i="159"/>
  <c r="L10" i="159"/>
  <c r="N10" i="159"/>
  <c r="M10" i="159"/>
  <c r="L9" i="159"/>
  <c r="N9" i="159"/>
  <c r="M9" i="159"/>
  <c r="L8" i="159"/>
  <c r="N8" i="159"/>
  <c r="M8" i="159"/>
  <c r="L7" i="159"/>
  <c r="N7" i="159"/>
  <c r="M7" i="159"/>
  <c r="L6" i="159"/>
  <c r="N6" i="159"/>
  <c r="M6" i="159"/>
  <c r="L5" i="159"/>
  <c r="N5" i="159"/>
  <c r="M5" i="159"/>
  <c r="L4" i="159"/>
  <c r="N4" i="159"/>
  <c r="M4" i="159"/>
  <c r="L13" i="158"/>
  <c r="N13" i="158"/>
  <c r="M13" i="158"/>
  <c r="L12" i="158"/>
  <c r="N12" i="158"/>
  <c r="M12" i="158"/>
  <c r="L11" i="158"/>
  <c r="N11" i="158"/>
  <c r="M11" i="158"/>
  <c r="L10" i="158"/>
  <c r="N10" i="158"/>
  <c r="M10" i="158"/>
  <c r="L9" i="158"/>
  <c r="N9" i="158"/>
  <c r="M9" i="158"/>
  <c r="L8" i="158"/>
  <c r="N8" i="158"/>
  <c r="M8" i="158"/>
  <c r="L7" i="158"/>
  <c r="N7" i="158"/>
  <c r="M7" i="158"/>
  <c r="L6" i="158"/>
  <c r="N6" i="158"/>
  <c r="M6" i="158"/>
  <c r="L5" i="158"/>
  <c r="N5" i="158"/>
  <c r="M5" i="158"/>
  <c r="L4" i="158"/>
  <c r="N4" i="158"/>
  <c r="M4" i="158"/>
  <c r="L13" i="157"/>
  <c r="N13" i="157"/>
  <c r="M13" i="157"/>
  <c r="L12" i="157"/>
  <c r="N12" i="157"/>
  <c r="M12" i="157"/>
  <c r="L11" i="157"/>
  <c r="N11" i="157"/>
  <c r="M11" i="157"/>
  <c r="L10" i="157"/>
  <c r="N10" i="157"/>
  <c r="M10" i="157"/>
  <c r="L9" i="157"/>
  <c r="N9" i="157"/>
  <c r="M9" i="157"/>
  <c r="L8" i="157"/>
  <c r="N8" i="157"/>
  <c r="M8" i="157"/>
  <c r="L7" i="157"/>
  <c r="N7" i="157"/>
  <c r="M7" i="157"/>
  <c r="L6" i="157"/>
  <c r="N6" i="157"/>
  <c r="M6" i="157"/>
  <c r="L5" i="157"/>
  <c r="N5" i="157"/>
  <c r="M5" i="157"/>
  <c r="L4" i="157"/>
  <c r="N4" i="157"/>
  <c r="M4" i="157"/>
  <c r="L13" i="156"/>
  <c r="N13" i="156"/>
  <c r="M13" i="156"/>
  <c r="L12" i="156"/>
  <c r="N12" i="156"/>
  <c r="M12" i="156"/>
  <c r="L11" i="156"/>
  <c r="N11" i="156"/>
  <c r="M11" i="156"/>
  <c r="L10" i="156"/>
  <c r="N10" i="156"/>
  <c r="M10" i="156"/>
  <c r="L9" i="156"/>
  <c r="N9" i="156"/>
  <c r="M9" i="156"/>
  <c r="L8" i="156"/>
  <c r="N8" i="156"/>
  <c r="M8" i="156"/>
  <c r="L7" i="156"/>
  <c r="N7" i="156"/>
  <c r="M7" i="156"/>
  <c r="L6" i="156"/>
  <c r="N6" i="156"/>
  <c r="M6" i="156"/>
  <c r="L5" i="156"/>
  <c r="N5" i="156"/>
  <c r="M5" i="156"/>
  <c r="L4" i="156"/>
  <c r="N4" i="156"/>
  <c r="M4" i="156"/>
  <c r="L13" i="155"/>
  <c r="N13" i="155"/>
  <c r="M13" i="155"/>
  <c r="L12" i="155"/>
  <c r="N12" i="155"/>
  <c r="M12" i="155"/>
  <c r="L11" i="155"/>
  <c r="N11" i="155"/>
  <c r="M11" i="155"/>
  <c r="L10" i="155"/>
  <c r="N10" i="155"/>
  <c r="M10" i="155"/>
  <c r="L9" i="155"/>
  <c r="N9" i="155"/>
  <c r="M9" i="155"/>
  <c r="L8" i="155"/>
  <c r="N8" i="155"/>
  <c r="M8" i="155"/>
  <c r="L7" i="155"/>
  <c r="N7" i="155"/>
  <c r="M7" i="155"/>
  <c r="L6" i="155"/>
  <c r="N6" i="155"/>
  <c r="M6" i="155"/>
  <c r="L5" i="155"/>
  <c r="N5" i="155"/>
  <c r="M5" i="155"/>
  <c r="L4" i="155"/>
  <c r="N4" i="155"/>
  <c r="M4" i="155"/>
  <c r="H19" i="154"/>
  <c r="L13" i="154"/>
  <c r="N13" i="154"/>
  <c r="M13" i="154"/>
  <c r="L12" i="154"/>
  <c r="N12" i="154"/>
  <c r="M12" i="154"/>
  <c r="L11" i="154"/>
  <c r="N11" i="154"/>
  <c r="M11" i="154"/>
  <c r="L10" i="154"/>
  <c r="N10" i="154"/>
  <c r="M10" i="154"/>
  <c r="L9" i="154"/>
  <c r="N9" i="154"/>
  <c r="M9" i="154"/>
  <c r="L8" i="154"/>
  <c r="N8" i="154"/>
  <c r="M8" i="154"/>
  <c r="L7" i="154"/>
  <c r="N7" i="154"/>
  <c r="M7" i="154"/>
  <c r="L6" i="154"/>
  <c r="N6" i="154"/>
  <c r="M6" i="154"/>
  <c r="L5" i="154"/>
  <c r="N5" i="154"/>
  <c r="M5" i="154"/>
  <c r="L4" i="154"/>
  <c r="N4" i="154"/>
  <c r="M4" i="154"/>
  <c r="K18" i="153"/>
  <c r="M14" i="153"/>
  <c r="O14" i="153"/>
  <c r="N14" i="153"/>
  <c r="M13" i="153"/>
  <c r="O13" i="153"/>
  <c r="N13" i="153"/>
  <c r="M12" i="153"/>
  <c r="O12" i="153"/>
  <c r="N12" i="153"/>
  <c r="M11" i="153"/>
  <c r="O11" i="153"/>
  <c r="N11" i="153"/>
  <c r="M10" i="153"/>
  <c r="O10" i="153"/>
  <c r="N10" i="153"/>
  <c r="M9" i="153"/>
  <c r="O9" i="153"/>
  <c r="N9" i="153"/>
  <c r="M8" i="153"/>
  <c r="O8" i="153"/>
  <c r="N8" i="153"/>
  <c r="M7" i="153"/>
  <c r="O7" i="153"/>
  <c r="N7" i="153"/>
  <c r="M6" i="153"/>
  <c r="O6" i="153"/>
  <c r="N6" i="153"/>
  <c r="M5" i="153"/>
  <c r="O5" i="153"/>
  <c r="N5" i="153"/>
  <c r="M4" i="153"/>
  <c r="O4" i="153"/>
  <c r="N4" i="153"/>
  <c r="M14" i="152"/>
  <c r="O14" i="152"/>
  <c r="N14" i="152"/>
  <c r="M13" i="152"/>
  <c r="O13" i="152"/>
  <c r="N13" i="152"/>
  <c r="M12" i="152"/>
  <c r="O12" i="152"/>
  <c r="N12" i="152"/>
  <c r="M11" i="152"/>
  <c r="O11" i="152"/>
  <c r="N11" i="152"/>
  <c r="M10" i="152"/>
  <c r="O10" i="152"/>
  <c r="N10" i="152"/>
  <c r="M9" i="152"/>
  <c r="O9" i="152"/>
  <c r="N9" i="152"/>
  <c r="M8" i="152"/>
  <c r="O8" i="152"/>
  <c r="N8" i="152"/>
  <c r="M7" i="152"/>
  <c r="O7" i="152"/>
  <c r="N7" i="152"/>
  <c r="M6" i="152"/>
  <c r="O6" i="152"/>
  <c r="N6" i="152"/>
  <c r="M5" i="152"/>
  <c r="O5" i="152"/>
  <c r="N5" i="152"/>
  <c r="M4" i="152"/>
  <c r="O4" i="152"/>
  <c r="N4" i="152"/>
  <c r="H13" i="150"/>
  <c r="H13" i="149"/>
  <c r="G97" i="147"/>
  <c r="H97" i="147"/>
  <c r="G96" i="147"/>
  <c r="H96" i="147"/>
  <c r="G95" i="147"/>
  <c r="H95" i="147"/>
  <c r="G94" i="147"/>
  <c r="H94" i="147"/>
  <c r="G62" i="143"/>
  <c r="H62" i="143"/>
  <c r="G61" i="143"/>
  <c r="H61" i="143"/>
  <c r="G60" i="143"/>
  <c r="H60" i="143"/>
  <c r="G59" i="143"/>
  <c r="H59" i="143"/>
  <c r="G129" i="141"/>
  <c r="H129" i="141"/>
  <c r="G128" i="141"/>
  <c r="H128" i="141"/>
  <c r="G127" i="141"/>
  <c r="H127" i="141"/>
  <c r="G126" i="141"/>
  <c r="H126" i="141"/>
  <c r="G125" i="141"/>
  <c r="H125" i="141"/>
  <c r="G73" i="141"/>
  <c r="G84" i="141"/>
  <c r="H73" i="141"/>
  <c r="H84" i="141"/>
  <c r="G72" i="141"/>
  <c r="G83" i="141"/>
  <c r="H72" i="141"/>
  <c r="H83" i="141"/>
  <c r="G71" i="141"/>
  <c r="G82" i="141"/>
  <c r="H71" i="141"/>
  <c r="H82" i="141"/>
  <c r="G70" i="141"/>
  <c r="G81" i="141"/>
  <c r="H70" i="141"/>
  <c r="H81" i="141"/>
  <c r="K30" i="140"/>
  <c r="L28" i="140"/>
  <c r="N28" i="140"/>
  <c r="M28" i="140"/>
  <c r="L27" i="140"/>
  <c r="N27" i="140"/>
  <c r="M27" i="140"/>
  <c r="L26" i="140"/>
  <c r="N26" i="140"/>
  <c r="M26" i="140"/>
  <c r="L25" i="140"/>
  <c r="N25" i="140"/>
  <c r="M25" i="140"/>
  <c r="L24" i="140"/>
  <c r="N24" i="140"/>
  <c r="M24" i="140"/>
  <c r="L23" i="140"/>
  <c r="N23" i="140"/>
  <c r="M23" i="140"/>
  <c r="L22" i="140"/>
  <c r="N22" i="140"/>
  <c r="M22" i="140"/>
  <c r="L21" i="140"/>
  <c r="N21" i="140"/>
  <c r="M21" i="140"/>
  <c r="L20" i="140"/>
  <c r="N20" i="140"/>
  <c r="M20" i="140"/>
  <c r="L19" i="140"/>
  <c r="N19" i="140"/>
  <c r="M19" i="140"/>
  <c r="I16" i="138"/>
  <c r="H16" i="138"/>
  <c r="I15" i="138"/>
  <c r="H15" i="138"/>
  <c r="I14" i="138"/>
  <c r="H14" i="138"/>
  <c r="I13" i="138"/>
  <c r="H13" i="138"/>
  <c r="I12" i="138"/>
  <c r="H12" i="138"/>
  <c r="I11" i="138"/>
  <c r="H11" i="138"/>
  <c r="I10" i="138"/>
  <c r="H10" i="138"/>
  <c r="I9" i="138"/>
  <c r="H9" i="138"/>
  <c r="I8" i="138"/>
  <c r="H8" i="138"/>
  <c r="I7" i="138"/>
  <c r="H7" i="138"/>
  <c r="I6" i="138"/>
  <c r="H6" i="138"/>
  <c r="I5" i="138"/>
  <c r="H5" i="138"/>
  <c r="I4" i="138"/>
  <c r="H4" i="138"/>
  <c r="F1" i="138"/>
  <c r="E57" i="137"/>
  <c r="G58" i="137"/>
  <c r="F57" i="137"/>
  <c r="F44" i="137"/>
  <c r="F45" i="137"/>
  <c r="F46" i="137"/>
  <c r="F47" i="137"/>
  <c r="F48" i="137"/>
  <c r="F49" i="137"/>
  <c r="F50" i="137"/>
  <c r="F51" i="137"/>
  <c r="F52" i="137"/>
  <c r="F53" i="137"/>
  <c r="F54" i="137"/>
  <c r="F55" i="137"/>
  <c r="F56" i="137"/>
  <c r="F58" i="137"/>
  <c r="E44" i="137"/>
  <c r="E45" i="137"/>
  <c r="E46" i="137"/>
  <c r="E47" i="137"/>
  <c r="E48" i="137"/>
  <c r="E49" i="137"/>
  <c r="E50" i="137"/>
  <c r="E51" i="137"/>
  <c r="E52" i="137"/>
  <c r="E53" i="137"/>
  <c r="E54" i="137"/>
  <c r="E55" i="137"/>
  <c r="E56" i="137"/>
  <c r="E58" i="137"/>
  <c r="D57" i="137"/>
  <c r="D44" i="137"/>
  <c r="D45" i="137"/>
  <c r="D46" i="137"/>
  <c r="D47" i="137"/>
  <c r="D48" i="137"/>
  <c r="D49" i="137"/>
  <c r="D50" i="137"/>
  <c r="D51" i="137"/>
  <c r="D52" i="137"/>
  <c r="D53" i="137"/>
  <c r="D54" i="137"/>
  <c r="D55" i="137"/>
  <c r="D56" i="137"/>
  <c r="D58" i="137"/>
  <c r="C57" i="137"/>
  <c r="C44" i="137"/>
  <c r="C45" i="137"/>
  <c r="C46" i="137"/>
  <c r="C47" i="137"/>
  <c r="C48" i="137"/>
  <c r="C49" i="137"/>
  <c r="C50" i="137"/>
  <c r="C51" i="137"/>
  <c r="C52" i="137"/>
  <c r="C53" i="137"/>
  <c r="C54" i="137"/>
  <c r="C55" i="137"/>
  <c r="C56" i="137"/>
  <c r="C58" i="137"/>
  <c r="B57" i="137"/>
  <c r="B44" i="137"/>
  <c r="B45" i="137"/>
  <c r="B46" i="137"/>
  <c r="B47" i="137"/>
  <c r="B48" i="137"/>
  <c r="B49" i="137"/>
  <c r="B50" i="137"/>
  <c r="B51" i="137"/>
  <c r="B52" i="137"/>
  <c r="B53" i="137"/>
  <c r="B54" i="137"/>
  <c r="B55" i="137"/>
  <c r="B56" i="137"/>
  <c r="B58" i="137"/>
  <c r="J57" i="137"/>
  <c r="I57" i="137"/>
  <c r="G57" i="137"/>
  <c r="J56" i="137"/>
  <c r="I56" i="137"/>
  <c r="H56" i="137"/>
  <c r="G56" i="137"/>
  <c r="J55" i="137"/>
  <c r="I55" i="137"/>
  <c r="H55" i="137"/>
  <c r="G55" i="137"/>
  <c r="J54" i="137"/>
  <c r="I54" i="137"/>
  <c r="H54" i="137"/>
  <c r="G54" i="137"/>
  <c r="J53" i="137"/>
  <c r="I53" i="137"/>
  <c r="H53" i="137"/>
  <c r="G53" i="137"/>
  <c r="J52" i="137"/>
  <c r="I52" i="137"/>
  <c r="H52" i="137"/>
  <c r="G52" i="137"/>
  <c r="J51" i="137"/>
  <c r="I51" i="137"/>
  <c r="H51" i="137"/>
  <c r="G51" i="137"/>
  <c r="J50" i="137"/>
  <c r="I50" i="137"/>
  <c r="H50" i="137"/>
  <c r="G50" i="137"/>
  <c r="J49" i="137"/>
  <c r="I49" i="137"/>
  <c r="H49" i="137"/>
  <c r="G49" i="137"/>
  <c r="J48" i="137"/>
  <c r="I48" i="137"/>
  <c r="H48" i="137"/>
  <c r="G48" i="137"/>
  <c r="J47" i="137"/>
  <c r="I47" i="137"/>
  <c r="H47" i="137"/>
  <c r="G47" i="137"/>
  <c r="J46" i="137"/>
  <c r="I46" i="137"/>
  <c r="H46" i="137"/>
  <c r="G46" i="137"/>
  <c r="J45" i="137"/>
  <c r="I45" i="137"/>
  <c r="H45" i="137"/>
  <c r="G45" i="137"/>
  <c r="J44" i="137"/>
  <c r="I44" i="137"/>
  <c r="G44" i="137"/>
  <c r="F39" i="137"/>
  <c r="E39" i="137"/>
  <c r="D39" i="137"/>
  <c r="C39" i="137"/>
  <c r="B39" i="137"/>
  <c r="F20" i="137"/>
  <c r="E20" i="137"/>
  <c r="D20" i="137"/>
  <c r="C20" i="137"/>
  <c r="B20" i="137"/>
  <c r="I16" i="136"/>
  <c r="H16" i="136"/>
  <c r="I15" i="136"/>
  <c r="H15" i="136"/>
  <c r="I14" i="136"/>
  <c r="H14" i="136"/>
  <c r="I13" i="136"/>
  <c r="H13" i="136"/>
  <c r="I12" i="136"/>
  <c r="H12" i="136"/>
  <c r="I11" i="136"/>
  <c r="H11" i="136"/>
  <c r="I10" i="136"/>
  <c r="H10" i="136"/>
  <c r="I9" i="136"/>
  <c r="H9" i="136"/>
  <c r="I8" i="136"/>
  <c r="H8" i="136"/>
  <c r="I7" i="136"/>
  <c r="H7" i="136"/>
  <c r="I6" i="136"/>
  <c r="H6" i="136"/>
  <c r="I5" i="136"/>
  <c r="H5" i="136"/>
  <c r="I4" i="136"/>
  <c r="H4" i="136"/>
  <c r="F1" i="136"/>
  <c r="E57" i="135"/>
  <c r="G58" i="135"/>
  <c r="F57" i="135"/>
  <c r="F44" i="135"/>
  <c r="F45" i="135"/>
  <c r="F46" i="135"/>
  <c r="F47" i="135"/>
  <c r="F48" i="135"/>
  <c r="F49" i="135"/>
  <c r="F50" i="135"/>
  <c r="F51" i="135"/>
  <c r="F52" i="135"/>
  <c r="F53" i="135"/>
  <c r="F54" i="135"/>
  <c r="F55" i="135"/>
  <c r="F56" i="135"/>
  <c r="F58" i="135"/>
  <c r="E44" i="135"/>
  <c r="E45" i="135"/>
  <c r="E46" i="135"/>
  <c r="E47" i="135"/>
  <c r="E48" i="135"/>
  <c r="E49" i="135"/>
  <c r="E50" i="135"/>
  <c r="E51" i="135"/>
  <c r="E52" i="135"/>
  <c r="E53" i="135"/>
  <c r="E54" i="135"/>
  <c r="E55" i="135"/>
  <c r="E56" i="135"/>
  <c r="E58" i="135"/>
  <c r="D57" i="135"/>
  <c r="D44" i="135"/>
  <c r="D45" i="135"/>
  <c r="D46" i="135"/>
  <c r="D47" i="135"/>
  <c r="D48" i="135"/>
  <c r="D49" i="135"/>
  <c r="D50" i="135"/>
  <c r="D51" i="135"/>
  <c r="D52" i="135"/>
  <c r="D53" i="135"/>
  <c r="D54" i="135"/>
  <c r="D55" i="135"/>
  <c r="D56" i="135"/>
  <c r="D58" i="135"/>
  <c r="C57" i="135"/>
  <c r="C44" i="135"/>
  <c r="C45" i="135"/>
  <c r="C46" i="135"/>
  <c r="C47" i="135"/>
  <c r="C48" i="135"/>
  <c r="C49" i="135"/>
  <c r="C50" i="135"/>
  <c r="C51" i="135"/>
  <c r="C52" i="135"/>
  <c r="C53" i="135"/>
  <c r="C54" i="135"/>
  <c r="C55" i="135"/>
  <c r="C56" i="135"/>
  <c r="C58" i="135"/>
  <c r="B57" i="135"/>
  <c r="B44" i="135"/>
  <c r="B45" i="135"/>
  <c r="B46" i="135"/>
  <c r="B47" i="135"/>
  <c r="B48" i="135"/>
  <c r="B49" i="135"/>
  <c r="B50" i="135"/>
  <c r="B51" i="135"/>
  <c r="B52" i="135"/>
  <c r="B53" i="135"/>
  <c r="B54" i="135"/>
  <c r="B55" i="135"/>
  <c r="B56" i="135"/>
  <c r="B58" i="135"/>
  <c r="J57" i="135"/>
  <c r="I57" i="135"/>
  <c r="G57" i="135"/>
  <c r="J56" i="135"/>
  <c r="I56" i="135"/>
  <c r="H56" i="135"/>
  <c r="G56" i="135"/>
  <c r="J55" i="135"/>
  <c r="I55" i="135"/>
  <c r="H55" i="135"/>
  <c r="G55" i="135"/>
  <c r="J54" i="135"/>
  <c r="I54" i="135"/>
  <c r="H54" i="135"/>
  <c r="G54" i="135"/>
  <c r="J53" i="135"/>
  <c r="I53" i="135"/>
  <c r="H53" i="135"/>
  <c r="G53" i="135"/>
  <c r="J52" i="135"/>
  <c r="I52" i="135"/>
  <c r="H52" i="135"/>
  <c r="G52" i="135"/>
  <c r="J51" i="135"/>
  <c r="I51" i="135"/>
  <c r="H51" i="135"/>
  <c r="G51" i="135"/>
  <c r="J50" i="135"/>
  <c r="I50" i="135"/>
  <c r="H50" i="135"/>
  <c r="G50" i="135"/>
  <c r="J49" i="135"/>
  <c r="I49" i="135"/>
  <c r="H49" i="135"/>
  <c r="G49" i="135"/>
  <c r="J48" i="135"/>
  <c r="I48" i="135"/>
  <c r="H48" i="135"/>
  <c r="G48" i="135"/>
  <c r="J47" i="135"/>
  <c r="I47" i="135"/>
  <c r="H47" i="135"/>
  <c r="G47" i="135"/>
  <c r="J46" i="135"/>
  <c r="I46" i="135"/>
  <c r="H46" i="135"/>
  <c r="G46" i="135"/>
  <c r="J45" i="135"/>
  <c r="I45" i="135"/>
  <c r="H45" i="135"/>
  <c r="G45" i="135"/>
  <c r="J44" i="135"/>
  <c r="I44" i="135"/>
  <c r="G44" i="135"/>
  <c r="F39" i="135"/>
  <c r="E39" i="135"/>
  <c r="D39" i="135"/>
  <c r="C39" i="135"/>
  <c r="B39" i="135"/>
  <c r="F20" i="135"/>
  <c r="E20" i="135"/>
  <c r="D20" i="135"/>
  <c r="C20" i="135"/>
  <c r="B20" i="135"/>
  <c r="I16" i="134"/>
  <c r="H16" i="134"/>
  <c r="I15" i="134"/>
  <c r="H15" i="134"/>
  <c r="I14" i="134"/>
  <c r="H14" i="134"/>
  <c r="I13" i="134"/>
  <c r="H13" i="134"/>
  <c r="I12" i="134"/>
  <c r="H12" i="134"/>
  <c r="I11" i="134"/>
  <c r="H11" i="134"/>
  <c r="I10" i="134"/>
  <c r="H10" i="134"/>
  <c r="I9" i="134"/>
  <c r="H9" i="134"/>
  <c r="I8" i="134"/>
  <c r="H8" i="134"/>
  <c r="I7" i="134"/>
  <c r="H7" i="134"/>
  <c r="I6" i="134"/>
  <c r="H6" i="134"/>
  <c r="I5" i="134"/>
  <c r="H5" i="134"/>
  <c r="I4" i="134"/>
  <c r="H4" i="134"/>
  <c r="F1" i="134"/>
  <c r="E57" i="133"/>
  <c r="G58" i="133"/>
  <c r="F57" i="133"/>
  <c r="F44" i="133"/>
  <c r="F45" i="133"/>
  <c r="F46" i="133"/>
  <c r="F47" i="133"/>
  <c r="F48" i="133"/>
  <c r="F49" i="133"/>
  <c r="F50" i="133"/>
  <c r="F51" i="133"/>
  <c r="F52" i="133"/>
  <c r="F53" i="133"/>
  <c r="F54" i="133"/>
  <c r="F55" i="133"/>
  <c r="F56" i="133"/>
  <c r="F58" i="133"/>
  <c r="E44" i="133"/>
  <c r="E45" i="133"/>
  <c r="E46" i="133"/>
  <c r="E47" i="133"/>
  <c r="E48" i="133"/>
  <c r="E49" i="133"/>
  <c r="E50" i="133"/>
  <c r="E51" i="133"/>
  <c r="E52" i="133"/>
  <c r="E53" i="133"/>
  <c r="E54" i="133"/>
  <c r="E55" i="133"/>
  <c r="E56" i="133"/>
  <c r="E58" i="133"/>
  <c r="D57" i="133"/>
  <c r="D44" i="133"/>
  <c r="D45" i="133"/>
  <c r="D46" i="133"/>
  <c r="D47" i="133"/>
  <c r="D48" i="133"/>
  <c r="D49" i="133"/>
  <c r="D50" i="133"/>
  <c r="D51" i="133"/>
  <c r="D52" i="133"/>
  <c r="D53" i="133"/>
  <c r="D54" i="133"/>
  <c r="D55" i="133"/>
  <c r="D56" i="133"/>
  <c r="D58" i="133"/>
  <c r="C57" i="133"/>
  <c r="C44" i="133"/>
  <c r="C45" i="133"/>
  <c r="C46" i="133"/>
  <c r="C47" i="133"/>
  <c r="C48" i="133"/>
  <c r="C49" i="133"/>
  <c r="C50" i="133"/>
  <c r="C51" i="133"/>
  <c r="C52" i="133"/>
  <c r="C53" i="133"/>
  <c r="C54" i="133"/>
  <c r="C55" i="133"/>
  <c r="C56" i="133"/>
  <c r="C58" i="133"/>
  <c r="B57" i="133"/>
  <c r="B44" i="133"/>
  <c r="B45" i="133"/>
  <c r="B46" i="133"/>
  <c r="B47" i="133"/>
  <c r="B48" i="133"/>
  <c r="B49" i="133"/>
  <c r="B50" i="133"/>
  <c r="B51" i="133"/>
  <c r="B52" i="133"/>
  <c r="B53" i="133"/>
  <c r="B54" i="133"/>
  <c r="B55" i="133"/>
  <c r="B56" i="133"/>
  <c r="B58" i="133"/>
  <c r="J57" i="133"/>
  <c r="I57" i="133"/>
  <c r="G57" i="133"/>
  <c r="J56" i="133"/>
  <c r="I56" i="133"/>
  <c r="H56" i="133"/>
  <c r="G56" i="133"/>
  <c r="J55" i="133"/>
  <c r="I55" i="133"/>
  <c r="H55" i="133"/>
  <c r="G55" i="133"/>
  <c r="J54" i="133"/>
  <c r="I54" i="133"/>
  <c r="H54" i="133"/>
  <c r="G54" i="133"/>
  <c r="J53" i="133"/>
  <c r="I53" i="133"/>
  <c r="H53" i="133"/>
  <c r="G53" i="133"/>
  <c r="J52" i="133"/>
  <c r="I52" i="133"/>
  <c r="H52" i="133"/>
  <c r="G52" i="133"/>
  <c r="J51" i="133"/>
  <c r="I51" i="133"/>
  <c r="H51" i="133"/>
  <c r="G51" i="133"/>
  <c r="J50" i="133"/>
  <c r="I50" i="133"/>
  <c r="H50" i="133"/>
  <c r="G50" i="133"/>
  <c r="J49" i="133"/>
  <c r="I49" i="133"/>
  <c r="H49" i="133"/>
  <c r="G49" i="133"/>
  <c r="J48" i="133"/>
  <c r="I48" i="133"/>
  <c r="H48" i="133"/>
  <c r="G48" i="133"/>
  <c r="J47" i="133"/>
  <c r="I47" i="133"/>
  <c r="H47" i="133"/>
  <c r="G47" i="133"/>
  <c r="J46" i="133"/>
  <c r="I46" i="133"/>
  <c r="H46" i="133"/>
  <c r="G46" i="133"/>
  <c r="J45" i="133"/>
  <c r="I45" i="133"/>
  <c r="H45" i="133"/>
  <c r="G45" i="133"/>
  <c r="J44" i="133"/>
  <c r="I44" i="133"/>
  <c r="G44" i="133"/>
  <c r="F39" i="133"/>
  <c r="E39" i="133"/>
  <c r="D39" i="133"/>
  <c r="C39" i="133"/>
  <c r="B39" i="133"/>
  <c r="F20" i="133"/>
  <c r="E20" i="133"/>
  <c r="D20" i="133"/>
  <c r="C20" i="133"/>
  <c r="B20" i="133"/>
  <c r="I16" i="132"/>
  <c r="H16" i="132"/>
  <c r="I15" i="132"/>
  <c r="H15" i="132"/>
  <c r="I14" i="132"/>
  <c r="H14" i="132"/>
  <c r="I13" i="132"/>
  <c r="H13" i="132"/>
  <c r="I12" i="132"/>
  <c r="H12" i="132"/>
  <c r="I11" i="132"/>
  <c r="H11" i="132"/>
  <c r="I10" i="132"/>
  <c r="H10" i="132"/>
  <c r="I9" i="132"/>
  <c r="H9" i="132"/>
  <c r="I8" i="132"/>
  <c r="H8" i="132"/>
  <c r="I7" i="132"/>
  <c r="H7" i="132"/>
  <c r="I6" i="132"/>
  <c r="H6" i="132"/>
  <c r="I5" i="132"/>
  <c r="H5" i="132"/>
  <c r="I4" i="132"/>
  <c r="H4" i="132"/>
  <c r="F1" i="132"/>
  <c r="E57" i="131"/>
  <c r="G58" i="131"/>
  <c r="F57" i="131"/>
  <c r="F44" i="131"/>
  <c r="F45" i="131"/>
  <c r="F46" i="131"/>
  <c r="F47" i="131"/>
  <c r="F48" i="131"/>
  <c r="F49" i="131"/>
  <c r="F50" i="131"/>
  <c r="F51" i="131"/>
  <c r="F52" i="131"/>
  <c r="F53" i="131"/>
  <c r="F54" i="131"/>
  <c r="F55" i="131"/>
  <c r="F56" i="131"/>
  <c r="F58" i="131"/>
  <c r="E44" i="131"/>
  <c r="E45" i="131"/>
  <c r="E46" i="131"/>
  <c r="E47" i="131"/>
  <c r="E48" i="131"/>
  <c r="E49" i="131"/>
  <c r="E50" i="131"/>
  <c r="E51" i="131"/>
  <c r="E52" i="131"/>
  <c r="E53" i="131"/>
  <c r="E54" i="131"/>
  <c r="E55" i="131"/>
  <c r="E56" i="131"/>
  <c r="E58" i="131"/>
  <c r="D57" i="131"/>
  <c r="D44" i="131"/>
  <c r="D45" i="131"/>
  <c r="D46" i="131"/>
  <c r="D47" i="131"/>
  <c r="D48" i="131"/>
  <c r="D49" i="131"/>
  <c r="D50" i="131"/>
  <c r="D51" i="131"/>
  <c r="D52" i="131"/>
  <c r="D53" i="131"/>
  <c r="D54" i="131"/>
  <c r="D55" i="131"/>
  <c r="D56" i="131"/>
  <c r="D58" i="131"/>
  <c r="C57" i="131"/>
  <c r="C44" i="131"/>
  <c r="C45" i="131"/>
  <c r="C46" i="131"/>
  <c r="C47" i="131"/>
  <c r="C48" i="131"/>
  <c r="C49" i="131"/>
  <c r="C50" i="131"/>
  <c r="C51" i="131"/>
  <c r="C52" i="131"/>
  <c r="C53" i="131"/>
  <c r="C54" i="131"/>
  <c r="C55" i="131"/>
  <c r="C56" i="131"/>
  <c r="C58" i="131"/>
  <c r="B57" i="131"/>
  <c r="B44" i="131"/>
  <c r="B45" i="131"/>
  <c r="B46" i="131"/>
  <c r="B47" i="131"/>
  <c r="B48" i="131"/>
  <c r="B49" i="131"/>
  <c r="B50" i="131"/>
  <c r="B51" i="131"/>
  <c r="B52" i="131"/>
  <c r="B53" i="131"/>
  <c r="B54" i="131"/>
  <c r="B55" i="131"/>
  <c r="B56" i="131"/>
  <c r="B58" i="131"/>
  <c r="J57" i="131"/>
  <c r="I57" i="131"/>
  <c r="G57" i="131"/>
  <c r="J56" i="131"/>
  <c r="I56" i="131"/>
  <c r="H56" i="131"/>
  <c r="G56" i="131"/>
  <c r="J55" i="131"/>
  <c r="I55" i="131"/>
  <c r="H55" i="131"/>
  <c r="G55" i="131"/>
  <c r="J54" i="131"/>
  <c r="I54" i="131"/>
  <c r="H54" i="131"/>
  <c r="G54" i="131"/>
  <c r="J53" i="131"/>
  <c r="I53" i="131"/>
  <c r="H53" i="131"/>
  <c r="G53" i="131"/>
  <c r="J52" i="131"/>
  <c r="I52" i="131"/>
  <c r="H52" i="131"/>
  <c r="G52" i="131"/>
  <c r="J51" i="131"/>
  <c r="I51" i="131"/>
  <c r="H51" i="131"/>
  <c r="G51" i="131"/>
  <c r="J50" i="131"/>
  <c r="I50" i="131"/>
  <c r="H50" i="131"/>
  <c r="G50" i="131"/>
  <c r="J49" i="131"/>
  <c r="I49" i="131"/>
  <c r="H49" i="131"/>
  <c r="G49" i="131"/>
  <c r="J48" i="131"/>
  <c r="I48" i="131"/>
  <c r="H48" i="131"/>
  <c r="G48" i="131"/>
  <c r="J47" i="131"/>
  <c r="I47" i="131"/>
  <c r="H47" i="131"/>
  <c r="G47" i="131"/>
  <c r="J46" i="131"/>
  <c r="I46" i="131"/>
  <c r="H46" i="131"/>
  <c r="G46" i="131"/>
  <c r="J45" i="131"/>
  <c r="I45" i="131"/>
  <c r="H45" i="131"/>
  <c r="G45" i="131"/>
  <c r="J44" i="131"/>
  <c r="I44" i="131"/>
  <c r="G44" i="131"/>
  <c r="F39" i="131"/>
  <c r="E39" i="131"/>
  <c r="D39" i="131"/>
  <c r="C39" i="131"/>
  <c r="B39" i="131"/>
  <c r="F20" i="131"/>
  <c r="E20" i="131"/>
  <c r="D20" i="131"/>
  <c r="C20" i="131"/>
  <c r="B20" i="131"/>
  <c r="I16" i="130"/>
  <c r="H16" i="130"/>
  <c r="I15" i="130"/>
  <c r="H15" i="130"/>
  <c r="I14" i="130"/>
  <c r="H14" i="130"/>
  <c r="I13" i="130"/>
  <c r="H13" i="130"/>
  <c r="I12" i="130"/>
  <c r="H12" i="130"/>
  <c r="I11" i="130"/>
  <c r="H11" i="130"/>
  <c r="I10" i="130"/>
  <c r="H10" i="130"/>
  <c r="I9" i="130"/>
  <c r="H9" i="130"/>
  <c r="I8" i="130"/>
  <c r="H8" i="130"/>
  <c r="I7" i="130"/>
  <c r="H7" i="130"/>
  <c r="I6" i="130"/>
  <c r="H6" i="130"/>
  <c r="I5" i="130"/>
  <c r="H5" i="130"/>
  <c r="I4" i="130"/>
  <c r="H4" i="130"/>
  <c r="F1" i="130"/>
  <c r="E57" i="129"/>
  <c r="G58" i="129"/>
  <c r="F57" i="129"/>
  <c r="F44" i="129"/>
  <c r="F45" i="129"/>
  <c r="F46" i="129"/>
  <c r="F47" i="129"/>
  <c r="F48" i="129"/>
  <c r="F49" i="129"/>
  <c r="F50" i="129"/>
  <c r="F51" i="129"/>
  <c r="F52" i="129"/>
  <c r="F53" i="129"/>
  <c r="F54" i="129"/>
  <c r="F55" i="129"/>
  <c r="F56" i="129"/>
  <c r="F58" i="129"/>
  <c r="E44" i="129"/>
  <c r="E45" i="129"/>
  <c r="E46" i="129"/>
  <c r="E47" i="129"/>
  <c r="E48" i="129"/>
  <c r="E49" i="129"/>
  <c r="E50" i="129"/>
  <c r="E51" i="129"/>
  <c r="E52" i="129"/>
  <c r="E53" i="129"/>
  <c r="E54" i="129"/>
  <c r="E55" i="129"/>
  <c r="E56" i="129"/>
  <c r="E58" i="129"/>
  <c r="D57" i="129"/>
  <c r="D44" i="129"/>
  <c r="D45" i="129"/>
  <c r="D46" i="129"/>
  <c r="D47" i="129"/>
  <c r="D48" i="129"/>
  <c r="D49" i="129"/>
  <c r="D50" i="129"/>
  <c r="D51" i="129"/>
  <c r="D52" i="129"/>
  <c r="D53" i="129"/>
  <c r="D54" i="129"/>
  <c r="D55" i="129"/>
  <c r="D56" i="129"/>
  <c r="D58" i="129"/>
  <c r="C57" i="129"/>
  <c r="C44" i="129"/>
  <c r="C45" i="129"/>
  <c r="C46" i="129"/>
  <c r="C47" i="129"/>
  <c r="C48" i="129"/>
  <c r="C49" i="129"/>
  <c r="C50" i="129"/>
  <c r="C51" i="129"/>
  <c r="C52" i="129"/>
  <c r="C53" i="129"/>
  <c r="C54" i="129"/>
  <c r="C55" i="129"/>
  <c r="C56" i="129"/>
  <c r="C58" i="129"/>
  <c r="B57" i="129"/>
  <c r="B44" i="129"/>
  <c r="B45" i="129"/>
  <c r="B46" i="129"/>
  <c r="B47" i="129"/>
  <c r="B48" i="129"/>
  <c r="B49" i="129"/>
  <c r="B50" i="129"/>
  <c r="B51" i="129"/>
  <c r="B52" i="129"/>
  <c r="B53" i="129"/>
  <c r="B54" i="129"/>
  <c r="B55" i="129"/>
  <c r="B56" i="129"/>
  <c r="B58" i="129"/>
  <c r="J57" i="129"/>
  <c r="I57" i="129"/>
  <c r="G57" i="129"/>
  <c r="J56" i="129"/>
  <c r="I56" i="129"/>
  <c r="H56" i="129"/>
  <c r="G56" i="129"/>
  <c r="J55" i="129"/>
  <c r="I55" i="129"/>
  <c r="H55" i="129"/>
  <c r="G55" i="129"/>
  <c r="J54" i="129"/>
  <c r="I54" i="129"/>
  <c r="H54" i="129"/>
  <c r="G54" i="129"/>
  <c r="J53" i="129"/>
  <c r="I53" i="129"/>
  <c r="H53" i="129"/>
  <c r="G53" i="129"/>
  <c r="J52" i="129"/>
  <c r="I52" i="129"/>
  <c r="H52" i="129"/>
  <c r="G52" i="129"/>
  <c r="J51" i="129"/>
  <c r="I51" i="129"/>
  <c r="H51" i="129"/>
  <c r="G51" i="129"/>
  <c r="J50" i="129"/>
  <c r="I50" i="129"/>
  <c r="H50" i="129"/>
  <c r="G50" i="129"/>
  <c r="J49" i="129"/>
  <c r="I49" i="129"/>
  <c r="H49" i="129"/>
  <c r="G49" i="129"/>
  <c r="J48" i="129"/>
  <c r="I48" i="129"/>
  <c r="H48" i="129"/>
  <c r="G48" i="129"/>
  <c r="J47" i="129"/>
  <c r="I47" i="129"/>
  <c r="H47" i="129"/>
  <c r="G47" i="129"/>
  <c r="J46" i="129"/>
  <c r="I46" i="129"/>
  <c r="H46" i="129"/>
  <c r="G46" i="129"/>
  <c r="J45" i="129"/>
  <c r="I45" i="129"/>
  <c r="H45" i="129"/>
  <c r="G45" i="129"/>
  <c r="J44" i="129"/>
  <c r="I44" i="129"/>
  <c r="G44" i="129"/>
  <c r="F39" i="129"/>
  <c r="E39" i="129"/>
  <c r="D39" i="129"/>
  <c r="C39" i="129"/>
  <c r="B39" i="129"/>
  <c r="F20" i="129"/>
  <c r="E20" i="129"/>
  <c r="D20" i="129"/>
  <c r="C20" i="129"/>
  <c r="B20" i="129"/>
  <c r="I16" i="128"/>
  <c r="H16" i="128"/>
  <c r="I15" i="128"/>
  <c r="H15" i="128"/>
  <c r="I14" i="128"/>
  <c r="H14" i="128"/>
  <c r="I13" i="128"/>
  <c r="H13" i="128"/>
  <c r="I12" i="128"/>
  <c r="H12" i="128"/>
  <c r="I11" i="128"/>
  <c r="H11" i="128"/>
  <c r="I10" i="128"/>
  <c r="H10" i="128"/>
  <c r="I9" i="128"/>
  <c r="H9" i="128"/>
  <c r="I8" i="128"/>
  <c r="H8" i="128"/>
  <c r="I7" i="128"/>
  <c r="H7" i="128"/>
  <c r="I6" i="128"/>
  <c r="H6" i="128"/>
  <c r="I5" i="128"/>
  <c r="H5" i="128"/>
  <c r="I4" i="128"/>
  <c r="H4" i="128"/>
  <c r="F1" i="128"/>
  <c r="E57" i="127"/>
  <c r="G58" i="127"/>
  <c r="F57" i="127"/>
  <c r="F44" i="127"/>
  <c r="F45" i="127"/>
  <c r="F46" i="127"/>
  <c r="F47" i="127"/>
  <c r="F48" i="127"/>
  <c r="F49" i="127"/>
  <c r="F50" i="127"/>
  <c r="F51" i="127"/>
  <c r="F52" i="127"/>
  <c r="F53" i="127"/>
  <c r="F54" i="127"/>
  <c r="F55" i="127"/>
  <c r="F56" i="127"/>
  <c r="F58" i="127"/>
  <c r="E44" i="127"/>
  <c r="E45" i="127"/>
  <c r="E46" i="127"/>
  <c r="E47" i="127"/>
  <c r="E48" i="127"/>
  <c r="E49" i="127"/>
  <c r="E50" i="127"/>
  <c r="E51" i="127"/>
  <c r="E52" i="127"/>
  <c r="E53" i="127"/>
  <c r="E54" i="127"/>
  <c r="E55" i="127"/>
  <c r="E56" i="127"/>
  <c r="E58" i="127"/>
  <c r="D57" i="127"/>
  <c r="D44" i="127"/>
  <c r="D45" i="127"/>
  <c r="D46" i="127"/>
  <c r="D47" i="127"/>
  <c r="D48" i="127"/>
  <c r="D49" i="127"/>
  <c r="D50" i="127"/>
  <c r="D51" i="127"/>
  <c r="D52" i="127"/>
  <c r="D53" i="127"/>
  <c r="D54" i="127"/>
  <c r="D55" i="127"/>
  <c r="D56" i="127"/>
  <c r="D58" i="127"/>
  <c r="C57" i="127"/>
  <c r="C44" i="127"/>
  <c r="C45" i="127"/>
  <c r="C46" i="127"/>
  <c r="C47" i="127"/>
  <c r="C48" i="127"/>
  <c r="C49" i="127"/>
  <c r="C50" i="127"/>
  <c r="C51" i="127"/>
  <c r="C52" i="127"/>
  <c r="C53" i="127"/>
  <c r="C54" i="127"/>
  <c r="C55" i="127"/>
  <c r="C56" i="127"/>
  <c r="C58" i="127"/>
  <c r="B57" i="127"/>
  <c r="B44" i="127"/>
  <c r="B45" i="127"/>
  <c r="B46" i="127"/>
  <c r="B47" i="127"/>
  <c r="B48" i="127"/>
  <c r="B49" i="127"/>
  <c r="B50" i="127"/>
  <c r="B51" i="127"/>
  <c r="B52" i="127"/>
  <c r="B53" i="127"/>
  <c r="B54" i="127"/>
  <c r="B55" i="127"/>
  <c r="B56" i="127"/>
  <c r="B58" i="127"/>
  <c r="J57" i="127"/>
  <c r="I57" i="127"/>
  <c r="G57" i="127"/>
  <c r="J56" i="127"/>
  <c r="I56" i="127"/>
  <c r="H56" i="127"/>
  <c r="G56" i="127"/>
  <c r="J55" i="127"/>
  <c r="I55" i="127"/>
  <c r="H55" i="127"/>
  <c r="G55" i="127"/>
  <c r="J54" i="127"/>
  <c r="I54" i="127"/>
  <c r="H54" i="127"/>
  <c r="G54" i="127"/>
  <c r="J53" i="127"/>
  <c r="I53" i="127"/>
  <c r="H53" i="127"/>
  <c r="G53" i="127"/>
  <c r="J52" i="127"/>
  <c r="I52" i="127"/>
  <c r="H52" i="127"/>
  <c r="G52" i="127"/>
  <c r="J51" i="127"/>
  <c r="I51" i="127"/>
  <c r="H51" i="127"/>
  <c r="G51" i="127"/>
  <c r="J50" i="127"/>
  <c r="I50" i="127"/>
  <c r="H50" i="127"/>
  <c r="G50" i="127"/>
  <c r="J49" i="127"/>
  <c r="I49" i="127"/>
  <c r="H49" i="127"/>
  <c r="G49" i="127"/>
  <c r="J48" i="127"/>
  <c r="I48" i="127"/>
  <c r="H48" i="127"/>
  <c r="G48" i="127"/>
  <c r="J47" i="127"/>
  <c r="I47" i="127"/>
  <c r="H47" i="127"/>
  <c r="G47" i="127"/>
  <c r="J46" i="127"/>
  <c r="I46" i="127"/>
  <c r="H46" i="127"/>
  <c r="G46" i="127"/>
  <c r="J45" i="127"/>
  <c r="I45" i="127"/>
  <c r="H45" i="127"/>
  <c r="G45" i="127"/>
  <c r="J44" i="127"/>
  <c r="I44" i="127"/>
  <c r="G44" i="127"/>
  <c r="F39" i="127"/>
  <c r="E39" i="127"/>
  <c r="D39" i="127"/>
  <c r="C39" i="127"/>
  <c r="B39" i="127"/>
  <c r="F20" i="127"/>
  <c r="E20" i="127"/>
  <c r="D20" i="127"/>
  <c r="C20" i="127"/>
  <c r="B20" i="127"/>
  <c r="I16" i="126"/>
  <c r="H16" i="126"/>
  <c r="I15" i="126"/>
  <c r="H15" i="126"/>
  <c r="I14" i="126"/>
  <c r="H14" i="126"/>
  <c r="I13" i="126"/>
  <c r="H13" i="126"/>
  <c r="I12" i="126"/>
  <c r="H12" i="126"/>
  <c r="I11" i="126"/>
  <c r="H11" i="126"/>
  <c r="I10" i="126"/>
  <c r="H10" i="126"/>
  <c r="I9" i="126"/>
  <c r="H9" i="126"/>
  <c r="I8" i="126"/>
  <c r="H8" i="126"/>
  <c r="I7" i="126"/>
  <c r="H7" i="126"/>
  <c r="I6" i="126"/>
  <c r="H6" i="126"/>
  <c r="I5" i="126"/>
  <c r="H5" i="126"/>
  <c r="I4" i="126"/>
  <c r="H4" i="126"/>
  <c r="F1" i="126"/>
  <c r="E57" i="125"/>
  <c r="G58" i="125"/>
  <c r="F57" i="125"/>
  <c r="F44" i="125"/>
  <c r="F45" i="125"/>
  <c r="F46" i="125"/>
  <c r="F47" i="125"/>
  <c r="F48" i="125"/>
  <c r="F49" i="125"/>
  <c r="F50" i="125"/>
  <c r="F51" i="125"/>
  <c r="F52" i="125"/>
  <c r="F53" i="125"/>
  <c r="F54" i="125"/>
  <c r="F55" i="125"/>
  <c r="F56" i="125"/>
  <c r="F58" i="125"/>
  <c r="E44" i="125"/>
  <c r="E45" i="125"/>
  <c r="E46" i="125"/>
  <c r="E47" i="125"/>
  <c r="E48" i="125"/>
  <c r="E49" i="125"/>
  <c r="E50" i="125"/>
  <c r="E51" i="125"/>
  <c r="E52" i="125"/>
  <c r="E53" i="125"/>
  <c r="E54" i="125"/>
  <c r="E55" i="125"/>
  <c r="E56" i="125"/>
  <c r="E58" i="125"/>
  <c r="D57" i="125"/>
  <c r="D44" i="125"/>
  <c r="D45" i="125"/>
  <c r="D46" i="125"/>
  <c r="D47" i="125"/>
  <c r="D48" i="125"/>
  <c r="D49" i="125"/>
  <c r="D50" i="125"/>
  <c r="D51" i="125"/>
  <c r="D52" i="125"/>
  <c r="D53" i="125"/>
  <c r="D54" i="125"/>
  <c r="D55" i="125"/>
  <c r="D56" i="125"/>
  <c r="D58" i="125"/>
  <c r="C57" i="125"/>
  <c r="C44" i="125"/>
  <c r="C45" i="125"/>
  <c r="C46" i="125"/>
  <c r="C47" i="125"/>
  <c r="C48" i="125"/>
  <c r="C49" i="125"/>
  <c r="C50" i="125"/>
  <c r="C51" i="125"/>
  <c r="C52" i="125"/>
  <c r="C53" i="125"/>
  <c r="C54" i="125"/>
  <c r="C55" i="125"/>
  <c r="C56" i="125"/>
  <c r="C58" i="125"/>
  <c r="B57" i="125"/>
  <c r="B44" i="125"/>
  <c r="B45" i="125"/>
  <c r="B46" i="125"/>
  <c r="B47" i="125"/>
  <c r="B48" i="125"/>
  <c r="B49" i="125"/>
  <c r="B50" i="125"/>
  <c r="B51" i="125"/>
  <c r="B52" i="125"/>
  <c r="B53" i="125"/>
  <c r="B54" i="125"/>
  <c r="B55" i="125"/>
  <c r="B56" i="125"/>
  <c r="B58" i="125"/>
  <c r="J57" i="125"/>
  <c r="I57" i="125"/>
  <c r="G57" i="125"/>
  <c r="J56" i="125"/>
  <c r="I56" i="125"/>
  <c r="H56" i="125"/>
  <c r="G56" i="125"/>
  <c r="J55" i="125"/>
  <c r="I55" i="125"/>
  <c r="H55" i="125"/>
  <c r="G55" i="125"/>
  <c r="J54" i="125"/>
  <c r="I54" i="125"/>
  <c r="H54" i="125"/>
  <c r="G54" i="125"/>
  <c r="J53" i="125"/>
  <c r="I53" i="125"/>
  <c r="H53" i="125"/>
  <c r="G53" i="125"/>
  <c r="J52" i="125"/>
  <c r="I52" i="125"/>
  <c r="H52" i="125"/>
  <c r="G52" i="125"/>
  <c r="J51" i="125"/>
  <c r="I51" i="125"/>
  <c r="H51" i="125"/>
  <c r="G51" i="125"/>
  <c r="J50" i="125"/>
  <c r="I50" i="125"/>
  <c r="H50" i="125"/>
  <c r="G50" i="125"/>
  <c r="J49" i="125"/>
  <c r="I49" i="125"/>
  <c r="H49" i="125"/>
  <c r="G49" i="125"/>
  <c r="J48" i="125"/>
  <c r="I48" i="125"/>
  <c r="H48" i="125"/>
  <c r="G48" i="125"/>
  <c r="J47" i="125"/>
  <c r="I47" i="125"/>
  <c r="H47" i="125"/>
  <c r="G47" i="125"/>
  <c r="J46" i="125"/>
  <c r="I46" i="125"/>
  <c r="H46" i="125"/>
  <c r="G46" i="125"/>
  <c r="J45" i="125"/>
  <c r="I45" i="125"/>
  <c r="H45" i="125"/>
  <c r="G45" i="125"/>
  <c r="J44" i="125"/>
  <c r="I44" i="125"/>
  <c r="G44" i="125"/>
  <c r="F39" i="125"/>
  <c r="E39" i="125"/>
  <c r="D39" i="125"/>
  <c r="C39" i="125"/>
  <c r="B39" i="125"/>
  <c r="F20" i="125"/>
  <c r="E20" i="125"/>
  <c r="D20" i="125"/>
  <c r="C20" i="125"/>
  <c r="B20" i="125"/>
  <c r="I16" i="124"/>
  <c r="H16" i="124"/>
  <c r="I15" i="124"/>
  <c r="H15" i="124"/>
  <c r="I14" i="124"/>
  <c r="H14" i="124"/>
  <c r="I13" i="124"/>
  <c r="H13" i="124"/>
  <c r="I12" i="124"/>
  <c r="H12" i="124"/>
  <c r="I11" i="124"/>
  <c r="H11" i="124"/>
  <c r="I10" i="124"/>
  <c r="H10" i="124"/>
  <c r="I9" i="124"/>
  <c r="H9" i="124"/>
  <c r="I8" i="124"/>
  <c r="H8" i="124"/>
  <c r="I7" i="124"/>
  <c r="H7" i="124"/>
  <c r="I6" i="124"/>
  <c r="H6" i="124"/>
  <c r="I5" i="124"/>
  <c r="H5" i="124"/>
  <c r="I4" i="124"/>
  <c r="H4" i="124"/>
  <c r="F1" i="124"/>
  <c r="E57" i="123"/>
  <c r="G58" i="123"/>
  <c r="F57" i="123"/>
  <c r="F44" i="123"/>
  <c r="F45" i="123"/>
  <c r="F46" i="123"/>
  <c r="F47" i="123"/>
  <c r="F48" i="123"/>
  <c r="F49" i="123"/>
  <c r="F50" i="123"/>
  <c r="F51" i="123"/>
  <c r="F52" i="123"/>
  <c r="F53" i="123"/>
  <c r="F54" i="123"/>
  <c r="F55" i="123"/>
  <c r="F56" i="123"/>
  <c r="F58" i="123"/>
  <c r="E44" i="123"/>
  <c r="E45" i="123"/>
  <c r="E46" i="123"/>
  <c r="E47" i="123"/>
  <c r="E48" i="123"/>
  <c r="E49" i="123"/>
  <c r="E50" i="123"/>
  <c r="E51" i="123"/>
  <c r="E52" i="123"/>
  <c r="E53" i="123"/>
  <c r="E54" i="123"/>
  <c r="E55" i="123"/>
  <c r="E56" i="123"/>
  <c r="E58" i="123"/>
  <c r="D57" i="123"/>
  <c r="D44" i="123"/>
  <c r="D45" i="123"/>
  <c r="D46" i="123"/>
  <c r="D47" i="123"/>
  <c r="D48" i="123"/>
  <c r="D49" i="123"/>
  <c r="D50" i="123"/>
  <c r="D51" i="123"/>
  <c r="D52" i="123"/>
  <c r="D53" i="123"/>
  <c r="D54" i="123"/>
  <c r="D55" i="123"/>
  <c r="D56" i="123"/>
  <c r="D58" i="123"/>
  <c r="C57" i="123"/>
  <c r="C44" i="123"/>
  <c r="C45" i="123"/>
  <c r="C46" i="123"/>
  <c r="C47" i="123"/>
  <c r="C48" i="123"/>
  <c r="C49" i="123"/>
  <c r="C50" i="123"/>
  <c r="C51" i="123"/>
  <c r="C52" i="123"/>
  <c r="C53" i="123"/>
  <c r="C54" i="123"/>
  <c r="C55" i="123"/>
  <c r="C56" i="123"/>
  <c r="C58" i="123"/>
  <c r="B57" i="123"/>
  <c r="B44" i="123"/>
  <c r="B45" i="123"/>
  <c r="B46" i="123"/>
  <c r="B47" i="123"/>
  <c r="B48" i="123"/>
  <c r="B49" i="123"/>
  <c r="B50" i="123"/>
  <c r="B51" i="123"/>
  <c r="B52" i="123"/>
  <c r="B53" i="123"/>
  <c r="B54" i="123"/>
  <c r="B55" i="123"/>
  <c r="B56" i="123"/>
  <c r="B58" i="123"/>
  <c r="J57" i="123"/>
  <c r="I57" i="123"/>
  <c r="G57" i="123"/>
  <c r="J56" i="123"/>
  <c r="I56" i="123"/>
  <c r="H56" i="123"/>
  <c r="G56" i="123"/>
  <c r="J55" i="123"/>
  <c r="I55" i="123"/>
  <c r="H55" i="123"/>
  <c r="G55" i="123"/>
  <c r="J54" i="123"/>
  <c r="I54" i="123"/>
  <c r="H54" i="123"/>
  <c r="G54" i="123"/>
  <c r="J53" i="123"/>
  <c r="I53" i="123"/>
  <c r="H53" i="123"/>
  <c r="G53" i="123"/>
  <c r="J52" i="123"/>
  <c r="I52" i="123"/>
  <c r="H52" i="123"/>
  <c r="G52" i="123"/>
  <c r="J51" i="123"/>
  <c r="I51" i="123"/>
  <c r="H51" i="123"/>
  <c r="G51" i="123"/>
  <c r="J50" i="123"/>
  <c r="I50" i="123"/>
  <c r="H50" i="123"/>
  <c r="G50" i="123"/>
  <c r="J49" i="123"/>
  <c r="I49" i="123"/>
  <c r="H49" i="123"/>
  <c r="G49" i="123"/>
  <c r="J48" i="123"/>
  <c r="I48" i="123"/>
  <c r="H48" i="123"/>
  <c r="G48" i="123"/>
  <c r="J47" i="123"/>
  <c r="I47" i="123"/>
  <c r="H47" i="123"/>
  <c r="G47" i="123"/>
  <c r="J46" i="123"/>
  <c r="I46" i="123"/>
  <c r="H46" i="123"/>
  <c r="G46" i="123"/>
  <c r="J45" i="123"/>
  <c r="I45" i="123"/>
  <c r="H45" i="123"/>
  <c r="G45" i="123"/>
  <c r="J44" i="123"/>
  <c r="I44" i="123"/>
  <c r="G44" i="123"/>
  <c r="F39" i="123"/>
  <c r="E39" i="123"/>
  <c r="D39" i="123"/>
  <c r="C39" i="123"/>
  <c r="B39" i="123"/>
  <c r="F20" i="123"/>
  <c r="E20" i="123"/>
  <c r="D20" i="123"/>
  <c r="C20" i="123"/>
  <c r="B20" i="123"/>
  <c r="I16" i="122"/>
  <c r="H16" i="122"/>
  <c r="I15" i="122"/>
  <c r="H15" i="122"/>
  <c r="I14" i="122"/>
  <c r="H14" i="122"/>
  <c r="I13" i="122"/>
  <c r="H13" i="122"/>
  <c r="I12" i="122"/>
  <c r="H12" i="122"/>
  <c r="I11" i="122"/>
  <c r="H11" i="122"/>
  <c r="I10" i="122"/>
  <c r="H10" i="122"/>
  <c r="I9" i="122"/>
  <c r="H9" i="122"/>
  <c r="I8" i="122"/>
  <c r="H8" i="122"/>
  <c r="I7" i="122"/>
  <c r="H7" i="122"/>
  <c r="I6" i="122"/>
  <c r="H6" i="122"/>
  <c r="I5" i="122"/>
  <c r="H5" i="122"/>
  <c r="I4" i="122"/>
  <c r="H4" i="122"/>
  <c r="F1" i="122"/>
  <c r="F20" i="80"/>
  <c r="E20" i="80"/>
  <c r="D20" i="80"/>
  <c r="C20" i="80"/>
  <c r="B20" i="80"/>
  <c r="F39" i="80"/>
  <c r="E39" i="80"/>
  <c r="D39" i="80"/>
  <c r="C39" i="80"/>
  <c r="B39" i="80"/>
  <c r="F57" i="80"/>
  <c r="F44" i="80"/>
  <c r="F45" i="80"/>
  <c r="F46" i="80"/>
  <c r="F47" i="80"/>
  <c r="F48" i="80"/>
  <c r="F49" i="80"/>
  <c r="F50" i="80"/>
  <c r="F51" i="80"/>
  <c r="F52" i="80"/>
  <c r="F53" i="80"/>
  <c r="F54" i="80"/>
  <c r="F55" i="80"/>
  <c r="F56" i="80"/>
  <c r="F58" i="80"/>
  <c r="E57" i="80"/>
  <c r="E44" i="80"/>
  <c r="E45" i="80"/>
  <c r="E46" i="80"/>
  <c r="E47" i="80"/>
  <c r="E48" i="80"/>
  <c r="E49" i="80"/>
  <c r="E50" i="80"/>
  <c r="E51" i="80"/>
  <c r="E52" i="80"/>
  <c r="E53" i="80"/>
  <c r="E54" i="80"/>
  <c r="E55" i="80"/>
  <c r="E56" i="80"/>
  <c r="E58" i="80"/>
  <c r="D57" i="80"/>
  <c r="D44" i="80"/>
  <c r="D45" i="80"/>
  <c r="D46" i="80"/>
  <c r="D47" i="80"/>
  <c r="D48" i="80"/>
  <c r="D49" i="80"/>
  <c r="D50" i="80"/>
  <c r="D51" i="80"/>
  <c r="D52" i="80"/>
  <c r="D53" i="80"/>
  <c r="D54" i="80"/>
  <c r="D55" i="80"/>
  <c r="D56" i="80"/>
  <c r="D58" i="80"/>
  <c r="C57" i="80"/>
  <c r="C44" i="80"/>
  <c r="C45" i="80"/>
  <c r="C46" i="80"/>
  <c r="C47" i="80"/>
  <c r="C48" i="80"/>
  <c r="C49" i="80"/>
  <c r="C50" i="80"/>
  <c r="C51" i="80"/>
  <c r="C52" i="80"/>
  <c r="C53" i="80"/>
  <c r="C54" i="80"/>
  <c r="C55" i="80"/>
  <c r="C56" i="80"/>
  <c r="C58" i="80"/>
  <c r="B57" i="80"/>
  <c r="B44" i="80"/>
  <c r="B45" i="80"/>
  <c r="B46" i="80"/>
  <c r="B47" i="80"/>
  <c r="B48" i="80"/>
  <c r="B49" i="80"/>
  <c r="B50" i="80"/>
  <c r="B51" i="80"/>
  <c r="B52" i="80"/>
  <c r="B53" i="80"/>
  <c r="B54" i="80"/>
  <c r="B55" i="80"/>
  <c r="B56" i="80"/>
  <c r="B58" i="80"/>
  <c r="G58" i="80"/>
  <c r="J57" i="80"/>
  <c r="I57" i="80"/>
  <c r="G57" i="80"/>
  <c r="J56" i="80"/>
  <c r="I56" i="80"/>
  <c r="H56" i="80"/>
  <c r="G56" i="80"/>
  <c r="J55" i="80"/>
  <c r="I55" i="80"/>
  <c r="H55" i="80"/>
  <c r="G55" i="80"/>
  <c r="J54" i="80"/>
  <c r="I54" i="80"/>
  <c r="H54" i="80"/>
  <c r="G54" i="80"/>
  <c r="J53" i="80"/>
  <c r="I53" i="80"/>
  <c r="H53" i="80"/>
  <c r="G53" i="80"/>
  <c r="J52" i="80"/>
  <c r="I52" i="80"/>
  <c r="H52" i="80"/>
  <c r="G52" i="80"/>
  <c r="J51" i="80"/>
  <c r="I51" i="80"/>
  <c r="H51" i="80"/>
  <c r="G51" i="80"/>
  <c r="J50" i="80"/>
  <c r="I50" i="80"/>
  <c r="H50" i="80"/>
  <c r="G50" i="80"/>
  <c r="J49" i="80"/>
  <c r="I49" i="80"/>
  <c r="H49" i="80"/>
  <c r="G49" i="80"/>
  <c r="J48" i="80"/>
  <c r="I48" i="80"/>
  <c r="H48" i="80"/>
  <c r="G48" i="80"/>
  <c r="J47" i="80"/>
  <c r="I47" i="80"/>
  <c r="H47" i="80"/>
  <c r="G47" i="80"/>
  <c r="J46" i="80"/>
  <c r="I46" i="80"/>
  <c r="H46" i="80"/>
  <c r="G46" i="80"/>
  <c r="J45" i="80"/>
  <c r="I45" i="80"/>
  <c r="H45" i="80"/>
  <c r="G45" i="80"/>
  <c r="J44" i="80"/>
  <c r="I44" i="80"/>
  <c r="G44" i="80"/>
  <c r="I16" i="121"/>
  <c r="H16" i="121"/>
  <c r="I15" i="121"/>
  <c r="H15" i="121"/>
  <c r="I14" i="121"/>
  <c r="H14" i="121"/>
  <c r="I13" i="121"/>
  <c r="H13" i="121"/>
  <c r="I12" i="121"/>
  <c r="H12" i="121"/>
  <c r="I11" i="121"/>
  <c r="H11" i="121"/>
  <c r="I10" i="121"/>
  <c r="H10" i="121"/>
  <c r="I9" i="121"/>
  <c r="H9" i="121"/>
  <c r="I8" i="121"/>
  <c r="H8" i="121"/>
  <c r="I7" i="121"/>
  <c r="H7" i="121"/>
  <c r="I6" i="121"/>
  <c r="H6" i="121"/>
  <c r="I5" i="121"/>
  <c r="H5" i="121"/>
  <c r="I4" i="121"/>
  <c r="H4" i="121"/>
  <c r="F1" i="121"/>
  <c r="E57" i="120"/>
  <c r="I19" i="120"/>
  <c r="E76" i="120"/>
  <c r="G77" i="120"/>
  <c r="G58" i="120"/>
  <c r="F57" i="120"/>
  <c r="J19" i="120"/>
  <c r="F76" i="120"/>
  <c r="G76" i="120"/>
  <c r="G57" i="120"/>
  <c r="F56" i="120"/>
  <c r="F75" i="120"/>
  <c r="E56" i="120"/>
  <c r="E75" i="120"/>
  <c r="H75" i="120"/>
  <c r="F55" i="120"/>
  <c r="F74" i="120"/>
  <c r="E55" i="120"/>
  <c r="E74" i="120"/>
  <c r="H74" i="120"/>
  <c r="F54" i="120"/>
  <c r="F73" i="120"/>
  <c r="E54" i="120"/>
  <c r="E73" i="120"/>
  <c r="H73" i="120"/>
  <c r="F53" i="120"/>
  <c r="F72" i="120"/>
  <c r="E53" i="120"/>
  <c r="E72" i="120"/>
  <c r="H72" i="120"/>
  <c r="F52" i="120"/>
  <c r="F71" i="120"/>
  <c r="E52" i="120"/>
  <c r="E71" i="120"/>
  <c r="H71" i="120"/>
  <c r="F51" i="120"/>
  <c r="F70" i="120"/>
  <c r="E51" i="120"/>
  <c r="E70" i="120"/>
  <c r="H70" i="120"/>
  <c r="F50" i="120"/>
  <c r="F69" i="120"/>
  <c r="E50" i="120"/>
  <c r="E69" i="120"/>
  <c r="H69" i="120"/>
  <c r="F49" i="120"/>
  <c r="F68" i="120"/>
  <c r="E49" i="120"/>
  <c r="E68" i="120"/>
  <c r="H68" i="120"/>
  <c r="F48" i="120"/>
  <c r="F67" i="120"/>
  <c r="E48" i="120"/>
  <c r="E67" i="120"/>
  <c r="H67" i="120"/>
  <c r="F47" i="120"/>
  <c r="F66" i="120"/>
  <c r="E47" i="120"/>
  <c r="E66" i="120"/>
  <c r="H66" i="120"/>
  <c r="F46" i="120"/>
  <c r="F65" i="120"/>
  <c r="E46" i="120"/>
  <c r="E65" i="120"/>
  <c r="H65" i="120"/>
  <c r="F45" i="120"/>
  <c r="F64" i="120"/>
  <c r="E45" i="120"/>
  <c r="E64" i="120"/>
  <c r="H64" i="120"/>
  <c r="G75" i="120"/>
  <c r="G74" i="120"/>
  <c r="G73" i="120"/>
  <c r="G72" i="120"/>
  <c r="G71" i="120"/>
  <c r="G70" i="120"/>
  <c r="G69" i="120"/>
  <c r="G68" i="120"/>
  <c r="G67" i="120"/>
  <c r="G66" i="120"/>
  <c r="G65" i="120"/>
  <c r="G64" i="120"/>
  <c r="E44" i="120"/>
  <c r="E63" i="120"/>
  <c r="G63" i="120"/>
  <c r="J57" i="120"/>
  <c r="J76" i="120"/>
  <c r="J56" i="120"/>
  <c r="J75" i="120"/>
  <c r="J55" i="120"/>
  <c r="J74" i="120"/>
  <c r="J54" i="120"/>
  <c r="J73" i="120"/>
  <c r="J53" i="120"/>
  <c r="J72" i="120"/>
  <c r="J52" i="120"/>
  <c r="J71" i="120"/>
  <c r="J51" i="120"/>
  <c r="J70" i="120"/>
  <c r="J50" i="120"/>
  <c r="J69" i="120"/>
  <c r="J49" i="120"/>
  <c r="J68" i="120"/>
  <c r="J48" i="120"/>
  <c r="J67" i="120"/>
  <c r="J47" i="120"/>
  <c r="J66" i="120"/>
  <c r="J46" i="120"/>
  <c r="J65" i="120"/>
  <c r="J45" i="120"/>
  <c r="J64" i="120"/>
  <c r="J44" i="120"/>
  <c r="J63" i="120"/>
  <c r="F44" i="120"/>
  <c r="F63" i="120"/>
  <c r="D57" i="120"/>
  <c r="D76" i="120"/>
  <c r="C57" i="120"/>
  <c r="C76" i="120"/>
  <c r="B57" i="120"/>
  <c r="B76" i="120"/>
  <c r="D56" i="120"/>
  <c r="D75" i="120"/>
  <c r="C56" i="120"/>
  <c r="C75" i="120"/>
  <c r="B56" i="120"/>
  <c r="B75" i="120"/>
  <c r="D55" i="120"/>
  <c r="D74" i="120"/>
  <c r="C55" i="120"/>
  <c r="C74" i="120"/>
  <c r="B55" i="120"/>
  <c r="B74" i="120"/>
  <c r="D54" i="120"/>
  <c r="D73" i="120"/>
  <c r="C54" i="120"/>
  <c r="C73" i="120"/>
  <c r="B54" i="120"/>
  <c r="B73" i="120"/>
  <c r="D53" i="120"/>
  <c r="D72" i="120"/>
  <c r="C53" i="120"/>
  <c r="C72" i="120"/>
  <c r="B53" i="120"/>
  <c r="B72" i="120"/>
  <c r="D52" i="120"/>
  <c r="D71" i="120"/>
  <c r="C52" i="120"/>
  <c r="C71" i="120"/>
  <c r="B52" i="120"/>
  <c r="B71" i="120"/>
  <c r="D51" i="120"/>
  <c r="D70" i="120"/>
  <c r="C51" i="120"/>
  <c r="C70" i="120"/>
  <c r="B51" i="120"/>
  <c r="B70" i="120"/>
  <c r="D50" i="120"/>
  <c r="D69" i="120"/>
  <c r="C50" i="120"/>
  <c r="C69" i="120"/>
  <c r="B50" i="120"/>
  <c r="B69" i="120"/>
  <c r="D49" i="120"/>
  <c r="D68" i="120"/>
  <c r="C49" i="120"/>
  <c r="C68" i="120"/>
  <c r="B49" i="120"/>
  <c r="B68" i="120"/>
  <c r="D48" i="120"/>
  <c r="D67" i="120"/>
  <c r="C48" i="120"/>
  <c r="C67" i="120"/>
  <c r="B48" i="120"/>
  <c r="B67" i="120"/>
  <c r="D47" i="120"/>
  <c r="D66" i="120"/>
  <c r="C47" i="120"/>
  <c r="C66" i="120"/>
  <c r="B47" i="120"/>
  <c r="B66" i="120"/>
  <c r="D46" i="120"/>
  <c r="D65" i="120"/>
  <c r="C46" i="120"/>
  <c r="C65" i="120"/>
  <c r="B46" i="120"/>
  <c r="B65" i="120"/>
  <c r="D45" i="120"/>
  <c r="D64" i="120"/>
  <c r="C45" i="120"/>
  <c r="C64" i="120"/>
  <c r="B45" i="120"/>
  <c r="B64" i="120"/>
  <c r="D44" i="120"/>
  <c r="D63" i="120"/>
  <c r="C44" i="120"/>
  <c r="C63" i="120"/>
  <c r="B44" i="120"/>
  <c r="B63" i="120"/>
  <c r="F77" i="120"/>
  <c r="E77" i="120"/>
  <c r="D77" i="120"/>
  <c r="C77" i="120"/>
  <c r="B77" i="120"/>
  <c r="I76" i="120"/>
  <c r="I75" i="120"/>
  <c r="I74" i="120"/>
  <c r="I73" i="120"/>
  <c r="I72" i="120"/>
  <c r="I71" i="120"/>
  <c r="I70" i="120"/>
  <c r="I69" i="120"/>
  <c r="I68" i="120"/>
  <c r="I67" i="120"/>
  <c r="I66" i="120"/>
  <c r="I65" i="120"/>
  <c r="I64" i="120"/>
  <c r="I63" i="120"/>
  <c r="F20" i="81"/>
  <c r="F39" i="81"/>
  <c r="F57" i="81"/>
  <c r="E57" i="81"/>
  <c r="G57" i="81"/>
  <c r="F44" i="81"/>
  <c r="F45" i="81"/>
  <c r="F46" i="81"/>
  <c r="F47" i="81"/>
  <c r="F48" i="81"/>
  <c r="F49" i="81"/>
  <c r="F50" i="81"/>
  <c r="F51" i="81"/>
  <c r="F52" i="81"/>
  <c r="F53" i="81"/>
  <c r="F54" i="81"/>
  <c r="F55" i="81"/>
  <c r="F56" i="81"/>
  <c r="F58" i="81"/>
  <c r="E56" i="81"/>
  <c r="E55" i="81"/>
  <c r="E54" i="81"/>
  <c r="E53" i="81"/>
  <c r="E52" i="81"/>
  <c r="E51" i="81"/>
  <c r="E50" i="81"/>
  <c r="E49" i="81"/>
  <c r="E48" i="81"/>
  <c r="E47" i="81"/>
  <c r="E46" i="81"/>
  <c r="E45" i="81"/>
  <c r="E44" i="81"/>
  <c r="F58" i="120"/>
  <c r="F39" i="120"/>
  <c r="J18" i="120"/>
  <c r="J17" i="120"/>
  <c r="J16" i="120"/>
  <c r="J15" i="120"/>
  <c r="F20" i="120"/>
  <c r="I18" i="120"/>
  <c r="I17" i="120"/>
  <c r="I16" i="120"/>
  <c r="I15" i="120"/>
  <c r="E58" i="120"/>
  <c r="D58" i="120"/>
  <c r="C58" i="120"/>
  <c r="B58" i="120"/>
  <c r="I57" i="120"/>
  <c r="I56" i="120"/>
  <c r="H56" i="120"/>
  <c r="G56" i="120"/>
  <c r="I55" i="120"/>
  <c r="H55" i="120"/>
  <c r="G55" i="120"/>
  <c r="I54" i="120"/>
  <c r="H54" i="120"/>
  <c r="G54" i="120"/>
  <c r="I53" i="120"/>
  <c r="H53" i="120"/>
  <c r="G53" i="120"/>
  <c r="I52" i="120"/>
  <c r="H52" i="120"/>
  <c r="G52" i="120"/>
  <c r="I51" i="120"/>
  <c r="H51" i="120"/>
  <c r="G51" i="120"/>
  <c r="I50" i="120"/>
  <c r="H50" i="120"/>
  <c r="G50" i="120"/>
  <c r="I49" i="120"/>
  <c r="H49" i="120"/>
  <c r="G49" i="120"/>
  <c r="I48" i="120"/>
  <c r="H48" i="120"/>
  <c r="G48" i="120"/>
  <c r="I47" i="120"/>
  <c r="H47" i="120"/>
  <c r="G47" i="120"/>
  <c r="I46" i="120"/>
  <c r="H46" i="120"/>
  <c r="G46" i="120"/>
  <c r="I45" i="120"/>
  <c r="H45" i="120"/>
  <c r="G45" i="120"/>
  <c r="I44" i="120"/>
  <c r="G44" i="120"/>
  <c r="E39" i="120"/>
  <c r="D39" i="120"/>
  <c r="C39" i="120"/>
  <c r="B39" i="120"/>
  <c r="E20" i="120"/>
  <c r="D20" i="120"/>
  <c r="C20" i="120"/>
  <c r="B20" i="120"/>
  <c r="B57" i="81"/>
  <c r="C57" i="81"/>
  <c r="D57" i="81"/>
  <c r="J57" i="81"/>
  <c r="B56" i="81"/>
  <c r="C56" i="81"/>
  <c r="D56" i="81"/>
  <c r="J56" i="81"/>
  <c r="B55" i="81"/>
  <c r="C55" i="81"/>
  <c r="D55" i="81"/>
  <c r="J55" i="81"/>
  <c r="B54" i="81"/>
  <c r="C54" i="81"/>
  <c r="D54" i="81"/>
  <c r="J54" i="81"/>
  <c r="B53" i="81"/>
  <c r="C53" i="81"/>
  <c r="D53" i="81"/>
  <c r="J53" i="81"/>
  <c r="B52" i="81"/>
  <c r="C52" i="81"/>
  <c r="D52" i="81"/>
  <c r="J52" i="81"/>
  <c r="B51" i="81"/>
  <c r="C51" i="81"/>
  <c r="D51" i="81"/>
  <c r="J51" i="81"/>
  <c r="B50" i="81"/>
  <c r="C50" i="81"/>
  <c r="D50" i="81"/>
  <c r="J50" i="81"/>
  <c r="B49" i="81"/>
  <c r="C49" i="81"/>
  <c r="D49" i="81"/>
  <c r="J49" i="81"/>
  <c r="B48" i="81"/>
  <c r="C48" i="81"/>
  <c r="D48" i="81"/>
  <c r="J48" i="81"/>
  <c r="B47" i="81"/>
  <c r="C47" i="81"/>
  <c r="D47" i="81"/>
  <c r="J47" i="81"/>
  <c r="B46" i="81"/>
  <c r="C46" i="81"/>
  <c r="D46" i="81"/>
  <c r="J46" i="81"/>
  <c r="B45" i="81"/>
  <c r="C45" i="81"/>
  <c r="D45" i="81"/>
  <c r="J45" i="81"/>
  <c r="B44" i="81"/>
  <c r="C44" i="81"/>
  <c r="D44" i="81"/>
  <c r="J44" i="81"/>
  <c r="E58" i="81"/>
  <c r="D58" i="81"/>
  <c r="C58" i="81"/>
  <c r="B58" i="81"/>
  <c r="E39" i="81"/>
  <c r="D39" i="81"/>
  <c r="C39" i="81"/>
  <c r="B39" i="81"/>
  <c r="E20" i="81"/>
  <c r="D20" i="81"/>
  <c r="C20" i="81"/>
  <c r="B20" i="81"/>
  <c r="F57" i="71"/>
  <c r="E57" i="71"/>
  <c r="G57" i="71"/>
  <c r="I16" i="118"/>
  <c r="H16" i="118"/>
  <c r="I15" i="118"/>
  <c r="H15" i="118"/>
  <c r="I14" i="118"/>
  <c r="H14" i="118"/>
  <c r="I13" i="118"/>
  <c r="H13" i="118"/>
  <c r="I12" i="118"/>
  <c r="H12" i="118"/>
  <c r="I11" i="118"/>
  <c r="H11" i="118"/>
  <c r="I10" i="118"/>
  <c r="H10" i="118"/>
  <c r="I9" i="118"/>
  <c r="H9" i="118"/>
  <c r="I8" i="118"/>
  <c r="H8" i="118"/>
  <c r="I7" i="118"/>
  <c r="H7" i="118"/>
  <c r="I6" i="118"/>
  <c r="H6" i="118"/>
  <c r="I5" i="118"/>
  <c r="H5" i="118"/>
  <c r="I4" i="118"/>
  <c r="H4" i="118"/>
  <c r="F1" i="118"/>
  <c r="B57" i="71"/>
  <c r="C57" i="71"/>
  <c r="D57" i="71"/>
  <c r="J57" i="71"/>
  <c r="B56" i="71"/>
  <c r="C56" i="71"/>
  <c r="D56" i="71"/>
  <c r="E56" i="71"/>
  <c r="J56" i="71"/>
  <c r="B55" i="71"/>
  <c r="C55" i="71"/>
  <c r="D55" i="71"/>
  <c r="E55" i="71"/>
  <c r="J55" i="71"/>
  <c r="B54" i="71"/>
  <c r="C54" i="71"/>
  <c r="D54" i="71"/>
  <c r="E54" i="71"/>
  <c r="J54" i="71"/>
  <c r="B53" i="71"/>
  <c r="C53" i="71"/>
  <c r="D53" i="71"/>
  <c r="E53" i="71"/>
  <c r="J53" i="71"/>
  <c r="B52" i="71"/>
  <c r="C52" i="71"/>
  <c r="D52" i="71"/>
  <c r="E52" i="71"/>
  <c r="J52" i="71"/>
  <c r="B51" i="71"/>
  <c r="C51" i="71"/>
  <c r="D51" i="71"/>
  <c r="E51" i="71"/>
  <c r="J51" i="71"/>
  <c r="B50" i="71"/>
  <c r="C50" i="71"/>
  <c r="D50" i="71"/>
  <c r="E50" i="71"/>
  <c r="J50" i="71"/>
  <c r="B49" i="71"/>
  <c r="C49" i="71"/>
  <c r="D49" i="71"/>
  <c r="E49" i="71"/>
  <c r="J49" i="71"/>
  <c r="B48" i="71"/>
  <c r="C48" i="71"/>
  <c r="D48" i="71"/>
  <c r="E48" i="71"/>
  <c r="J48" i="71"/>
  <c r="B47" i="71"/>
  <c r="C47" i="71"/>
  <c r="D47" i="71"/>
  <c r="E47" i="71"/>
  <c r="J47" i="71"/>
  <c r="B46" i="71"/>
  <c r="C46" i="71"/>
  <c r="D46" i="71"/>
  <c r="E46" i="71"/>
  <c r="J46" i="71"/>
  <c r="B45" i="71"/>
  <c r="C45" i="71"/>
  <c r="D45" i="71"/>
  <c r="E45" i="71"/>
  <c r="J45" i="71"/>
  <c r="B44" i="71"/>
  <c r="C44" i="71"/>
  <c r="D44" i="71"/>
  <c r="E44" i="71"/>
  <c r="J44" i="71"/>
  <c r="E58" i="71"/>
  <c r="D58" i="71"/>
  <c r="C58" i="71"/>
  <c r="B58" i="71"/>
  <c r="F56" i="71"/>
  <c r="F55" i="71"/>
  <c r="F54" i="71"/>
  <c r="F53" i="71"/>
  <c r="F52" i="71"/>
  <c r="F51" i="71"/>
  <c r="F50" i="71"/>
  <c r="F49" i="71"/>
  <c r="F48" i="71"/>
  <c r="F47" i="71"/>
  <c r="F46" i="71"/>
  <c r="F45" i="71"/>
  <c r="F44" i="71"/>
  <c r="E39" i="71"/>
  <c r="D39" i="71"/>
  <c r="C39" i="71"/>
  <c r="B39" i="71"/>
  <c r="E20" i="71"/>
  <c r="D20" i="71"/>
  <c r="C20" i="71"/>
  <c r="B20" i="71"/>
  <c r="I57" i="71"/>
  <c r="I56" i="71"/>
  <c r="H56" i="71"/>
  <c r="G56" i="71"/>
  <c r="I55" i="71"/>
  <c r="H55" i="71"/>
  <c r="G55" i="71"/>
  <c r="I54" i="71"/>
  <c r="H54" i="71"/>
  <c r="G54" i="71"/>
  <c r="I53" i="71"/>
  <c r="H53" i="71"/>
  <c r="G53" i="71"/>
  <c r="I52" i="71"/>
  <c r="H52" i="71"/>
  <c r="G52" i="71"/>
  <c r="I51" i="71"/>
  <c r="H51" i="71"/>
  <c r="G51" i="71"/>
  <c r="I50" i="71"/>
  <c r="H50" i="71"/>
  <c r="G50" i="71"/>
  <c r="I49" i="71"/>
  <c r="H49" i="71"/>
  <c r="G49" i="71"/>
  <c r="I48" i="71"/>
  <c r="H48" i="71"/>
  <c r="G48" i="71"/>
  <c r="I47" i="71"/>
  <c r="H47" i="71"/>
  <c r="G47" i="71"/>
  <c r="I46" i="71"/>
  <c r="H46" i="71"/>
  <c r="G46" i="71"/>
  <c r="I45" i="71"/>
  <c r="H45" i="71"/>
  <c r="G45" i="71"/>
  <c r="I44" i="71"/>
  <c r="G44" i="71"/>
  <c r="I16" i="117"/>
  <c r="H16" i="117"/>
  <c r="I15" i="117"/>
  <c r="H15" i="117"/>
  <c r="I14" i="117"/>
  <c r="H14" i="117"/>
  <c r="I13" i="117"/>
  <c r="H13" i="117"/>
  <c r="I12" i="117"/>
  <c r="H12" i="117"/>
  <c r="I11" i="117"/>
  <c r="H11" i="117"/>
  <c r="I10" i="117"/>
  <c r="H10" i="117"/>
  <c r="I9" i="117"/>
  <c r="H9" i="117"/>
  <c r="I8" i="117"/>
  <c r="H8" i="117"/>
  <c r="I7" i="117"/>
  <c r="H7" i="117"/>
  <c r="I6" i="117"/>
  <c r="H6" i="117"/>
  <c r="I5" i="117"/>
  <c r="H5" i="117"/>
  <c r="I4" i="117"/>
  <c r="H4" i="117"/>
  <c r="F1" i="117"/>
  <c r="I57" i="81"/>
  <c r="I56" i="81"/>
  <c r="I55" i="81"/>
  <c r="I54" i="81"/>
  <c r="I53" i="81"/>
  <c r="I52" i="81"/>
  <c r="I51" i="81"/>
  <c r="I50" i="81"/>
  <c r="I49" i="81"/>
  <c r="I48" i="81"/>
  <c r="I47" i="81"/>
  <c r="I46" i="81"/>
  <c r="I45" i="81"/>
  <c r="I44" i="81"/>
  <c r="H56" i="81"/>
  <c r="H55" i="81"/>
  <c r="H54" i="81"/>
  <c r="H53" i="81"/>
  <c r="H52" i="81"/>
  <c r="H51" i="81"/>
  <c r="H50" i="81"/>
  <c r="H49" i="81"/>
  <c r="H48" i="81"/>
  <c r="H47" i="81"/>
  <c r="H46" i="81"/>
  <c r="H45" i="81"/>
  <c r="G56" i="81"/>
  <c r="G55" i="81"/>
  <c r="G54" i="81"/>
  <c r="G53" i="81"/>
  <c r="G52" i="81"/>
  <c r="G51" i="81"/>
  <c r="G50" i="81"/>
  <c r="G49" i="81"/>
  <c r="G48" i="81"/>
  <c r="G47" i="81"/>
  <c r="G46" i="81"/>
  <c r="G45" i="81"/>
  <c r="I15" i="116"/>
  <c r="H15" i="116"/>
  <c r="I14" i="116"/>
  <c r="H14" i="116"/>
  <c r="I13" i="116"/>
  <c r="H13" i="116"/>
  <c r="I12" i="116"/>
  <c r="H12" i="116"/>
  <c r="I11" i="116"/>
  <c r="H11" i="116"/>
  <c r="I10" i="116"/>
  <c r="H10" i="116"/>
  <c r="I9" i="116"/>
  <c r="H9" i="116"/>
  <c r="I8" i="116"/>
  <c r="H8" i="116"/>
  <c r="I7" i="116"/>
  <c r="H7" i="116"/>
  <c r="I6" i="116"/>
  <c r="H6" i="116"/>
  <c r="I5" i="116"/>
  <c r="H5" i="116"/>
  <c r="I4" i="116"/>
  <c r="H4" i="116"/>
  <c r="F1" i="116"/>
  <c r="I9" i="88"/>
  <c r="H9" i="88"/>
  <c r="I8" i="88"/>
  <c r="H8" i="88"/>
  <c r="I7" i="88"/>
  <c r="H7" i="88"/>
  <c r="I6" i="88"/>
  <c r="H6" i="88"/>
  <c r="I5" i="88"/>
  <c r="H5" i="88"/>
  <c r="I4" i="88"/>
  <c r="H4" i="88"/>
  <c r="I9" i="87"/>
  <c r="H9" i="87"/>
  <c r="I8" i="87"/>
  <c r="H8" i="87"/>
  <c r="I7" i="87"/>
  <c r="H7" i="87"/>
  <c r="I6" i="87"/>
  <c r="H6" i="87"/>
  <c r="I5" i="87"/>
  <c r="H5" i="87"/>
  <c r="I4" i="87"/>
  <c r="H4" i="87"/>
  <c r="I15" i="115"/>
  <c r="H15" i="115"/>
  <c r="I14" i="115"/>
  <c r="H14" i="115"/>
  <c r="I13" i="115"/>
  <c r="H13" i="115"/>
  <c r="I12" i="115"/>
  <c r="H12" i="115"/>
  <c r="I11" i="115"/>
  <c r="H11" i="115"/>
  <c r="I10" i="115"/>
  <c r="H10" i="115"/>
  <c r="I9" i="115"/>
  <c r="H9" i="115"/>
  <c r="I8" i="115"/>
  <c r="H8" i="115"/>
  <c r="I7" i="115"/>
  <c r="H7" i="115"/>
  <c r="I6" i="115"/>
  <c r="H6" i="115"/>
  <c r="I5" i="115"/>
  <c r="H5" i="115"/>
  <c r="F1" i="115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6" i="86"/>
  <c r="H6" i="86"/>
  <c r="I5" i="86"/>
  <c r="H5" i="86"/>
  <c r="I4" i="86"/>
  <c r="H4" i="86"/>
  <c r="F1" i="86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6" i="85"/>
  <c r="H6" i="85"/>
  <c r="I5" i="85"/>
  <c r="H5" i="85"/>
  <c r="I4" i="85"/>
  <c r="H4" i="85"/>
  <c r="F1" i="85"/>
  <c r="D16" i="113"/>
  <c r="D15" i="113"/>
  <c r="D14" i="113"/>
  <c r="D13" i="113"/>
  <c r="D12" i="113"/>
  <c r="D11" i="113"/>
  <c r="D10" i="113"/>
  <c r="D9" i="113"/>
  <c r="D8" i="113"/>
  <c r="D7" i="113"/>
  <c r="D6" i="113"/>
  <c r="D5" i="113"/>
  <c r="D4" i="113"/>
  <c r="I28" i="97"/>
  <c r="H28" i="97"/>
  <c r="I27" i="97"/>
  <c r="H27" i="97"/>
  <c r="I26" i="97"/>
  <c r="H26" i="97"/>
  <c r="I25" i="97"/>
  <c r="H25" i="97"/>
  <c r="I24" i="97"/>
  <c r="H24" i="97"/>
  <c r="I23" i="97"/>
  <c r="H23" i="97"/>
  <c r="I22" i="97"/>
  <c r="H22" i="97"/>
  <c r="I21" i="97"/>
  <c r="H21" i="97"/>
  <c r="I20" i="97"/>
  <c r="H20" i="97"/>
  <c r="I19" i="97"/>
  <c r="H19" i="97"/>
  <c r="I18" i="97"/>
  <c r="H18" i="97"/>
  <c r="I17" i="97"/>
  <c r="H17" i="97"/>
  <c r="I16" i="97"/>
  <c r="H16" i="97"/>
  <c r="I15" i="97"/>
  <c r="H15" i="97"/>
  <c r="I14" i="97"/>
  <c r="H14" i="97"/>
  <c r="I13" i="97"/>
  <c r="H13" i="97"/>
  <c r="I12" i="97"/>
  <c r="H12" i="97"/>
  <c r="I11" i="97"/>
  <c r="H11" i="97"/>
  <c r="I10" i="97"/>
  <c r="H10" i="97"/>
  <c r="I9" i="97"/>
  <c r="H9" i="97"/>
  <c r="I8" i="97"/>
  <c r="H8" i="97"/>
  <c r="I7" i="97"/>
  <c r="H7" i="97"/>
  <c r="I6" i="97"/>
  <c r="H6" i="97"/>
  <c r="I5" i="97"/>
  <c r="H5" i="97"/>
  <c r="I4" i="97"/>
  <c r="H4" i="97"/>
  <c r="K1" i="113"/>
  <c r="I16" i="114"/>
  <c r="H16" i="114"/>
  <c r="I15" i="114"/>
  <c r="H15" i="114"/>
  <c r="I14" i="114"/>
  <c r="H14" i="114"/>
  <c r="I13" i="114"/>
  <c r="H13" i="114"/>
  <c r="I12" i="114"/>
  <c r="H12" i="114"/>
  <c r="I11" i="114"/>
  <c r="H11" i="114"/>
  <c r="I10" i="114"/>
  <c r="H10" i="114"/>
  <c r="I9" i="114"/>
  <c r="H9" i="114"/>
  <c r="I8" i="114"/>
  <c r="H8" i="114"/>
  <c r="I7" i="114"/>
  <c r="H7" i="114"/>
  <c r="I6" i="114"/>
  <c r="H6" i="114"/>
  <c r="I5" i="114"/>
  <c r="H5" i="114"/>
  <c r="I4" i="114"/>
  <c r="H4" i="114"/>
  <c r="H5" i="113"/>
  <c r="H6" i="113"/>
  <c r="H7" i="113"/>
  <c r="H8" i="113"/>
  <c r="H9" i="113"/>
  <c r="H10" i="113"/>
  <c r="H11" i="113"/>
  <c r="H12" i="113"/>
  <c r="H13" i="113"/>
  <c r="H14" i="113"/>
  <c r="I5" i="113"/>
  <c r="I6" i="113"/>
  <c r="I7" i="113"/>
  <c r="I8" i="113"/>
  <c r="I9" i="113"/>
  <c r="I10" i="113"/>
  <c r="I11" i="113"/>
  <c r="I12" i="113"/>
  <c r="I13" i="113"/>
  <c r="I14" i="113"/>
  <c r="I15" i="113"/>
  <c r="H4" i="113"/>
  <c r="H15" i="113"/>
  <c r="H16" i="113"/>
  <c r="I4" i="113"/>
  <c r="I16" i="113"/>
  <c r="G44" i="81"/>
  <c r="F1" i="113"/>
  <c r="D14" i="204"/>
  <c r="D13" i="204"/>
  <c r="D12" i="204"/>
  <c r="D11" i="204"/>
  <c r="D10" i="204"/>
  <c r="D9" i="204"/>
  <c r="D8" i="204"/>
  <c r="D7" i="204"/>
  <c r="D6" i="204"/>
  <c r="D5" i="204"/>
  <c r="D4" i="204"/>
  <c r="F1" i="204"/>
  <c r="F1" i="205"/>
  <c r="L5" i="199"/>
  <c r="D5" i="199"/>
  <c r="D4" i="199"/>
  <c r="F1" i="199"/>
  <c r="L5" i="198"/>
  <c r="D5" i="198"/>
  <c r="D4" i="198"/>
  <c r="F1" i="198"/>
  <c r="F1" i="114"/>
  <c r="F1" i="97"/>
  <c r="D4" i="194"/>
  <c r="F1" i="194"/>
  <c r="D4" i="222"/>
  <c r="D4" i="224"/>
  <c r="D4" i="228"/>
  <c r="D4" i="236"/>
  <c r="D4" i="255"/>
  <c r="D4" i="211"/>
  <c r="F1" i="211"/>
  <c r="D4" i="208"/>
  <c r="F1" i="208"/>
  <c r="F1" i="268"/>
  <c r="B2" i="264"/>
  <c r="H4" i="264"/>
  <c r="F1" i="264"/>
  <c r="B2" i="265"/>
  <c r="H4" i="265"/>
  <c r="F1" i="265"/>
  <c r="B2" i="266"/>
  <c r="H4" i="266"/>
  <c r="F1" i="266"/>
  <c r="B2" i="263"/>
  <c r="H4" i="263"/>
  <c r="F1" i="263"/>
  <c r="B2" i="262"/>
  <c r="H4" i="262"/>
  <c r="F1" i="262"/>
  <c r="B2" i="261"/>
  <c r="H4" i="261"/>
  <c r="F1" i="261"/>
  <c r="B2" i="260"/>
  <c r="H4" i="260"/>
  <c r="F1" i="260"/>
  <c r="B2" i="259"/>
  <c r="H4" i="259"/>
  <c r="F1" i="259"/>
  <c r="B2" i="258"/>
  <c r="H4" i="258"/>
  <c r="F1" i="258"/>
  <c r="B2" i="257"/>
  <c r="H4" i="257"/>
  <c r="F1" i="257"/>
  <c r="B2" i="256"/>
  <c r="H4" i="256"/>
  <c r="F1" i="256"/>
  <c r="B2" i="254"/>
  <c r="H4" i="254"/>
  <c r="F1" i="254"/>
  <c r="B2" i="253"/>
  <c r="H4" i="253"/>
  <c r="F1" i="253"/>
  <c r="B2" i="252"/>
  <c r="H4" i="252"/>
  <c r="F1" i="252"/>
  <c r="B2" i="251"/>
  <c r="H4" i="251"/>
  <c r="F1" i="251"/>
  <c r="B2" i="250"/>
  <c r="H4" i="250"/>
  <c r="F1" i="250"/>
  <c r="B2" i="249"/>
  <c r="H4" i="249"/>
  <c r="F1" i="249"/>
  <c r="B2" i="248"/>
  <c r="H4" i="248"/>
  <c r="F1" i="248"/>
  <c r="B2" i="247"/>
  <c r="H4" i="247"/>
  <c r="F1" i="247"/>
  <c r="B2" i="246"/>
  <c r="H4" i="246"/>
  <c r="F1" i="246"/>
  <c r="B2" i="245"/>
  <c r="H4" i="245"/>
  <c r="F1" i="245"/>
  <c r="B2" i="243"/>
  <c r="H4" i="243"/>
  <c r="F1" i="243"/>
  <c r="B2" i="242"/>
  <c r="H4" i="242"/>
  <c r="F1" i="242"/>
  <c r="B2" i="241"/>
  <c r="H4" i="241"/>
  <c r="F1" i="241"/>
  <c r="B2" i="240"/>
  <c r="H4" i="240"/>
  <c r="F1" i="240"/>
  <c r="B2" i="239"/>
  <c r="H4" i="239"/>
  <c r="F1" i="239"/>
  <c r="B2" i="238"/>
  <c r="H4" i="238"/>
  <c r="F1" i="238"/>
  <c r="B2" i="237"/>
  <c r="H4" i="237"/>
  <c r="F1" i="237"/>
  <c r="B2" i="235"/>
  <c r="H4" i="235"/>
  <c r="F1" i="235"/>
  <c r="B2" i="234"/>
  <c r="H4" i="234"/>
  <c r="F1" i="234"/>
  <c r="B2" i="233"/>
  <c r="H4" i="233"/>
  <c r="F1" i="233"/>
  <c r="B2" i="232"/>
  <c r="H4" i="232"/>
  <c r="F1" i="232"/>
  <c r="B2" i="231"/>
  <c r="H4" i="231"/>
  <c r="F1" i="231"/>
  <c r="B2" i="230"/>
  <c r="H4" i="230"/>
  <c r="F1" i="230"/>
  <c r="B2" i="229"/>
  <c r="H4" i="229"/>
  <c r="F1" i="229"/>
  <c r="B2" i="227"/>
  <c r="H4" i="227"/>
  <c r="F1" i="227"/>
  <c r="B2" i="226"/>
  <c r="H4" i="226"/>
  <c r="F1" i="226"/>
  <c r="B2" i="225"/>
  <c r="H4" i="225"/>
  <c r="F1" i="225"/>
  <c r="B2" i="223"/>
  <c r="H4" i="223"/>
  <c r="F1" i="223"/>
  <c r="B2" i="221"/>
  <c r="H4" i="221"/>
  <c r="F1" i="221"/>
  <c r="B2" i="220"/>
  <c r="H4" i="220"/>
  <c r="F1" i="220"/>
  <c r="B2" i="219"/>
  <c r="H4" i="219"/>
  <c r="F1" i="219"/>
  <c r="B2" i="218"/>
  <c r="H4" i="218"/>
  <c r="F1" i="218"/>
  <c r="B2" i="217"/>
  <c r="H4" i="217"/>
  <c r="F1" i="217"/>
  <c r="F1" i="216"/>
  <c r="F1" i="215"/>
  <c r="F1" i="214"/>
  <c r="F1" i="213"/>
  <c r="F1" i="212"/>
  <c r="B2" i="210"/>
  <c r="H4" i="210"/>
  <c r="F1" i="210"/>
  <c r="B2" i="222"/>
  <c r="H4" i="222"/>
  <c r="F1" i="222"/>
  <c r="B2" i="224"/>
  <c r="H4" i="224"/>
  <c r="F1" i="224"/>
  <c r="B2" i="228"/>
  <c r="H4" i="228"/>
  <c r="F1" i="228"/>
  <c r="B2" i="236"/>
  <c r="H4" i="236"/>
  <c r="F1" i="236"/>
  <c r="B2" i="255"/>
  <c r="H4" i="255"/>
  <c r="F1" i="255"/>
  <c r="F1" i="89"/>
  <c r="F1" i="94"/>
  <c r="F1" i="95"/>
</calcChain>
</file>

<file path=xl/sharedStrings.xml><?xml version="1.0" encoding="utf-8"?>
<sst xmlns="http://schemas.openxmlformats.org/spreadsheetml/2006/main" count="7620" uniqueCount="266">
  <si>
    <t>Contribuables imposables</t>
  </si>
  <si>
    <t>QF=1</t>
  </si>
  <si>
    <t>Total</t>
  </si>
  <si>
    <t>N</t>
  </si>
  <si>
    <t>Y</t>
  </si>
  <si>
    <t>Contribuables non imposables</t>
  </si>
  <si>
    <t>Contribuables imposables et non imposables</t>
  </si>
  <si>
    <t>p</t>
  </si>
  <si>
    <t>b</t>
  </si>
  <si>
    <t>year</t>
  </si>
  <si>
    <t>Sources:</t>
  </si>
  <si>
    <t>thr</t>
  </si>
  <si>
    <t>average</t>
  </si>
  <si>
    <t xml:space="preserve">p </t>
  </si>
  <si>
    <t>s</t>
  </si>
  <si>
    <t>avs</t>
  </si>
  <si>
    <t>ys</t>
  </si>
  <si>
    <t xml:space="preserve">  average income</t>
  </si>
  <si>
    <t>a</t>
  </si>
  <si>
    <t>as</t>
  </si>
  <si>
    <t>inverted Pareto coeff (ratio between average income above thr and thr)</t>
  </si>
  <si>
    <t>ratio between singles and non-singles capital income fractions (=1 if no information)</t>
  </si>
  <si>
    <t>fraction of tax units with income below threshold</t>
  </si>
  <si>
    <t xml:space="preserve">fraction of singles </t>
  </si>
  <si>
    <t>n</t>
  </si>
  <si>
    <t>number of tax units</t>
  </si>
  <si>
    <t>ava</t>
  </si>
  <si>
    <t xml:space="preserve">fraction of capital income </t>
  </si>
  <si>
    <t>…</t>
  </si>
  <si>
    <t>ya</t>
  </si>
  <si>
    <t>avys</t>
  </si>
  <si>
    <t>yav</t>
  </si>
  <si>
    <t>f</t>
  </si>
  <si>
    <t>ratio between singles average income and total average income in bracket (=1 if no information)</t>
  </si>
  <si>
    <t>Notes:</t>
  </si>
  <si>
    <t>Incomes 1915-1996 (historical period): see directory Piketty2001, Appendix A and B for the references to the original Finance Ministry publications where these historical tabulations were originally published</t>
  </si>
  <si>
    <t>fraction of singles among tax units in the bracket</t>
  </si>
  <si>
    <t>fraction of capital income in total income reported in the bracket</t>
  </si>
  <si>
    <t xml:space="preserve">income threshold </t>
  </si>
  <si>
    <t>ratio between singles and non-singles average income</t>
  </si>
  <si>
    <t>averys</t>
  </si>
  <si>
    <t>avys2</t>
  </si>
  <si>
    <t>average income in the bracket</t>
  </si>
  <si>
    <t>fraction of tax units in the bracket</t>
  </si>
  <si>
    <t>raws</t>
  </si>
  <si>
    <t>rawavs</t>
  </si>
  <si>
    <t>(v) real ys done only for 1997; this makes very little difference (ratios very close to 1 for all brackets); no need to extend to other years</t>
  </si>
  <si>
    <t>raw ratio between singles and non-singles average income</t>
  </si>
  <si>
    <t>raw fraction of singles among tax units in the bracket</t>
  </si>
  <si>
    <t xml:space="preserve">a </t>
  </si>
  <si>
    <t>2001pv</t>
  </si>
  <si>
    <t>2002pv</t>
  </si>
  <si>
    <t>% non-imposable</t>
  </si>
  <si>
    <t>N QF=1</t>
  </si>
  <si>
    <t>N QF=1,5</t>
  </si>
  <si>
    <t>N QF = 2C</t>
  </si>
  <si>
    <t>catégories de revenu</t>
  </si>
  <si>
    <t>avec 1 part</t>
  </si>
  <si>
    <t xml:space="preserve"> revenus  1 part</t>
  </si>
  <si>
    <t>bi</t>
  </si>
  <si>
    <t>avec 1,5 part mariés</t>
  </si>
  <si>
    <t xml:space="preserve"> revenus  1,5 part</t>
  </si>
  <si>
    <t>avec 1,5 part célibataires</t>
  </si>
  <si>
    <t xml:space="preserve"> revenus  1,5 partb</t>
  </si>
  <si>
    <t>avec 2 parts mariés</t>
  </si>
  <si>
    <t xml:space="preserve"> revenus 2 part (a)</t>
  </si>
  <si>
    <t>avec 2 parts célibataires ou divorcés</t>
  </si>
  <si>
    <t xml:space="preserve"> revenus 2 part ©</t>
  </si>
  <si>
    <t>avec 2,5 parts</t>
  </si>
  <si>
    <t xml:space="preserve"> revenus 2,5 part</t>
  </si>
  <si>
    <t>avec 3 parts</t>
  </si>
  <si>
    <t xml:space="preserve"> revenus  3 part</t>
  </si>
  <si>
    <t>avec 3,5 parts</t>
  </si>
  <si>
    <t xml:space="preserve"> revenus  3,5 part</t>
  </si>
  <si>
    <t>avec 4 parts</t>
  </si>
  <si>
    <t xml:space="preserve"> revenus  4 part</t>
  </si>
  <si>
    <t>avec 4,5 parts</t>
  </si>
  <si>
    <t xml:space="preserve"> revenus  4,5 part</t>
  </si>
  <si>
    <t>avec 5 parts</t>
  </si>
  <si>
    <t xml:space="preserve"> revenus  5 part</t>
  </si>
  <si>
    <t>avec 5,5 parts</t>
  </si>
  <si>
    <t xml:space="preserve"> revenus  5,5 part</t>
  </si>
  <si>
    <t>avec 6 parts</t>
  </si>
  <si>
    <t xml:space="preserve"> revenus  6 part</t>
  </si>
  <si>
    <t xml:space="preserve"> revenus 1,5 part (a)</t>
  </si>
  <si>
    <t>avec 1,5 partcélibataires, divorcés ou veufs</t>
  </si>
  <si>
    <t xml:space="preserve"> revenus  1,5 part (b)</t>
  </si>
  <si>
    <t>avec 1,5 part</t>
  </si>
  <si>
    <t xml:space="preserve"> revenus  1,5 part </t>
  </si>
  <si>
    <t xml:space="preserve">avec 1,5 part </t>
  </si>
  <si>
    <t xml:space="preserve"> revenus 1,5 part </t>
  </si>
  <si>
    <t>1410</t>
  </si>
  <si>
    <t>seuils de décote pour S=2900; pour non-S=1400</t>
  </si>
  <si>
    <t>3510</t>
  </si>
  <si>
    <t>6010</t>
  </si>
  <si>
    <t>9010</t>
  </si>
  <si>
    <t>15010</t>
  </si>
  <si>
    <t>30010</t>
  </si>
  <si>
    <t>60010</t>
  </si>
  <si>
    <t>100010</t>
  </si>
  <si>
    <t>150010</t>
  </si>
  <si>
    <t>200010</t>
  </si>
  <si>
    <t>300000</t>
  </si>
  <si>
    <t>2210</t>
  </si>
  <si>
    <t>seuils de décote pour S=4000; pour non-S=1400</t>
  </si>
  <si>
    <t>seuils de décote pour S=5100; pour non-S=1400</t>
  </si>
  <si>
    <t>seuils de décote pour S=6200; pour non-S=1400</t>
  </si>
  <si>
    <t>seuils de décote pour S=7300; pour non-S=1400</t>
  </si>
  <si>
    <t>seuils de décote pour S=8400; pour non-S=1400</t>
  </si>
  <si>
    <t>seuils de décote pour S=9500; pour non-S=1400</t>
  </si>
  <si>
    <t>seuils de décote pour S=10600; pour non-S=1400</t>
  </si>
  <si>
    <t>seuils de décote pour S=11700; pour non-S=1400</t>
  </si>
  <si>
    <t>seuils de décote pour S=12800; pour non-S=1400</t>
  </si>
  <si>
    <t>seuils de décote pour S=13900; pour non-S=1400</t>
  </si>
  <si>
    <t>seuils de décote pour S=3000; pour non-S=1400</t>
  </si>
  <si>
    <t>2310</t>
  </si>
  <si>
    <t>3760</t>
  </si>
  <si>
    <t>6510</t>
  </si>
  <si>
    <t>9760</t>
  </si>
  <si>
    <t>16260</t>
  </si>
  <si>
    <t>32010</t>
  </si>
  <si>
    <t>64010</t>
  </si>
  <si>
    <t>seuils de décote pour S=4150; pour non-S=1400</t>
  </si>
  <si>
    <t>seuils de décote pour S=5300; pour non-S=1400</t>
  </si>
  <si>
    <t>seuils de décote pour S=6450; pour non-S=1400</t>
  </si>
  <si>
    <t>seuils de décote pour S=7600; pour non-S=1400</t>
  </si>
  <si>
    <t>seuils de décote pour S=8750; pour non-S=1400</t>
  </si>
  <si>
    <t>seuils de décote pour S=9900; pour non-S=1400</t>
  </si>
  <si>
    <t>seuils de décote pour S=10050; pour non-S=1400</t>
  </si>
  <si>
    <t>seuils de décote pour S=11200; pour non-S=1400</t>
  </si>
  <si>
    <t>seuils de décote pour S=12350; pour non-S=1400</t>
  </si>
  <si>
    <t>seuils de décote pour S=13500; pour non-S=1400</t>
  </si>
  <si>
    <t>seuil de déote pour les non salariés=1400</t>
  </si>
  <si>
    <t>10010</t>
  </si>
  <si>
    <t>20010</t>
  </si>
  <si>
    <t>300010</t>
  </si>
  <si>
    <t>500000</t>
  </si>
  <si>
    <t>seuil de décote pour les salariés=7600</t>
  </si>
  <si>
    <t>seuil de décote pour les salariés=8750</t>
  </si>
  <si>
    <t>seuil de décote pour les salariés=9900</t>
  </si>
  <si>
    <t>seuil de décote pour les salariés=10050</t>
  </si>
  <si>
    <t>seuil de décote pour les salariés=11200</t>
  </si>
  <si>
    <t>seuil de décote pour les salariés=12350</t>
  </si>
  <si>
    <t>seuil de décote pour les salariés=13500</t>
  </si>
  <si>
    <t>seuil de décote pour les salariés=7900</t>
  </si>
  <si>
    <t>seuil de décote pour les salariés=9100</t>
  </si>
  <si>
    <t>seuil de décote pour les salariés=10300</t>
  </si>
  <si>
    <t>seuil de décote pour les salariés=11500</t>
  </si>
  <si>
    <t>seuil de décote pour les salariés=12700</t>
  </si>
  <si>
    <t>seuil de décote pour les salariés=13900</t>
  </si>
  <si>
    <t>seuil de décote pour les salariés=15100</t>
  </si>
  <si>
    <t>15100</t>
  </si>
  <si>
    <t>seuil de déote pour les non salariés=2400</t>
  </si>
  <si>
    <t>35010</t>
  </si>
  <si>
    <t>45010</t>
  </si>
  <si>
    <t>70010</t>
  </si>
  <si>
    <t>seuil de décote pour les salariés=6800</t>
  </si>
  <si>
    <t>seuil de décote pour les salariés=8000</t>
  </si>
  <si>
    <t>seuil de décote pour les salariés=9200</t>
  </si>
  <si>
    <t>seuil de décote pour les salariés=10400</t>
  </si>
  <si>
    <t>seuil de décote pour les salariés=11600</t>
  </si>
  <si>
    <t>seuil de décote pour les salariés=12800</t>
  </si>
  <si>
    <t>seuil de décote pour les salariés=14000</t>
  </si>
  <si>
    <t>seuil de décote pour les salariés=15200</t>
  </si>
  <si>
    <t>seuil de décote pour les non salariés=3200</t>
  </si>
  <si>
    <t>20100</t>
  </si>
  <si>
    <t>25100</t>
  </si>
  <si>
    <t>30100</t>
  </si>
  <si>
    <t>50100</t>
  </si>
  <si>
    <t>70100</t>
  </si>
  <si>
    <t>100100</t>
  </si>
  <si>
    <t>200100</t>
  </si>
  <si>
    <t>400000</t>
  </si>
  <si>
    <t>avec 2a part</t>
  </si>
  <si>
    <t xml:space="preserve"> revenus  2a part</t>
  </si>
  <si>
    <t>avec 2c part</t>
  </si>
  <si>
    <t xml:space="preserve"> revenus  2c part</t>
  </si>
  <si>
    <t>avec 2,5 part</t>
  </si>
  <si>
    <t xml:space="preserve"> revenus  2,5 part</t>
  </si>
  <si>
    <t>avec 3 part</t>
  </si>
  <si>
    <t>avec 3,5 part</t>
  </si>
  <si>
    <t>avec 4 part</t>
  </si>
  <si>
    <t>avec 4,5 part</t>
  </si>
  <si>
    <t>avec 5 part</t>
  </si>
  <si>
    <t>avec 5,5 part</t>
  </si>
  <si>
    <t>avec 6 part</t>
  </si>
  <si>
    <t>avec 2 part mariés</t>
  </si>
  <si>
    <t>avec 2 part célibataires</t>
  </si>
  <si>
    <t xml:space="preserve"> revenus 2b part</t>
  </si>
  <si>
    <t xml:space="preserve"> % singles</t>
  </si>
  <si>
    <t>Etat 1921, Revenus de 1985, situation au 31/3/1987, tableaux IIA</t>
  </si>
  <si>
    <t>Etat 1921, Revenus de 1995, situation au 31/12/1997, tableaux IIA</t>
  </si>
  <si>
    <t>Etat 1921, Revenus de 1996, situation au 31/12/1997 (avec correction pour se caler au 31/12/1998), tableaux IIA</t>
  </si>
  <si>
    <t>(données partielles au 31/12/1998)</t>
  </si>
  <si>
    <t>Contribuables imposables et non imposables (grossed up 31/12/1998)</t>
  </si>
  <si>
    <t>Etat 1921, Revenus de 1994, situation au 31/12/1996, tableaux IIA</t>
  </si>
  <si>
    <t>Etat 1921, Revenus de 1993, situation au 31/12/1995, tableaux IIA</t>
  </si>
  <si>
    <t>Etat 1921, Revenus de 1992, situation au 31/12/1994, tableaux IIA</t>
  </si>
  <si>
    <t>Etat 1921, Revenus de 1991, situation au 31/12/1993, tableaux IIA</t>
  </si>
  <si>
    <t>Etat 1921, Revenus de 1990, situation au 31/12/1992, tableaux IIA</t>
  </si>
  <si>
    <t>Etat 1921, Revenus de 1989, situation au 31/12/1991, tableaux IIA</t>
  </si>
  <si>
    <t>Etat 1921, Revenus de 1988, situation au 31/12/1990, tableaux IIA</t>
  </si>
  <si>
    <t>Etat 1921, Revenus de 1987, situation au 31/12/1989, tableaux IIA</t>
  </si>
  <si>
    <t>Etat 1921, Revenus de 1986, situation au 31/3/1988, tableaux IIA</t>
  </si>
  <si>
    <t>Revenus de 1945</t>
  </si>
  <si>
    <t>Seuil effectif d'imposition</t>
  </si>
  <si>
    <t>Donnée brutes de la distribution des revenus par tranches de QF</t>
  </si>
  <si>
    <t>Données corrigées</t>
  </si>
  <si>
    <t>Célibataires</t>
  </si>
  <si>
    <t>Revenus de 1946</t>
  </si>
  <si>
    <t>Revenus de 1947</t>
  </si>
  <si>
    <t>Revenus de 1948</t>
  </si>
  <si>
    <t>Revenus de 1949</t>
  </si>
  <si>
    <t>Revenus de 1950</t>
  </si>
  <si>
    <t>Revenus de 1951</t>
  </si>
  <si>
    <t>Revenus de 1952</t>
  </si>
  <si>
    <t>Revenus de 1954</t>
  </si>
  <si>
    <t>Revenus de 1955</t>
  </si>
  <si>
    <t>Revenus de 1956</t>
  </si>
  <si>
    <t>Revenus de 1957</t>
  </si>
  <si>
    <t>Revenus de 1958</t>
  </si>
  <si>
    <t>Revenus de 1959</t>
  </si>
  <si>
    <t>Revenus de 1960</t>
  </si>
  <si>
    <t>Revenus de 1961</t>
  </si>
  <si>
    <t>Revenus de 1962</t>
  </si>
  <si>
    <t>Revenus de 1963</t>
  </si>
  <si>
    <t>Revenus de 1964</t>
  </si>
  <si>
    <t>Revenus de 1965</t>
  </si>
  <si>
    <t>Revenus de 1966</t>
  </si>
  <si>
    <t>Revenus de 1967</t>
  </si>
  <si>
    <t>Revenus de 1968</t>
  </si>
  <si>
    <t>Revenus de 1969</t>
  </si>
  <si>
    <t>Revenus de 1970</t>
  </si>
  <si>
    <t>Revenus de 1971</t>
  </si>
  <si>
    <t>Revenus de 1972</t>
  </si>
  <si>
    <t>Revenus de 1973</t>
  </si>
  <si>
    <t>Revenus de 1974</t>
  </si>
  <si>
    <t>Revenus de 1975</t>
  </si>
  <si>
    <t>Revenus de 1976</t>
  </si>
  <si>
    <t>Revenus de 1977</t>
  </si>
  <si>
    <t>Revenus de 1978</t>
  </si>
  <si>
    <t>Revenus de 1979</t>
  </si>
  <si>
    <t>Revenus de 1980</t>
  </si>
  <si>
    <t>Revenus de 1981</t>
  </si>
  <si>
    <t>Revenus de 1982</t>
  </si>
  <si>
    <t>Revenus de 1983</t>
  </si>
  <si>
    <t>Revenus de 1984</t>
  </si>
  <si>
    <t xml:space="preserve">b </t>
  </si>
  <si>
    <t>Revenus de 1953 - Données corrigées - voir Correc45-70.xls in Piketty2001ComputationFiles.zip</t>
  </si>
  <si>
    <t>Données par QF 1953 absentes de Landais 2003, et par conséquent non utilisées par Fournier 2015</t>
  </si>
  <si>
    <t>Income tax tabulations published by French Finance Ministry and covering incomes 1915-2014</t>
  </si>
  <si>
    <t>Incomes 1997-2014 (recent period): see directory FinMinTabulations (on-line electronic tabulations)</t>
  </si>
  <si>
    <t>Incomes 1900 and 1910: estimates based upon Doumer-Caillaux Finance Ministry 1896-1907 income tax forecasts (see Piketty 2001, Appendix B and I)</t>
  </si>
  <si>
    <t>(iv) raw s for 1945-2013 was computed as a the fraction of tax units with QF=1, 1.25-1.5-1.75 and 2C;  raw s for 1915-1944 was computed as the fraction of tax units with no spouse deduction</t>
  </si>
  <si>
    <t>(iii) avs and s were adjusted to definition 1 (see Table D1)</t>
  </si>
  <si>
    <t>Sheets 1900, 1910 and 1915-2014 include the final tabulations used for Matlab simulations</t>
  </si>
  <si>
    <t>Sheets 1945temp to 1996temp include the intermediate computations (in particular the corrections for truncated distributions) and should not be used for simulations</t>
  </si>
  <si>
    <t>rawp</t>
  </si>
  <si>
    <t>(vii) for incomes 1915-1918, raw tabulations were corrected by proportional upgrade factors in order to take into account late declarations (see sheets 1915-1918 and Piketty 2001, Table A9, and Appendix B p.607-608)</t>
  </si>
  <si>
    <t>(vi) income concept used for tabulations is taxable income (excluding capital gains) for 1915-2002 (except 1988) (i.e. income subject to progressive income tax, after all deductions, such as deductions for professional expenses, except deductions for spouses and dependant children applied in 1915-1944, see below), and taxable income including capital gains (RFR, revenu fiscal de référence = income subject to progressive income tax + capital gains and other incomes subject to separate taxation (exceptional income, certain  interest income) - all deductions, except certain deductions such as special deduction for seniors) for 1988 and 2003-2014; for 2001-2002, we also report the tabulation with capital gains (2001pv, 2002pv) published in TabRepNationaux; for 2003-2005, the tabulations by taxable income are also available in Etats 1921 (not reported here).</t>
  </si>
  <si>
    <t>(ii) p, b and raw s were computed using TabRepNationaux and ASDGFIP tabulations for 2003-2013 (2012-13: s not available yet, 2011 profile used), Etats1921 tabulations for 1997-2002, and historical tabulations for 1915-1996 (see Piketty 2001 for references)</t>
  </si>
  <si>
    <t>(last update: 16-05-2016)</t>
  </si>
  <si>
    <t>(viii) for incomes 1931-1935 and 1942-1944, income concept used for tabulations was taxable income after family deductions; here we follow the correction described in Piketty 2001 p.607 note 1 (see sheets 1931-1935 and 1942-1944 vs 1931raw-1935raw and 1942raw-1944raw)</t>
  </si>
  <si>
    <t>Sheets 1931raw to 1935raw and 1942raw to 1942raw include the raw tabulations (after family deductions) and should not be used for simulations</t>
  </si>
  <si>
    <t>(i) for incomes 1985-2014, all tax units (subject to tax or not) are included in tax tabulations; for incomes 1915-1984, raw tax tabulations only include tax units subject to tax and are threfore truncated from below depending on tax unit size and corresponding tax thresholds; raw tabulations were corrected using the method described in Piketty 2001, Appendix B, and the tabulations by tax unit size collected and analyzed by Landais 2003 and Fournier 2015; and the methods described in GGP 2016 Appendix D</t>
  </si>
  <si>
    <t>Raw income tax tabulations 1900-2014 used in Garbinti-Goupille-Piketty DINA 2016 (before P10-P50 adjustments)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</si>
</sst>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000"/>
    <numFmt numFmtId="165" formatCode="0.00000"/>
    <numFmt numFmtId="166" formatCode="0.000000"/>
    <numFmt numFmtId="167" formatCode="0.0%"/>
    <numFmt numFmtId="168" formatCode="0.0000%"/>
    <numFmt numFmtId="169" formatCode="0.000"/>
    <numFmt numFmtId="170" formatCode="0.0000000"/>
  </numFmts>
  <fonts count="18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5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51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7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1" fillId="0" borderId="0" xfId="0" applyFont="1"/>
    <xf numFmtId="1" fontId="1" fillId="0" borderId="0" xfId="0" applyNumberFormat="1" applyFont="1"/>
    <xf numFmtId="3" fontId="2" fillId="0" borderId="0" xfId="0" applyNumberFormat="1" applyFont="1" applyAlignment="1">
      <alignment horizontal="center" vertical="justify"/>
    </xf>
    <xf numFmtId="0" fontId="5" fillId="0" borderId="0" xfId="0" applyFont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3" fontId="9" fillId="0" borderId="0" xfId="4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8" fillId="0" borderId="0" xfId="0" applyFont="1"/>
    <xf numFmtId="164" fontId="8" fillId="0" borderId="0" xfId="0" applyNumberFormat="1" applyFont="1"/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164" fontId="8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164" fontId="11" fillId="0" borderId="0" xfId="0" applyNumberFormat="1" applyFont="1" applyAlignment="1">
      <alignment horizontal="center" wrapText="1"/>
    </xf>
    <xf numFmtId="165" fontId="8" fillId="0" borderId="0" xfId="0" applyNumberFormat="1" applyFont="1" applyAlignment="1">
      <alignment horizontal="center" wrapText="1"/>
    </xf>
    <xf numFmtId="46" fontId="8" fillId="0" borderId="0" xfId="0" applyNumberFormat="1" applyFont="1"/>
    <xf numFmtId="0" fontId="8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1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/>
    <xf numFmtId="3" fontId="13" fillId="2" borderId="0" xfId="0" applyNumberFormat="1" applyFont="1" applyFill="1"/>
    <xf numFmtId="2" fontId="13" fillId="2" borderId="0" xfId="0" applyNumberFormat="1" applyFont="1" applyFill="1"/>
    <xf numFmtId="3" fontId="14" fillId="0" borderId="0" xfId="0" applyNumberFormat="1" applyFont="1"/>
    <xf numFmtId="2" fontId="14" fillId="0" borderId="0" xfId="0" applyNumberFormat="1" applyFont="1"/>
    <xf numFmtId="1" fontId="14" fillId="0" borderId="0" xfId="0" applyNumberFormat="1" applyFont="1"/>
    <xf numFmtId="3" fontId="0" fillId="0" borderId="0" xfId="0" applyNumberFormat="1"/>
    <xf numFmtId="3" fontId="13" fillId="3" borderId="0" xfId="0" applyNumberFormat="1" applyFont="1" applyFill="1"/>
    <xf numFmtId="2" fontId="13" fillId="3" borderId="0" xfId="0" applyNumberFormat="1" applyFont="1" applyFill="1"/>
    <xf numFmtId="0" fontId="14" fillId="0" borderId="0" xfId="0" applyNumberFormat="1" applyFont="1"/>
    <xf numFmtId="0" fontId="2" fillId="0" borderId="0" xfId="0" applyFont="1" applyAlignment="1">
      <alignment horizontal="center" vertical="justify"/>
    </xf>
    <xf numFmtId="3" fontId="7" fillId="0" borderId="0" xfId="0" applyNumberFormat="1" applyFont="1" applyAlignment="1">
      <alignment horizontal="center" vertical="justify"/>
    </xf>
    <xf numFmtId="170" fontId="8" fillId="0" borderId="0" xfId="0" applyNumberFormat="1" applyFont="1"/>
    <xf numFmtId="3" fontId="9" fillId="0" borderId="0" xfId="0" applyNumberFormat="1" applyFont="1" applyAlignment="1">
      <alignment horizontal="center" vertical="justify"/>
    </xf>
    <xf numFmtId="0" fontId="1" fillId="0" borderId="0" xfId="0" applyFont="1" applyAlignment="1">
      <alignment horizontal="center"/>
    </xf>
    <xf numFmtId="3" fontId="15" fillId="0" borderId="0" xfId="0" applyNumberFormat="1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  <xf numFmtId="164" fontId="15" fillId="0" borderId="0" xfId="0" applyNumberFormat="1" applyFont="1"/>
    <xf numFmtId="1" fontId="8" fillId="0" borderId="0" xfId="0" applyNumberFormat="1" applyFont="1" applyAlignment="1">
      <alignment horizontal="right"/>
    </xf>
    <xf numFmtId="1" fontId="16" fillId="0" borderId="0" xfId="0" applyNumberFormat="1" applyFont="1"/>
    <xf numFmtId="0" fontId="1" fillId="0" borderId="0" xfId="0" applyFont="1" applyAlignment="1">
      <alignment horizontal="center"/>
    </xf>
    <xf numFmtId="164" fontId="17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516">
    <cellStyle name="Lien hypertexte" xfId="1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8" builtinId="8" hidden="1"/>
    <cellStyle name="Lien hypertexte" xfId="320" builtinId="8" hidden="1"/>
    <cellStyle name="Lien hypertexte" xfId="322" builtinId="8" hidden="1"/>
    <cellStyle name="Lien hypertexte" xfId="324" builtinId="8" hidden="1"/>
    <cellStyle name="Lien hypertexte" xfId="326" builtinId="8" hidden="1"/>
    <cellStyle name="Lien hypertexte" xfId="328" builtinId="8" hidden="1"/>
    <cellStyle name="Lien hypertexte" xfId="330" builtinId="8" hidden="1"/>
    <cellStyle name="Lien hypertexte" xfId="332" builtinId="8" hidden="1"/>
    <cellStyle name="Lien hypertexte" xfId="334" builtinId="8" hidden="1"/>
    <cellStyle name="Lien hypertexte" xfId="336" builtinId="8" hidden="1"/>
    <cellStyle name="Lien hypertexte" xfId="338" builtinId="8" hidden="1"/>
    <cellStyle name="Lien hypertexte" xfId="340" builtinId="8" hidden="1"/>
    <cellStyle name="Lien hypertexte" xfId="342" builtinId="8" hidden="1"/>
    <cellStyle name="Lien hypertexte" xfId="344" builtinId="8" hidden="1"/>
    <cellStyle name="Lien hypertexte" xfId="346" builtinId="8" hidden="1"/>
    <cellStyle name="Lien hypertexte" xfId="348" builtinId="8" hidden="1"/>
    <cellStyle name="Lien hypertexte" xfId="350" builtinId="8" hidden="1"/>
    <cellStyle name="Lien hypertexte" xfId="352" builtinId="8" hidden="1"/>
    <cellStyle name="Lien hypertexte" xfId="354" builtinId="8" hidden="1"/>
    <cellStyle name="Lien hypertexte" xfId="356" builtinId="8" hidden="1"/>
    <cellStyle name="Lien hypertexte" xfId="358" builtinId="8" hidden="1"/>
    <cellStyle name="Lien hypertexte" xfId="360" builtinId="8" hidden="1"/>
    <cellStyle name="Lien hypertexte" xfId="362" builtinId="8" hidden="1"/>
    <cellStyle name="Lien hypertexte" xfId="364" builtinId="8" hidden="1"/>
    <cellStyle name="Lien hypertexte" xfId="366" builtinId="8" hidden="1"/>
    <cellStyle name="Lien hypertexte" xfId="368" builtinId="8" hidden="1"/>
    <cellStyle name="Lien hypertexte" xfId="370" builtinId="8" hidden="1"/>
    <cellStyle name="Lien hypertexte" xfId="372" builtinId="8" hidden="1"/>
    <cellStyle name="Lien hypertexte" xfId="374" builtinId="8" hidden="1"/>
    <cellStyle name="Lien hypertexte" xfId="376" builtinId="8" hidden="1"/>
    <cellStyle name="Lien hypertexte" xfId="378" builtinId="8" hidden="1"/>
    <cellStyle name="Lien hypertexte" xfId="380" builtinId="8" hidden="1"/>
    <cellStyle name="Lien hypertexte" xfId="382" builtinId="8" hidden="1"/>
    <cellStyle name="Lien hypertexte" xfId="384" builtinId="8" hidden="1"/>
    <cellStyle name="Lien hypertexte" xfId="386" builtinId="8" hidden="1"/>
    <cellStyle name="Lien hypertexte" xfId="388" builtinId="8" hidden="1"/>
    <cellStyle name="Lien hypertexte" xfId="390" builtinId="8" hidden="1"/>
    <cellStyle name="Lien hypertexte" xfId="392" builtinId="8" hidden="1"/>
    <cellStyle name="Lien hypertexte" xfId="394" builtinId="8" hidden="1"/>
    <cellStyle name="Lien hypertexte" xfId="396" builtinId="8" hidden="1"/>
    <cellStyle name="Lien hypertexte" xfId="398" builtinId="8" hidden="1"/>
    <cellStyle name="Lien hypertexte" xfId="400" builtinId="8" hidden="1"/>
    <cellStyle name="Lien hypertexte" xfId="402" builtinId="8" hidden="1"/>
    <cellStyle name="Lien hypertexte" xfId="404" builtinId="8" hidden="1"/>
    <cellStyle name="Lien hypertexte" xfId="406" builtinId="8" hidden="1"/>
    <cellStyle name="Lien hypertexte" xfId="408" builtinId="8" hidden="1"/>
    <cellStyle name="Lien hypertexte" xfId="410" builtinId="8" hidden="1"/>
    <cellStyle name="Lien hypertexte" xfId="412" builtinId="8" hidden="1"/>
    <cellStyle name="Lien hypertexte" xfId="414" builtinId="8" hidden="1"/>
    <cellStyle name="Lien hypertexte" xfId="416" builtinId="8" hidden="1"/>
    <cellStyle name="Lien hypertexte" xfId="418" builtinId="8" hidden="1"/>
    <cellStyle name="Lien hypertexte" xfId="420" builtinId="8" hidden="1"/>
    <cellStyle name="Lien hypertexte" xfId="422" builtinId="8" hidden="1"/>
    <cellStyle name="Lien hypertexte" xfId="424" builtinId="8" hidden="1"/>
    <cellStyle name="Lien hypertexte" xfId="426" builtinId="8" hidden="1"/>
    <cellStyle name="Lien hypertexte" xfId="428" builtinId="8" hidden="1"/>
    <cellStyle name="Lien hypertexte" xfId="430" builtinId="8" hidden="1"/>
    <cellStyle name="Lien hypertexte" xfId="432" builtinId="8" hidden="1"/>
    <cellStyle name="Lien hypertexte" xfId="434" builtinId="8" hidden="1"/>
    <cellStyle name="Lien hypertexte" xfId="436" builtinId="8" hidden="1"/>
    <cellStyle name="Lien hypertexte" xfId="438" builtinId="8" hidden="1"/>
    <cellStyle name="Lien hypertexte" xfId="440" builtinId="8" hidden="1"/>
    <cellStyle name="Lien hypertexte" xfId="442" builtinId="8" hidden="1"/>
    <cellStyle name="Lien hypertexte" xfId="444" builtinId="8" hidden="1"/>
    <cellStyle name="Lien hypertexte" xfId="446" builtinId="8" hidden="1"/>
    <cellStyle name="Lien hypertexte" xfId="448" builtinId="8" hidden="1"/>
    <cellStyle name="Lien hypertexte" xfId="450" builtinId="8" hidden="1"/>
    <cellStyle name="Lien hypertexte" xfId="452" builtinId="8" hidden="1"/>
    <cellStyle name="Lien hypertexte" xfId="454" builtinId="8" hidden="1"/>
    <cellStyle name="Lien hypertexte" xfId="456" builtinId="8" hidden="1"/>
    <cellStyle name="Lien hypertexte" xfId="458" builtinId="8" hidden="1"/>
    <cellStyle name="Lien hypertexte" xfId="460" builtinId="8" hidden="1"/>
    <cellStyle name="Lien hypertexte" xfId="462" builtinId="8" hidden="1"/>
    <cellStyle name="Lien hypertexte" xfId="464" builtinId="8" hidden="1"/>
    <cellStyle name="Lien hypertexte" xfId="466" builtinId="8" hidden="1"/>
    <cellStyle name="Lien hypertexte" xfId="468" builtinId="8" hidden="1"/>
    <cellStyle name="Lien hypertexte" xfId="470" builtinId="8" hidden="1"/>
    <cellStyle name="Lien hypertexte" xfId="472" builtinId="8" hidden="1"/>
    <cellStyle name="Lien hypertexte" xfId="474" builtinId="8" hidden="1"/>
    <cellStyle name="Lien hypertexte" xfId="476" builtinId="8" hidden="1"/>
    <cellStyle name="Lien hypertexte" xfId="478" builtinId="8" hidden="1"/>
    <cellStyle name="Lien hypertexte" xfId="480" builtinId="8" hidden="1"/>
    <cellStyle name="Lien hypertexte" xfId="482" builtinId="8" hidden="1"/>
    <cellStyle name="Lien hypertexte" xfId="484" builtinId="8" hidden="1"/>
    <cellStyle name="Lien hypertexte" xfId="486" builtinId="8" hidden="1"/>
    <cellStyle name="Lien hypertexte" xfId="488" builtinId="8" hidden="1"/>
    <cellStyle name="Lien hypertexte" xfId="490" builtinId="8" hidden="1"/>
    <cellStyle name="Lien hypertexte" xfId="492" builtinId="8" hidden="1"/>
    <cellStyle name="Lien hypertexte" xfId="494" builtinId="8" hidden="1"/>
    <cellStyle name="Lien hypertexte" xfId="496" builtinId="8" hidden="1"/>
    <cellStyle name="Lien hypertexte" xfId="498" builtinId="8" hidden="1"/>
    <cellStyle name="Lien hypertexte" xfId="500" builtinId="8" hidden="1"/>
    <cellStyle name="Lien hypertexte" xfId="502" builtinId="8" hidden="1"/>
    <cellStyle name="Lien hypertexte" xfId="504" builtinId="8" hidden="1"/>
    <cellStyle name="Lien hypertexte" xfId="506" builtinId="8" hidden="1"/>
    <cellStyle name="Lien hypertexte" xfId="508" builtinId="8" hidden="1"/>
    <cellStyle name="Lien hypertexte" xfId="510" builtinId="8" hidden="1"/>
    <cellStyle name="Lien hypertexte" xfId="512" builtinId="8" hidden="1"/>
    <cellStyle name="Lien hypertexte" xfId="514" builtinId="8" hidden="1"/>
    <cellStyle name="Lien hypertexte visité" xfId="2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9" builtinId="9" hidden="1"/>
    <cellStyle name="Lien hypertexte visité" xfId="321" builtinId="9" hidden="1"/>
    <cellStyle name="Lien hypertexte visité" xfId="323" builtinId="9" hidden="1"/>
    <cellStyle name="Lien hypertexte visité" xfId="325" builtinId="9" hidden="1"/>
    <cellStyle name="Lien hypertexte visité" xfId="327" builtinId="9" hidden="1"/>
    <cellStyle name="Lien hypertexte visité" xfId="329" builtinId="9" hidden="1"/>
    <cellStyle name="Lien hypertexte visité" xfId="331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39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7" builtinId="9" hidden="1"/>
    <cellStyle name="Lien hypertexte visité" xfId="349" builtinId="9" hidden="1"/>
    <cellStyle name="Lien hypertexte visité" xfId="351" builtinId="9" hidden="1"/>
    <cellStyle name="Lien hypertexte visité" xfId="353" builtinId="9" hidden="1"/>
    <cellStyle name="Lien hypertexte visité" xfId="355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3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77" builtinId="9" hidden="1"/>
    <cellStyle name="Lien hypertexte visité" xfId="379" builtinId="9" hidden="1"/>
    <cellStyle name="Lien hypertexte visité" xfId="381" builtinId="9" hidden="1"/>
    <cellStyle name="Lien hypertexte visité" xfId="383" builtinId="9" hidden="1"/>
    <cellStyle name="Lien hypertexte visité" xfId="385" builtinId="9" hidden="1"/>
    <cellStyle name="Lien hypertexte visité" xfId="387" builtinId="9" hidden="1"/>
    <cellStyle name="Lien hypertexte visité" xfId="389" builtinId="9" hidden="1"/>
    <cellStyle name="Lien hypertexte visité" xfId="391" builtinId="9" hidden="1"/>
    <cellStyle name="Lien hypertexte visité" xfId="393" builtinId="9" hidden="1"/>
    <cellStyle name="Lien hypertexte visité" xfId="395" builtinId="9" hidden="1"/>
    <cellStyle name="Lien hypertexte visité" xfId="397" builtinId="9" hidden="1"/>
    <cellStyle name="Lien hypertexte visité" xfId="399" builtinId="9" hidden="1"/>
    <cellStyle name="Lien hypertexte visité" xfId="401" builtinId="9" hidden="1"/>
    <cellStyle name="Lien hypertexte visité" xfId="403" builtinId="9" hidden="1"/>
    <cellStyle name="Lien hypertexte visité" xfId="405" builtinId="9" hidden="1"/>
    <cellStyle name="Lien hypertexte visité" xfId="407" builtinId="9" hidden="1"/>
    <cellStyle name="Lien hypertexte visité" xfId="409" builtinId="9" hidden="1"/>
    <cellStyle name="Lien hypertexte visité" xfId="411" builtinId="9" hidden="1"/>
    <cellStyle name="Lien hypertexte visité" xfId="413" builtinId="9" hidden="1"/>
    <cellStyle name="Lien hypertexte visité" xfId="415" builtinId="9" hidden="1"/>
    <cellStyle name="Lien hypertexte visité" xfId="417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25" builtinId="9" hidden="1"/>
    <cellStyle name="Lien hypertexte visité" xfId="427" builtinId="9" hidden="1"/>
    <cellStyle name="Lien hypertexte visité" xfId="429" builtinId="9" hidden="1"/>
    <cellStyle name="Lien hypertexte visité" xfId="431" builtinId="9" hidden="1"/>
    <cellStyle name="Lien hypertexte visité" xfId="433" builtinId="9" hidden="1"/>
    <cellStyle name="Lien hypertexte visité" xfId="435" builtinId="9" hidden="1"/>
    <cellStyle name="Lien hypertexte visité" xfId="437" builtinId="9" hidden="1"/>
    <cellStyle name="Lien hypertexte visité" xfId="439" builtinId="9" hidden="1"/>
    <cellStyle name="Lien hypertexte visité" xfId="441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49" builtinId="9" hidden="1"/>
    <cellStyle name="Lien hypertexte visité" xfId="451" builtinId="9" hidden="1"/>
    <cellStyle name="Lien hypertexte visité" xfId="453" builtinId="9" hidden="1"/>
    <cellStyle name="Lien hypertexte visité" xfId="455" builtinId="9" hidden="1"/>
    <cellStyle name="Lien hypertexte visité" xfId="457" builtinId="9" hidden="1"/>
    <cellStyle name="Lien hypertexte visité" xfId="459" builtinId="9" hidden="1"/>
    <cellStyle name="Lien hypertexte visité" xfId="461" builtinId="9" hidden="1"/>
    <cellStyle name="Lien hypertexte visité" xfId="463" builtinId="9" hidden="1"/>
    <cellStyle name="Lien hypertexte visité" xfId="465" builtinId="9" hidden="1"/>
    <cellStyle name="Lien hypertexte visité" xfId="467" builtinId="9" hidden="1"/>
    <cellStyle name="Lien hypertexte visité" xfId="469" builtinId="9" hidden="1"/>
    <cellStyle name="Lien hypertexte visité" xfId="471" builtinId="9" hidden="1"/>
    <cellStyle name="Lien hypertexte visité" xfId="473" builtinId="9" hidden="1"/>
    <cellStyle name="Lien hypertexte visité" xfId="475" builtinId="9" hidden="1"/>
    <cellStyle name="Lien hypertexte visité" xfId="477" builtinId="9" hidden="1"/>
    <cellStyle name="Lien hypertexte visité" xfId="479" builtinId="9" hidden="1"/>
    <cellStyle name="Lien hypertexte visité" xfId="481" builtinId="9" hidden="1"/>
    <cellStyle name="Lien hypertexte visité" xfId="483" builtinId="9" hidden="1"/>
    <cellStyle name="Lien hypertexte visité" xfId="485" builtinId="9" hidden="1"/>
    <cellStyle name="Lien hypertexte visité" xfId="487" builtinId="9" hidden="1"/>
    <cellStyle name="Lien hypertexte visité" xfId="489" builtinId="9" hidden="1"/>
    <cellStyle name="Lien hypertexte visité" xfId="491" builtinId="9" hidden="1"/>
    <cellStyle name="Lien hypertexte visité" xfId="493" builtinId="9" hidden="1"/>
    <cellStyle name="Lien hypertexte visité" xfId="495" builtinId="9" hidden="1"/>
    <cellStyle name="Lien hypertexte visité" xfId="497" builtinId="9" hidden="1"/>
    <cellStyle name="Lien hypertexte visité" xfId="499" builtinId="9" hidden="1"/>
    <cellStyle name="Lien hypertexte visité" xfId="501" builtinId="9" hidden="1"/>
    <cellStyle name="Lien hypertexte visité" xfId="503" builtinId="9" hidden="1"/>
    <cellStyle name="Lien hypertexte visité" xfId="505" builtinId="9" hidden="1"/>
    <cellStyle name="Lien hypertexte visité" xfId="507" builtinId="9" hidden="1"/>
    <cellStyle name="Lien hypertexte visité" xfId="509" builtinId="9" hidden="1"/>
    <cellStyle name="Lien hypertexte visité" xfId="511" builtinId="9" hidden="1"/>
    <cellStyle name="Lien hypertexte visité" xfId="513" builtinId="9" hidden="1"/>
    <cellStyle name="Lien hypertexte visité" xfId="515" builtinId="9" hidden="1"/>
    <cellStyle name="Normal" xfId="0" builtinId="0"/>
    <cellStyle name="Normal 2" xfId="4"/>
    <cellStyle name="Normal 3" xfId="3"/>
    <cellStyle name="Normal 4" xfId="31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externalLink" Target="externalLinks/externalLink1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France/Papers/GGP2016DINA/GGP2016DINAAppendixD/GGP2016DINAAppendix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D1"/>
      <sheetName val="TD2"/>
      <sheetName val="TD3"/>
      <sheetName val="TD4"/>
      <sheetName val="TD5"/>
      <sheetName val="TD10"/>
      <sheetName val="TD10fs"/>
      <sheetName val="TD11"/>
      <sheetName val="TD12"/>
      <sheetName val="TD14"/>
      <sheetName val="TD16"/>
      <sheetName val="FD1"/>
      <sheetName val="FD10"/>
      <sheetName val="FD11"/>
      <sheetName val="FD12"/>
      <sheetName val="FD13"/>
      <sheetName val="FD14"/>
      <sheetName val="FD15"/>
      <sheetName val="FD16"/>
      <sheetName val="FD17"/>
      <sheetName val="FD20"/>
      <sheetName val="FD30"/>
      <sheetName val="FD31"/>
      <sheetName val="FD32"/>
      <sheetName val="FD34"/>
      <sheetName val="FD35"/>
      <sheetName val="FD3c"/>
      <sheetName val="DataFigures"/>
      <sheetName val="TD10bis"/>
    </sheetNames>
    <sheetDataSet>
      <sheetData sheetId="0"/>
      <sheetData sheetId="1">
        <row r="7">
          <cell r="C7">
            <v>14119.159678957578</v>
          </cell>
          <cell r="F7">
            <v>0.15309882715860645</v>
          </cell>
        </row>
        <row r="17">
          <cell r="C17">
            <v>14707.763234655202</v>
          </cell>
          <cell r="F17">
            <v>0.18057919257725574</v>
          </cell>
        </row>
        <row r="22">
          <cell r="C22">
            <v>15249.089568197713</v>
          </cell>
          <cell r="F22">
            <v>0.22792854212696878</v>
          </cell>
        </row>
        <row r="23">
          <cell r="C23">
            <v>15204.615582862923</v>
          </cell>
          <cell r="F23">
            <v>0.23699250357406165</v>
          </cell>
        </row>
        <row r="24">
          <cell r="C24">
            <v>15160.141597528134</v>
          </cell>
          <cell r="F24">
            <v>0.23710502691663304</v>
          </cell>
        </row>
        <row r="25">
          <cell r="C25">
            <v>15115.667612193345</v>
          </cell>
          <cell r="F25">
            <v>0.23083617387726374</v>
          </cell>
        </row>
        <row r="26">
          <cell r="C26">
            <v>15071.193626858556</v>
          </cell>
          <cell r="F26">
            <v>0.23672308353435034</v>
          </cell>
        </row>
        <row r="27">
          <cell r="C27">
            <v>15026.719641523763</v>
          </cell>
          <cell r="F27">
            <v>0.19028969729372336</v>
          </cell>
        </row>
        <row r="28">
          <cell r="C28">
            <v>15323.121536615974</v>
          </cell>
          <cell r="F28">
            <v>0.20883105213692965</v>
          </cell>
        </row>
        <row r="29">
          <cell r="C29">
            <v>15452.520658639722</v>
          </cell>
          <cell r="F29">
            <v>0.21176900039060409</v>
          </cell>
        </row>
        <row r="30">
          <cell r="C30">
            <v>15608.585132378414</v>
          </cell>
          <cell r="F30">
            <v>0.21361062676505393</v>
          </cell>
        </row>
        <row r="31">
          <cell r="C31">
            <v>15802.738356745167</v>
          </cell>
          <cell r="F31">
            <v>0.21403110244096912</v>
          </cell>
        </row>
        <row r="32">
          <cell r="C32">
            <v>16000.924309334689</v>
          </cell>
          <cell r="F32">
            <v>0.21534070994863841</v>
          </cell>
        </row>
        <row r="33">
          <cell r="C33">
            <v>16146.571913756576</v>
          </cell>
          <cell r="F33">
            <v>0.22019446876127247</v>
          </cell>
        </row>
        <row r="34">
          <cell r="C34">
            <v>16253.63696761451</v>
          </cell>
          <cell r="F34">
            <v>0.21893220458434604</v>
          </cell>
        </row>
        <row r="35">
          <cell r="C35">
            <v>16347.017548874008</v>
          </cell>
          <cell r="F35">
            <v>0.21979747323145293</v>
          </cell>
        </row>
        <row r="36">
          <cell r="C36">
            <v>16454.095591251858</v>
          </cell>
          <cell r="F36">
            <v>0.21996472760753671</v>
          </cell>
        </row>
        <row r="37">
          <cell r="C37">
            <v>16555.933031139095</v>
          </cell>
          <cell r="F37">
            <v>0.22092809531279967</v>
          </cell>
        </row>
        <row r="38">
          <cell r="C38">
            <v>16728.728130433075</v>
          </cell>
          <cell r="F38">
            <v>0.22192844467603567</v>
          </cell>
        </row>
        <row r="39">
          <cell r="C39">
            <v>16767.239401699284</v>
          </cell>
          <cell r="F39">
            <v>0.22473336297542512</v>
          </cell>
        </row>
        <row r="40">
          <cell r="C40">
            <v>16810.400827934456</v>
          </cell>
          <cell r="F40">
            <v>0.22494525033089818</v>
          </cell>
        </row>
        <row r="41">
          <cell r="C41">
            <v>16836.610287627245</v>
          </cell>
          <cell r="F41">
            <v>0.22464273194450768</v>
          </cell>
        </row>
        <row r="42">
          <cell r="C42">
            <v>16873.981152787812</v>
          </cell>
          <cell r="F42">
            <v>0.22510623521797002</v>
          </cell>
        </row>
        <row r="43">
          <cell r="C43">
            <v>16888.969047490475</v>
          </cell>
          <cell r="F43">
            <v>0.23887080558033236</v>
          </cell>
        </row>
        <row r="44">
          <cell r="C44">
            <v>16899.311534615401</v>
          </cell>
          <cell r="F44">
            <v>0.25220467510657274</v>
          </cell>
        </row>
        <row r="46">
          <cell r="C46">
            <v>16172.288575424136</v>
          </cell>
          <cell r="F46">
            <v>0.26922753850673664</v>
          </cell>
        </row>
        <row r="47">
          <cell r="C47">
            <v>16229.112140045636</v>
          </cell>
          <cell r="F47">
            <v>0.27851071909659963</v>
          </cell>
        </row>
        <row r="48">
          <cell r="C48">
            <v>15368.131997628767</v>
          </cell>
          <cell r="F48">
            <v>0.3029129292002577</v>
          </cell>
        </row>
        <row r="49">
          <cell r="C49">
            <v>15371.957997478099</v>
          </cell>
          <cell r="F49">
            <v>0.28716373831733755</v>
          </cell>
        </row>
        <row r="50">
          <cell r="C50">
            <v>15276.623830476714</v>
          </cell>
          <cell r="F50">
            <v>0.27897249297428051</v>
          </cell>
        </row>
        <row r="51">
          <cell r="C51">
            <v>15088.562585508102</v>
          </cell>
          <cell r="F51">
            <v>0.27050782375518878</v>
          </cell>
        </row>
        <row r="52">
          <cell r="C52">
            <v>15138.382140876663</v>
          </cell>
          <cell r="F52">
            <v>0.26824870693450031</v>
          </cell>
        </row>
        <row r="53">
          <cell r="C53">
            <v>16535.847579875706</v>
          </cell>
          <cell r="F53">
            <v>0.23687631022372346</v>
          </cell>
        </row>
        <row r="54">
          <cell r="C54">
            <v>16648.051617944187</v>
          </cell>
          <cell r="F54">
            <v>0.23617562360809807</v>
          </cell>
        </row>
        <row r="55">
          <cell r="C55">
            <v>16817.525168527227</v>
          </cell>
          <cell r="F55">
            <v>0.23909938838315181</v>
          </cell>
        </row>
        <row r="56">
          <cell r="C56">
            <v>16961.530403966608</v>
          </cell>
          <cell r="F56">
            <v>0.24097809989450347</v>
          </cell>
        </row>
        <row r="57">
          <cell r="C57">
            <v>17077.292455622977</v>
          </cell>
          <cell r="F57">
            <v>0.24419195112040493</v>
          </cell>
        </row>
        <row r="58">
          <cell r="C58">
            <v>17204.64213691706</v>
          </cell>
          <cell r="F58">
            <v>0.24384048147149429</v>
          </cell>
        </row>
        <row r="59">
          <cell r="C59">
            <v>17302.224455078489</v>
          </cell>
          <cell r="F59">
            <v>0.24406869584896995</v>
          </cell>
        </row>
        <row r="60">
          <cell r="C60">
            <v>17410.185264045776</v>
          </cell>
          <cell r="F60">
            <v>0.24393883539805161</v>
          </cell>
        </row>
        <row r="61">
          <cell r="C61">
            <v>17497.477148364054</v>
          </cell>
          <cell r="F61">
            <v>0.24578039440886457</v>
          </cell>
        </row>
        <row r="62">
          <cell r="C62">
            <v>17647.342953881387</v>
          </cell>
          <cell r="F62">
            <v>0.25015767935292477</v>
          </cell>
        </row>
        <row r="63">
          <cell r="C63">
            <v>17820.251643483676</v>
          </cell>
          <cell r="F63">
            <v>0.25628237378177543</v>
          </cell>
        </row>
        <row r="64">
          <cell r="C64">
            <v>18006.842073500036</v>
          </cell>
          <cell r="F64">
            <v>0.26334772846363497</v>
          </cell>
        </row>
        <row r="65">
          <cell r="C65">
            <v>18223.085580970295</v>
          </cell>
          <cell r="F65">
            <v>0.27122474793384344</v>
          </cell>
        </row>
        <row r="66">
          <cell r="C66">
            <v>18418.173830754349</v>
          </cell>
          <cell r="F66">
            <v>0.27818773088485993</v>
          </cell>
        </row>
        <row r="67">
          <cell r="C67">
            <v>18612.827096206594</v>
          </cell>
          <cell r="F67">
            <v>0.28575677162191515</v>
          </cell>
        </row>
        <row r="68">
          <cell r="C68">
            <v>18803.112280894893</v>
          </cell>
          <cell r="F68">
            <v>0.29602968207612856</v>
          </cell>
        </row>
        <row r="69">
          <cell r="C69">
            <v>19026.154587401237</v>
          </cell>
          <cell r="F69">
            <v>0.30819188913564677</v>
          </cell>
        </row>
        <row r="70">
          <cell r="C70">
            <v>19535.313290464626</v>
          </cell>
          <cell r="F70">
            <v>0.31805408197039253</v>
          </cell>
        </row>
        <row r="71">
          <cell r="C71">
            <v>19803.518273769379</v>
          </cell>
          <cell r="F71">
            <v>0.33062412215100845</v>
          </cell>
        </row>
        <row r="72">
          <cell r="C72">
            <v>20017.680794129152</v>
          </cell>
          <cell r="F72">
            <v>0.3371153480896989</v>
          </cell>
        </row>
        <row r="73">
          <cell r="C73">
            <v>20165.510765303821</v>
          </cell>
          <cell r="F73">
            <v>0.34100858253420752</v>
          </cell>
        </row>
        <row r="74">
          <cell r="C74">
            <v>20324.303153582143</v>
          </cell>
          <cell r="F74">
            <v>0.33448789780477917</v>
          </cell>
        </row>
        <row r="75">
          <cell r="C75">
            <v>20454.007794356898</v>
          </cell>
          <cell r="F75">
            <v>0.32516310959021366</v>
          </cell>
        </row>
        <row r="76">
          <cell r="C76">
            <v>20734.257880962021</v>
          </cell>
          <cell r="F76">
            <v>0.32605173060991999</v>
          </cell>
        </row>
        <row r="77">
          <cell r="C77">
            <v>21033.070399628457</v>
          </cell>
          <cell r="F77">
            <v>0.32773809749613414</v>
          </cell>
        </row>
        <row r="78">
          <cell r="C78">
            <v>21354.803329468094</v>
          </cell>
          <cell r="F78">
            <v>0.32941804900886229</v>
          </cell>
        </row>
        <row r="79">
          <cell r="C79">
            <v>21652.870025774286</v>
          </cell>
          <cell r="F79">
            <v>0.33272748485485293</v>
          </cell>
        </row>
        <row r="80">
          <cell r="C80">
            <v>21921.093538944278</v>
          </cell>
          <cell r="F80">
            <v>0.33425032943098199</v>
          </cell>
        </row>
        <row r="81">
          <cell r="C81">
            <v>22160.61136746277</v>
          </cell>
          <cell r="F81">
            <v>0.33422824976369503</v>
          </cell>
        </row>
        <row r="82">
          <cell r="C82">
            <v>22363.834967221908</v>
          </cell>
          <cell r="F82">
            <v>0.33293537648702265</v>
          </cell>
        </row>
        <row r="83">
          <cell r="C83">
            <v>22497.021160280852</v>
          </cell>
          <cell r="F83">
            <v>0.32906586088318024</v>
          </cell>
        </row>
        <row r="84">
          <cell r="C84">
            <v>22709.251751053449</v>
          </cell>
          <cell r="F84">
            <v>0.32879812853686907</v>
          </cell>
        </row>
        <row r="85">
          <cell r="C85">
            <v>22938.934427011114</v>
          </cell>
          <cell r="F85">
            <v>0.32900943680216566</v>
          </cell>
        </row>
        <row r="86">
          <cell r="C86">
            <v>23186.245392738394</v>
          </cell>
          <cell r="F86">
            <v>0.33191881666877276</v>
          </cell>
        </row>
        <row r="87">
          <cell r="C87">
            <v>23457.373344810348</v>
          </cell>
          <cell r="F87">
            <v>0.33504544153778504</v>
          </cell>
        </row>
        <row r="88">
          <cell r="C88">
            <v>23749.60669045366</v>
          </cell>
          <cell r="F88">
            <v>0.3398462513686662</v>
          </cell>
        </row>
        <row r="89">
          <cell r="C89">
            <v>24042.665260901264</v>
          </cell>
          <cell r="F89">
            <v>0.34357144382634086</v>
          </cell>
        </row>
        <row r="90">
          <cell r="C90">
            <v>24282.961326334844</v>
          </cell>
          <cell r="F90">
            <v>0.34445525919024433</v>
          </cell>
        </row>
        <row r="91">
          <cell r="F91">
            <v>0.34821444553596304</v>
          </cell>
        </row>
        <row r="92">
          <cell r="F92">
            <v>0.35933850529087441</v>
          </cell>
        </row>
        <row r="93">
          <cell r="F93">
            <v>0.37932658503068284</v>
          </cell>
        </row>
        <row r="94">
          <cell r="F94">
            <v>0.414179474356827</v>
          </cell>
        </row>
        <row r="95">
          <cell r="F95">
            <v>0.42621654951867183</v>
          </cell>
        </row>
        <row r="96">
          <cell r="F96">
            <v>0.44415176486692154</v>
          </cell>
        </row>
        <row r="97">
          <cell r="F97">
            <v>0.46622294512600337</v>
          </cell>
        </row>
        <row r="98">
          <cell r="F98">
            <v>0.48249512445557241</v>
          </cell>
        </row>
        <row r="99">
          <cell r="F99">
            <v>0.49042994831087006</v>
          </cell>
        </row>
        <row r="100">
          <cell r="F100">
            <v>0.50112309753248652</v>
          </cell>
        </row>
        <row r="101">
          <cell r="F101">
            <v>0.51202786747255891</v>
          </cell>
        </row>
        <row r="102">
          <cell r="F102">
            <v>0.52796270024321856</v>
          </cell>
        </row>
        <row r="103">
          <cell r="F103">
            <v>0.54342688241357928</v>
          </cell>
        </row>
        <row r="104">
          <cell r="F104">
            <v>0.55742857349837371</v>
          </cell>
        </row>
        <row r="105">
          <cell r="F105">
            <v>0.56724318164670007</v>
          </cell>
        </row>
        <row r="106">
          <cell r="F106">
            <v>0.58184928019494642</v>
          </cell>
        </row>
        <row r="107">
          <cell r="F107">
            <v>0.59164697443398939</v>
          </cell>
        </row>
        <row r="108">
          <cell r="F108">
            <v>0.59728408287416501</v>
          </cell>
        </row>
        <row r="109">
          <cell r="F109">
            <v>0.60605183068117219</v>
          </cell>
        </row>
        <row r="110">
          <cell r="F110">
            <v>0.61440875818967067</v>
          </cell>
        </row>
        <row r="111">
          <cell r="F111">
            <v>0.61917895502836262</v>
          </cell>
        </row>
        <row r="112">
          <cell r="F112">
            <v>0.62041462148687865</v>
          </cell>
        </row>
        <row r="113">
          <cell r="F113">
            <v>0.63101362940124606</v>
          </cell>
        </row>
        <row r="114">
          <cell r="F114">
            <v>0.6357869062430519</v>
          </cell>
        </row>
        <row r="115">
          <cell r="F115">
            <v>0.63924062482707589</v>
          </cell>
        </row>
        <row r="116">
          <cell r="F116">
            <v>0.63790291021624901</v>
          </cell>
        </row>
        <row r="117">
          <cell r="F117">
            <v>0.64423761981879712</v>
          </cell>
        </row>
        <row r="118">
          <cell r="F118">
            <v>0.61035868763542367</v>
          </cell>
        </row>
        <row r="119">
          <cell r="F119">
            <v>0.61486840255734632</v>
          </cell>
        </row>
        <row r="120">
          <cell r="F120">
            <v>0.61748175149606643</v>
          </cell>
        </row>
      </sheetData>
      <sheetData sheetId="2">
        <row r="7">
          <cell r="M7">
            <v>1215.8791134311825</v>
          </cell>
        </row>
        <row r="17">
          <cell r="M17">
            <v>1335.6206356655423</v>
          </cell>
        </row>
        <row r="22">
          <cell r="M22">
            <v>1529.0568617666609</v>
          </cell>
        </row>
        <row r="23">
          <cell r="M23">
            <v>1707.9912750395513</v>
          </cell>
        </row>
        <row r="24">
          <cell r="M24">
            <v>2167.0079749792803</v>
          </cell>
        </row>
        <row r="25">
          <cell r="M25">
            <v>2657.3844172069435</v>
          </cell>
        </row>
        <row r="26">
          <cell r="M26">
            <v>3406.2544341900502</v>
          </cell>
        </row>
        <row r="27">
          <cell r="M27">
            <v>4541.239163295475</v>
          </cell>
        </row>
        <row r="28">
          <cell r="M28">
            <v>4585.4451833715557</v>
          </cell>
        </row>
        <row r="29">
          <cell r="M29">
            <v>4743.8584152067097</v>
          </cell>
        </row>
        <row r="30">
          <cell r="M30">
            <v>5231.5912472695236</v>
          </cell>
        </row>
        <row r="31">
          <cell r="M31">
            <v>5965.1109887355942</v>
          </cell>
        </row>
        <row r="32">
          <cell r="M32">
            <v>6392.2573046613597</v>
          </cell>
        </row>
        <row r="33">
          <cell r="M33">
            <v>7533.4918100191207</v>
          </cell>
        </row>
        <row r="34">
          <cell r="M34">
            <v>7603.8647543132465</v>
          </cell>
        </row>
        <row r="35">
          <cell r="M35">
            <v>8140.5975725487797</v>
          </cell>
        </row>
        <row r="36">
          <cell r="M36">
            <v>8778.9067018862897</v>
          </cell>
        </row>
        <row r="37">
          <cell r="M37">
            <v>9051.6931555075171</v>
          </cell>
        </row>
        <row r="38">
          <cell r="M38">
            <v>8396.885687854754</v>
          </cell>
        </row>
        <row r="39">
          <cell r="M39">
            <v>7541.1387773544739</v>
          </cell>
        </row>
        <row r="40">
          <cell r="M40">
            <v>7226.3934659253682</v>
          </cell>
        </row>
        <row r="41">
          <cell r="M41">
            <v>6691.0595173414858</v>
          </cell>
        </row>
        <row r="42">
          <cell r="M42">
            <v>6440.5592894603014</v>
          </cell>
        </row>
        <row r="43">
          <cell r="M43">
            <v>7221.3604035551252</v>
          </cell>
        </row>
        <row r="44">
          <cell r="M44">
            <v>8654.8385454262843</v>
          </cell>
        </row>
        <row r="45">
          <cell r="M45">
            <v>9544.3219217750175</v>
          </cell>
        </row>
        <row r="46">
          <cell r="M46">
            <v>10146.146933067055</v>
          </cell>
        </row>
        <row r="47">
          <cell r="M47">
            <v>9170.5454965233603</v>
          </cell>
        </row>
        <row r="48">
          <cell r="M48">
            <v>11784.97517264508</v>
          </cell>
        </row>
        <row r="49">
          <cell r="M49">
            <v>15725.75586490549</v>
          </cell>
        </row>
        <row r="50">
          <cell r="M50">
            <v>19550.707395629834</v>
          </cell>
        </row>
        <row r="51">
          <cell r="M51">
            <v>24123.090021425607</v>
          </cell>
        </row>
        <row r="52">
          <cell r="M52">
            <v>43982.700044470155</v>
          </cell>
        </row>
        <row r="53">
          <cell r="M53">
            <v>68636.517781170493</v>
          </cell>
        </row>
        <row r="54">
          <cell r="M54">
            <v>89254.631589527198</v>
          </cell>
        </row>
        <row r="55">
          <cell r="M55">
            <v>151378.18780649625</v>
          </cell>
        </row>
        <row r="56">
          <cell r="M56">
            <v>291.06057751029397</v>
          </cell>
        </row>
        <row r="57">
          <cell r="M57">
            <v>337.3516019445895</v>
          </cell>
        </row>
        <row r="58">
          <cell r="M58">
            <v>420.2061930992171</v>
          </cell>
        </row>
        <row r="59">
          <cell r="M59">
            <v>491.14101914003879</v>
          </cell>
        </row>
        <row r="60">
          <cell r="M60">
            <v>474.06047482809873</v>
          </cell>
        </row>
        <row r="61">
          <cell r="M61">
            <v>472.73137670756199</v>
          </cell>
        </row>
        <row r="62">
          <cell r="M62">
            <v>508.61460067577462</v>
          </cell>
        </row>
        <row r="63">
          <cell r="M63">
            <v>557.82188757315259</v>
          </cell>
        </row>
        <row r="64">
          <cell r="M64">
            <v>620.62260461080996</v>
          </cell>
        </row>
        <row r="65">
          <cell r="M65">
            <v>706.41238613498433</v>
          </cell>
        </row>
        <row r="66">
          <cell r="M66">
            <v>709.21998015738234</v>
          </cell>
        </row>
        <row r="67">
          <cell r="M67">
            <v>771.29953774802061</v>
          </cell>
        </row>
        <row r="68">
          <cell r="M68">
            <v>837.93995928128072</v>
          </cell>
        </row>
        <row r="69">
          <cell r="M69">
            <v>943.54840156658815</v>
          </cell>
        </row>
        <row r="70">
          <cell r="M70">
            <v>1031.3786135335831</v>
          </cell>
        </row>
        <row r="71">
          <cell r="M71">
            <v>1119.6756359773915</v>
          </cell>
        </row>
        <row r="72">
          <cell r="M72">
            <v>1198.7532708108138</v>
          </cell>
        </row>
        <row r="73">
          <cell r="M73">
            <v>1288.1190938941193</v>
          </cell>
        </row>
        <row r="74">
          <cell r="M74">
            <v>1396.0694103649905</v>
          </cell>
        </row>
        <row r="75">
          <cell r="M75">
            <v>1532.9927276954763</v>
          </cell>
        </row>
        <row r="76">
          <cell r="M76">
            <v>1708.7352734818489</v>
          </cell>
        </row>
        <row r="77">
          <cell r="M77">
            <v>1930.2133813568876</v>
          </cell>
        </row>
        <row r="78">
          <cell r="M78">
            <v>2116.4749162224562</v>
          </cell>
        </row>
        <row r="79">
          <cell r="M79">
            <v>2336.8099906322182</v>
          </cell>
        </row>
        <row r="80">
          <cell r="M80">
            <v>2614.5713969349663</v>
          </cell>
        </row>
        <row r="81">
          <cell r="M81">
            <v>3030.4969048976063</v>
          </cell>
        </row>
        <row r="82">
          <cell r="M82">
            <v>3479.7433963922513</v>
          </cell>
        </row>
        <row r="83">
          <cell r="M83">
            <v>3993.3369675444142</v>
          </cell>
        </row>
        <row r="84">
          <cell r="M84">
            <v>4528.0969370409957</v>
          </cell>
        </row>
        <row r="85">
          <cell r="M85">
            <v>5134.8448563177681</v>
          </cell>
        </row>
        <row r="86">
          <cell r="M86">
            <v>5801.8848498433226</v>
          </cell>
        </row>
        <row r="87">
          <cell r="M87">
            <v>6580.1116842861011</v>
          </cell>
        </row>
        <row r="88">
          <cell r="M88">
            <v>7465.7205357553148</v>
          </cell>
        </row>
        <row r="89">
          <cell r="M89">
            <v>8433.0011456296252</v>
          </cell>
        </row>
        <row r="90">
          <cell r="M90">
            <v>9222.1723465908781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tabSelected="1" zoomScale="110" zoomScaleNormal="110" zoomScalePageLayoutView="110" workbookViewId="0"/>
  </sheetViews>
  <sheetFormatPr baseColWidth="10" defaultRowHeight="15.6" x14ac:dyDescent="0.3"/>
  <cols>
    <col min="1" max="5" width="12.69921875" customWidth="1"/>
    <col min="6" max="6" width="19.69921875" customWidth="1"/>
    <col min="7" max="30" width="12.69921875" customWidth="1"/>
  </cols>
  <sheetData>
    <row r="1" spans="1:27" x14ac:dyDescent="0.3">
      <c r="A1" s="23" t="s">
        <v>261</v>
      </c>
      <c r="C1" s="23" t="s">
        <v>265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16.2" thickBot="1" x14ac:dyDescent="0.35">
      <c r="A2" s="23"/>
      <c r="B2" s="2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45" customHeight="1" thickBot="1" x14ac:dyDescent="0.35">
      <c r="A3" s="33" t="s">
        <v>9</v>
      </c>
      <c r="B3" s="34" t="s">
        <v>9</v>
      </c>
      <c r="C3" s="33" t="s">
        <v>24</v>
      </c>
      <c r="D3" s="34" t="s">
        <v>25</v>
      </c>
      <c r="E3" s="33" t="s">
        <v>30</v>
      </c>
      <c r="F3" s="34" t="s">
        <v>39</v>
      </c>
      <c r="G3" s="24"/>
      <c r="H3" s="25"/>
      <c r="I3" s="26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ht="45" customHeight="1" thickBot="1" x14ac:dyDescent="0.35">
      <c r="A4" s="33" t="s">
        <v>12</v>
      </c>
      <c r="B4" s="42" t="s">
        <v>17</v>
      </c>
      <c r="C4" s="24" t="s">
        <v>15</v>
      </c>
      <c r="D4" s="25" t="s">
        <v>23</v>
      </c>
      <c r="E4" s="33" t="s">
        <v>26</v>
      </c>
      <c r="F4" s="34" t="s">
        <v>27</v>
      </c>
      <c r="G4" s="13"/>
      <c r="H4" s="13"/>
      <c r="I4" s="26"/>
      <c r="J4" s="13"/>
      <c r="K4" s="13"/>
      <c r="L4" s="43" t="s">
        <v>45</v>
      </c>
      <c r="M4" s="34" t="s">
        <v>47</v>
      </c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x14ac:dyDescent="0.3">
      <c r="A5" s="35" t="s">
        <v>11</v>
      </c>
      <c r="B5" s="36" t="s">
        <v>13</v>
      </c>
      <c r="C5" s="37" t="s">
        <v>8</v>
      </c>
      <c r="D5" s="37" t="s">
        <v>14</v>
      </c>
      <c r="E5" s="41" t="s">
        <v>18</v>
      </c>
      <c r="F5" s="13"/>
      <c r="G5" s="13"/>
      <c r="H5" s="27" t="s">
        <v>31</v>
      </c>
      <c r="I5" s="27" t="s">
        <v>32</v>
      </c>
      <c r="J5" s="27" t="s">
        <v>16</v>
      </c>
      <c r="K5" s="27" t="s">
        <v>19</v>
      </c>
      <c r="L5" s="27" t="s">
        <v>44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 x14ac:dyDescent="0.3">
      <c r="A6" s="75" t="s">
        <v>38</v>
      </c>
      <c r="B6" s="77" t="s">
        <v>22</v>
      </c>
      <c r="C6" s="74" t="s">
        <v>20</v>
      </c>
      <c r="D6" s="74" t="s">
        <v>36</v>
      </c>
      <c r="E6" s="76" t="s">
        <v>37</v>
      </c>
      <c r="F6" s="13"/>
      <c r="G6" s="13"/>
      <c r="H6" s="72" t="s">
        <v>42</v>
      </c>
      <c r="I6" s="73" t="s">
        <v>43</v>
      </c>
      <c r="J6" s="72" t="s">
        <v>33</v>
      </c>
      <c r="K6" s="73" t="s">
        <v>21</v>
      </c>
      <c r="L6" s="74" t="s">
        <v>48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x14ac:dyDescent="0.3">
      <c r="A7" s="75"/>
      <c r="B7" s="77"/>
      <c r="C7" s="74"/>
      <c r="D7" s="74"/>
      <c r="E7" s="76"/>
      <c r="F7" s="13"/>
      <c r="G7" s="13"/>
      <c r="H7" s="72"/>
      <c r="I7" s="73"/>
      <c r="J7" s="72"/>
      <c r="K7" s="73"/>
      <c r="L7" s="74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x14ac:dyDescent="0.3">
      <c r="A8" s="75"/>
      <c r="B8" s="77"/>
      <c r="C8" s="74"/>
      <c r="D8" s="74"/>
      <c r="E8" s="76"/>
      <c r="F8" s="13"/>
      <c r="G8" s="13"/>
      <c r="H8" s="72"/>
      <c r="I8" s="73"/>
      <c r="J8" s="72"/>
      <c r="K8" s="73"/>
      <c r="L8" s="74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x14ac:dyDescent="0.3">
      <c r="A9" s="75"/>
      <c r="B9" s="77"/>
      <c r="C9" s="74"/>
      <c r="D9" s="74"/>
      <c r="E9" s="76"/>
      <c r="F9" s="13"/>
      <c r="G9" s="13"/>
      <c r="H9" s="72"/>
      <c r="I9" s="73"/>
      <c r="J9" s="72"/>
      <c r="K9" s="73"/>
      <c r="L9" s="74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x14ac:dyDescent="0.3">
      <c r="A10" s="75"/>
      <c r="B10" s="77"/>
      <c r="C10" s="74"/>
      <c r="D10" s="74"/>
      <c r="E10" s="76"/>
      <c r="F10" s="13"/>
      <c r="G10" s="13"/>
      <c r="H10" s="72"/>
      <c r="I10" s="73"/>
      <c r="J10" s="72"/>
      <c r="K10" s="73"/>
      <c r="L10" s="74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x14ac:dyDescent="0.3">
      <c r="A11" s="75"/>
      <c r="B11" s="77"/>
      <c r="C11" s="74"/>
      <c r="D11" s="74"/>
      <c r="E11" s="76"/>
      <c r="F11" s="13"/>
      <c r="G11" s="13"/>
      <c r="H11" s="72"/>
      <c r="I11" s="73"/>
      <c r="J11" s="72"/>
      <c r="K11" s="73"/>
      <c r="L11" s="74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x14ac:dyDescent="0.3">
      <c r="A12" s="38" t="s">
        <v>28</v>
      </c>
      <c r="B12" s="39" t="s">
        <v>28</v>
      </c>
      <c r="C12" s="39" t="s">
        <v>28</v>
      </c>
      <c r="D12" s="39" t="s">
        <v>28</v>
      </c>
      <c r="E12" s="40" t="s">
        <v>28</v>
      </c>
      <c r="F12" s="13"/>
      <c r="G12" s="13"/>
      <c r="H12" s="26" t="s">
        <v>28</v>
      </c>
      <c r="I12" s="26" t="s">
        <v>28</v>
      </c>
      <c r="J12" s="26" t="s">
        <v>28</v>
      </c>
      <c r="K12" s="26" t="s">
        <v>28</v>
      </c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x14ac:dyDescent="0.3">
      <c r="A13" s="38" t="s">
        <v>28</v>
      </c>
      <c r="B13" s="39" t="s">
        <v>28</v>
      </c>
      <c r="C13" s="39" t="s">
        <v>28</v>
      </c>
      <c r="D13" s="39" t="s">
        <v>28</v>
      </c>
      <c r="E13" s="40" t="s">
        <v>28</v>
      </c>
      <c r="F13" s="13"/>
      <c r="G13" s="13"/>
      <c r="H13" s="26" t="s">
        <v>28</v>
      </c>
      <c r="I13" s="26" t="s">
        <v>28</v>
      </c>
      <c r="J13" s="26" t="s">
        <v>28</v>
      </c>
      <c r="K13" s="26" t="s">
        <v>28</v>
      </c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28"/>
      <c r="B14" s="29"/>
      <c r="C14" s="28"/>
      <c r="D14" s="28"/>
      <c r="E14" s="30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x14ac:dyDescent="0.3">
      <c r="A15" s="23" t="s">
        <v>10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x14ac:dyDescent="0.3">
      <c r="A16" s="13" t="s">
        <v>250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x14ac:dyDescent="0.3">
      <c r="A17" s="13" t="s">
        <v>35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x14ac:dyDescent="0.3">
      <c r="A18" s="13" t="s">
        <v>251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x14ac:dyDescent="0.3">
      <c r="A19" s="13" t="s">
        <v>252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x14ac:dyDescent="0.3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x14ac:dyDescent="0.3">
      <c r="A21" s="23" t="s">
        <v>255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x14ac:dyDescent="0.3">
      <c r="A22" s="13" t="s">
        <v>256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x14ac:dyDescent="0.3">
      <c r="A23" s="13" t="s">
        <v>263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x14ac:dyDescent="0.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x14ac:dyDescent="0.3">
      <c r="A25" s="23" t="s">
        <v>34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x14ac:dyDescent="0.3">
      <c r="A26" s="13" t="s">
        <v>264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x14ac:dyDescent="0.3">
      <c r="A27" s="13" t="s">
        <v>260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x14ac:dyDescent="0.3">
      <c r="A28" s="31" t="s">
        <v>254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x14ac:dyDescent="0.3">
      <c r="A29" s="13" t="s">
        <v>253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x14ac:dyDescent="0.3">
      <c r="A30" s="13" t="s">
        <v>46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x14ac:dyDescent="0.3">
      <c r="A31" s="13" t="s">
        <v>259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x14ac:dyDescent="0.3">
      <c r="A32" s="13" t="s">
        <v>258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x14ac:dyDescent="0.3">
      <c r="A33" s="32" t="s">
        <v>262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x14ac:dyDescent="0.3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x14ac:dyDescent="0.3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x14ac:dyDescent="0.3">
      <c r="A38" s="6"/>
    </row>
  </sheetData>
  <mergeCells count="10">
    <mergeCell ref="J6:J11"/>
    <mergeCell ref="K6:K11"/>
    <mergeCell ref="L6:L11"/>
    <mergeCell ref="A6:A11"/>
    <mergeCell ref="E6:E11"/>
    <mergeCell ref="I6:I11"/>
    <mergeCell ref="H6:H11"/>
    <mergeCell ref="D6:D11"/>
    <mergeCell ref="C6:C11"/>
    <mergeCell ref="B6:B1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G12" sqref="G12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1921</v>
      </c>
      <c r="C1" s="8" t="s">
        <v>24</v>
      </c>
      <c r="D1" s="10">
        <f>1000*[1]TD1!$C$28</f>
        <v>15323121.536615973</v>
      </c>
      <c r="E1" s="8" t="s">
        <v>30</v>
      </c>
      <c r="F1" s="21">
        <f>(SUMPRODUCT(D4:D14,H4:H14,I4:I14)/(D2*B2))/((1-SUMPRODUCT(D4:D14,H4:H14,I4:I14)/B2)/(1-D2))</f>
        <v>0.74372682463239803</v>
      </c>
      <c r="G1" s="19"/>
      <c r="H1" s="16"/>
    </row>
    <row r="2" spans="1:12" x14ac:dyDescent="0.3">
      <c r="A2" s="8" t="s">
        <v>12</v>
      </c>
      <c r="B2" s="11">
        <f>[1]TD2!$M$28</f>
        <v>4585.4451833715557</v>
      </c>
      <c r="C2" s="8" t="s">
        <v>15</v>
      </c>
      <c r="D2" s="14">
        <f>[1]TD1!$F$28</f>
        <v>0.20883105213692965</v>
      </c>
      <c r="E2" s="18" t="s">
        <v>26</v>
      </c>
      <c r="I2" s="8"/>
      <c r="L2" s="14">
        <f>D2</f>
        <v>0.20883105213692965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0.23287480094480598</v>
      </c>
      <c r="E4" s="14"/>
      <c r="F4" s="8"/>
      <c r="G4" s="8"/>
      <c r="H4" s="17">
        <f>((1-B4)*B2-(1-B5)*C5*A5)/(B5-B4)</f>
        <v>2700.5652705774792</v>
      </c>
      <c r="I4" s="18">
        <f t="shared" ref="I4" si="0">B5-B4</f>
        <v>0.81904959678649902</v>
      </c>
      <c r="L4" s="14"/>
    </row>
    <row r="5" spans="1:12" x14ac:dyDescent="0.3">
      <c r="A5" s="11">
        <v>6000</v>
      </c>
      <c r="B5" s="12">
        <v>0.81904959678649902</v>
      </c>
      <c r="C5" s="12">
        <v>2.1861867904663086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7875.8255197206436</v>
      </c>
      <c r="I5" s="18">
        <f t="shared" ref="I5:I13" si="3">B6-B5</f>
        <v>0.12848049402236938</v>
      </c>
      <c r="L5" s="14">
        <v>0.1</v>
      </c>
    </row>
    <row r="6" spans="1:12" x14ac:dyDescent="0.3">
      <c r="A6" s="11">
        <v>10000</v>
      </c>
      <c r="B6" s="12">
        <v>0.94753009080886841</v>
      </c>
      <c r="C6" s="12">
        <v>2.5951223373413086</v>
      </c>
      <c r="D6" s="14">
        <f t="shared" si="1"/>
        <v>0.1</v>
      </c>
      <c r="E6" s="14"/>
      <c r="F6" s="8"/>
      <c r="G6" s="8"/>
      <c r="H6" s="17">
        <f t="shared" si="2"/>
        <v>14132.158614225289</v>
      </c>
      <c r="I6" s="18">
        <f t="shared" si="3"/>
        <v>3.5749554634094238E-2</v>
      </c>
      <c r="L6" s="14">
        <v>0.1</v>
      </c>
    </row>
    <row r="7" spans="1:12" x14ac:dyDescent="0.3">
      <c r="A7" s="11">
        <v>20000</v>
      </c>
      <c r="B7" s="12">
        <v>0.98327964544296265</v>
      </c>
      <c r="C7" s="12">
        <v>2.5610699653625488</v>
      </c>
      <c r="D7" s="14">
        <f t="shared" si="1"/>
        <v>0.1</v>
      </c>
      <c r="E7" s="14"/>
      <c r="G7" s="50"/>
      <c r="H7" s="17">
        <f t="shared" si="2"/>
        <v>24479.99161801935</v>
      </c>
      <c r="I7" s="18">
        <f t="shared" si="3"/>
        <v>7.9794526100158691E-3</v>
      </c>
      <c r="L7" s="14">
        <v>0.1</v>
      </c>
    </row>
    <row r="8" spans="1:12" x14ac:dyDescent="0.3">
      <c r="A8" s="11">
        <v>30000</v>
      </c>
      <c r="B8" s="12">
        <v>0.99125909805297852</v>
      </c>
      <c r="C8" s="12">
        <v>2.5211091041564941</v>
      </c>
      <c r="D8" s="14">
        <f t="shared" si="1"/>
        <v>0.1</v>
      </c>
      <c r="E8" s="14"/>
      <c r="G8" s="50"/>
      <c r="H8" s="17">
        <f t="shared" si="2"/>
        <v>38638.197459477778</v>
      </c>
      <c r="I8" s="18">
        <f t="shared" si="3"/>
        <v>4.7675371170043945E-3</v>
      </c>
      <c r="L8" s="14">
        <v>0.1</v>
      </c>
    </row>
    <row r="9" spans="1:12" x14ac:dyDescent="0.3">
      <c r="A9" s="11">
        <v>50000</v>
      </c>
      <c r="B9" s="12">
        <v>0.99602663516998291</v>
      </c>
      <c r="C9" s="12">
        <v>2.400454044342041</v>
      </c>
      <c r="D9" s="14">
        <f t="shared" si="1"/>
        <v>0.1</v>
      </c>
      <c r="E9" s="14"/>
      <c r="G9" s="50"/>
      <c r="H9" s="17">
        <f t="shared" si="2"/>
        <v>68803.027244714584</v>
      </c>
      <c r="I9" s="18">
        <f t="shared" si="3"/>
        <v>2.6345252990722656E-3</v>
      </c>
      <c r="L9" s="14">
        <v>0.1</v>
      </c>
    </row>
    <row r="10" spans="1:12" x14ac:dyDescent="0.3">
      <c r="A10" s="11">
        <v>100000</v>
      </c>
      <c r="B10" s="12">
        <v>0.99866116046905518</v>
      </c>
      <c r="C10" s="12">
        <v>2.2081112861633301</v>
      </c>
      <c r="D10" s="14">
        <f t="shared" si="1"/>
        <v>0.1</v>
      </c>
      <c r="E10" s="14"/>
      <c r="G10" s="50"/>
      <c r="H10" s="17">
        <f t="shared" si="2"/>
        <v>137541.55857557635</v>
      </c>
      <c r="I10" s="18">
        <f t="shared" si="3"/>
        <v>9.2357397079467773E-4</v>
      </c>
      <c r="L10" s="14">
        <v>0.1</v>
      </c>
    </row>
    <row r="11" spans="1:12" x14ac:dyDescent="0.3">
      <c r="A11" s="11">
        <v>200000</v>
      </c>
      <c r="B11" s="12">
        <v>0.99958473443984985</v>
      </c>
      <c r="C11" s="12">
        <v>2.0300366878509521</v>
      </c>
      <c r="D11" s="14">
        <f t="shared" si="1"/>
        <v>0.1</v>
      </c>
      <c r="E11" s="14"/>
      <c r="G11" s="50"/>
      <c r="H11" s="17">
        <f t="shared" si="2"/>
        <v>240800.14799270162</v>
      </c>
      <c r="I11" s="18">
        <f t="shared" si="3"/>
        <v>2.2345781326293945E-4</v>
      </c>
      <c r="L11" s="14">
        <v>0.1</v>
      </c>
    </row>
    <row r="12" spans="1:12" x14ac:dyDescent="0.3">
      <c r="A12" s="11">
        <v>300000</v>
      </c>
      <c r="B12" s="12">
        <v>0.99980819225311279</v>
      </c>
      <c r="C12" s="12">
        <v>1.9949175119400024</v>
      </c>
      <c r="D12" s="14">
        <f t="shared" si="1"/>
        <v>0.1</v>
      </c>
      <c r="E12" s="14"/>
      <c r="G12" s="50"/>
      <c r="H12" s="17">
        <f t="shared" si="2"/>
        <v>378313.80322999676</v>
      </c>
      <c r="I12" s="18">
        <f t="shared" si="3"/>
        <v>1.2356042861938477E-4</v>
      </c>
      <c r="L12" s="14">
        <v>0.1</v>
      </c>
    </row>
    <row r="13" spans="1:12" x14ac:dyDescent="0.3">
      <c r="A13" s="11">
        <v>500000</v>
      </c>
      <c r="B13" s="12">
        <v>0.99993175268173218</v>
      </c>
      <c r="C13" s="12">
        <v>1.994146466255188</v>
      </c>
      <c r="D13" s="14">
        <f t="shared" si="1"/>
        <v>0.1</v>
      </c>
      <c r="E13" s="14"/>
      <c r="G13" s="50"/>
      <c r="H13" s="17">
        <f t="shared" si="2"/>
        <v>673316.94265206659</v>
      </c>
      <c r="I13" s="18">
        <f t="shared" si="3"/>
        <v>5.3644180297851563E-5</v>
      </c>
      <c r="L13" s="14">
        <v>0.1</v>
      </c>
    </row>
    <row r="14" spans="1:12" x14ac:dyDescent="0.3">
      <c r="A14" s="17">
        <v>1000000</v>
      </c>
      <c r="B14" s="18">
        <v>0.99998539686203003</v>
      </c>
      <c r="C14" s="18">
        <v>2.1863820552825928</v>
      </c>
      <c r="D14" s="14">
        <f t="shared" si="1"/>
        <v>0.1</v>
      </c>
      <c r="E14" s="14"/>
      <c r="G14" s="50"/>
      <c r="H14" s="17">
        <f>C14*A14</f>
        <v>2186382.0552825928</v>
      </c>
      <c r="I14" s="18">
        <f>1-B14</f>
        <v>1.4603137969970703E-5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zoomScale="120" zoomScaleNormal="120" zoomScalePageLayoutView="120" workbookViewId="0"/>
  </sheetViews>
  <sheetFormatPr baseColWidth="10" defaultRowHeight="15.6" x14ac:dyDescent="0.3"/>
  <cols>
    <col min="1" max="12" width="12.5" customWidth="1"/>
  </cols>
  <sheetData>
    <row r="1" spans="1:12" x14ac:dyDescent="0.3">
      <c r="A1" s="8" t="s">
        <v>9</v>
      </c>
      <c r="B1" s="8">
        <v>2011</v>
      </c>
      <c r="C1" s="8" t="s">
        <v>24</v>
      </c>
      <c r="D1" s="10">
        <v>36389256</v>
      </c>
      <c r="E1" s="8" t="s">
        <v>30</v>
      </c>
      <c r="F1" s="21">
        <f>(SUMPRODUCT(D4:D28,H4:H28,I4:I28)/(D2*B2))/((1-SUMPRODUCT(D4:D28,H4:H28,I4:I28)/B2)/(1-D2))</f>
        <v>0.4167062305682015</v>
      </c>
      <c r="G1" s="8"/>
    </row>
    <row r="2" spans="1:12" x14ac:dyDescent="0.3">
      <c r="A2" s="8" t="s">
        <v>12</v>
      </c>
      <c r="B2" s="11">
        <v>25093.338698488365</v>
      </c>
      <c r="C2" s="8" t="s">
        <v>15</v>
      </c>
      <c r="D2" s="14">
        <f>[1]TD1!$F$118</f>
        <v>0.61035868763542367</v>
      </c>
      <c r="E2" s="8" t="s">
        <v>26</v>
      </c>
      <c r="F2" s="8"/>
      <c r="G2" s="8"/>
      <c r="L2" s="14">
        <f>SUMPRODUCT(I4:I28,L4:L28)</f>
        <v>0.61448981535122493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11">
        <v>0</v>
      </c>
      <c r="B4" s="12">
        <v>0</v>
      </c>
      <c r="C4" s="12"/>
      <c r="D4" s="14">
        <f t="shared" ref="D4:D28" si="0">L4*D$2/L$2</f>
        <v>0.83754974961026674</v>
      </c>
      <c r="E4" s="12"/>
      <c r="F4" s="12"/>
      <c r="G4" s="12"/>
      <c r="H4" s="17">
        <f>((1-B4)*B2-(1-B5)*C5*A5)/(B5-B4)</f>
        <v>4551.0726175267055</v>
      </c>
      <c r="I4" s="18">
        <f t="shared" ref="I4:I15" si="1">B5-B4</f>
        <v>0.24404597282409668</v>
      </c>
      <c r="L4" s="14">
        <v>0.84321858836700148</v>
      </c>
    </row>
    <row r="5" spans="1:12" x14ac:dyDescent="0.3">
      <c r="A5" s="11">
        <v>10000</v>
      </c>
      <c r="B5" s="12">
        <v>0.24404597282409668</v>
      </c>
      <c r="C5" s="12">
        <v>3.1725034713745117</v>
      </c>
      <c r="D5" s="14">
        <f t="shared" si="0"/>
        <v>0.84084903385760401</v>
      </c>
      <c r="E5" s="12"/>
      <c r="F5" s="12"/>
      <c r="G5" s="12"/>
      <c r="H5" s="17">
        <f t="shared" ref="H5:H15" si="2">((1-B5)*C5*A5-(1-B6)*C6*A6)/(B6-B5)</f>
        <v>11017.324577854659</v>
      </c>
      <c r="I5" s="18">
        <f t="shared" si="1"/>
        <v>6.1520695686340332E-2</v>
      </c>
      <c r="L5" s="14">
        <v>0.84654020335996838</v>
      </c>
    </row>
    <row r="6" spans="1:12" x14ac:dyDescent="0.3">
      <c r="A6" s="11">
        <v>12000</v>
      </c>
      <c r="B6" s="12">
        <v>0.30556666851043701</v>
      </c>
      <c r="C6" s="12">
        <v>2.7966296672821045</v>
      </c>
      <c r="D6" s="14">
        <f t="shared" si="0"/>
        <v>0.84084903385760401</v>
      </c>
      <c r="E6" s="12"/>
      <c r="F6" s="12"/>
      <c r="G6" s="12"/>
      <c r="H6" s="17">
        <f t="shared" si="2"/>
        <v>13606.288623597295</v>
      </c>
      <c r="I6" s="18">
        <f t="shared" si="1"/>
        <v>9.994429349899292E-2</v>
      </c>
      <c r="L6" s="14">
        <v>0.84654020335996838</v>
      </c>
    </row>
    <row r="7" spans="1:12" x14ac:dyDescent="0.3">
      <c r="A7" s="11">
        <v>15000</v>
      </c>
      <c r="B7" s="12">
        <v>0.40551096200942993</v>
      </c>
      <c r="C7" s="12">
        <v>2.4609372615814209</v>
      </c>
      <c r="D7" s="14">
        <f t="shared" si="0"/>
        <v>0.73484325155950658</v>
      </c>
      <c r="E7" s="12"/>
      <c r="F7" s="12"/>
      <c r="G7" s="12"/>
      <c r="H7" s="17">
        <f t="shared" si="2"/>
        <v>17343.789737599924</v>
      </c>
      <c r="I7" s="18">
        <f t="shared" si="1"/>
        <v>0.15879732370376587</v>
      </c>
      <c r="L7" s="14">
        <v>0.73981693569767737</v>
      </c>
    </row>
    <row r="8" spans="1:12" x14ac:dyDescent="0.3">
      <c r="A8" s="11">
        <v>20000</v>
      </c>
      <c r="B8" s="12">
        <v>0.5643082857131958</v>
      </c>
      <c r="C8" s="12">
        <v>2.2023434638977051</v>
      </c>
      <c r="D8" s="14">
        <f t="shared" si="0"/>
        <v>0.55118959805019563</v>
      </c>
      <c r="E8" s="12"/>
      <c r="F8" s="12"/>
      <c r="G8" s="12"/>
      <c r="H8" s="17">
        <f t="shared" si="2"/>
        <v>24605.622050858092</v>
      </c>
      <c r="I8" s="18">
        <f t="shared" si="1"/>
        <v>0.17741543054580688</v>
      </c>
      <c r="L8" s="14">
        <v>0.5549202480291251</v>
      </c>
    </row>
    <row r="9" spans="1:12" x14ac:dyDescent="0.3">
      <c r="A9" s="11">
        <v>30000</v>
      </c>
      <c r="B9" s="12">
        <v>0.74172371625900269</v>
      </c>
      <c r="C9" s="12">
        <v>1.9133824110031128</v>
      </c>
      <c r="D9" s="14">
        <f t="shared" si="0"/>
        <v>0.25730669122698735</v>
      </c>
      <c r="E9" s="12"/>
      <c r="F9" s="12"/>
      <c r="G9" s="12"/>
      <c r="H9" s="17">
        <f t="shared" si="2"/>
        <v>38123.665471908345</v>
      </c>
      <c r="I9" s="18">
        <f t="shared" si="1"/>
        <v>0.16407924890518188</v>
      </c>
      <c r="L9" s="14">
        <v>0.2590482357075074</v>
      </c>
    </row>
    <row r="10" spans="1:12" x14ac:dyDescent="0.3">
      <c r="A10" s="11">
        <v>50000</v>
      </c>
      <c r="B10" s="12">
        <v>0.90580296516418457</v>
      </c>
      <c r="C10" s="12">
        <v>1.8196191787719727</v>
      </c>
      <c r="D10" s="14">
        <f t="shared" si="0"/>
        <v>0.14322100365193011</v>
      </c>
      <c r="E10" s="12"/>
      <c r="F10" s="12"/>
      <c r="G10" s="12"/>
      <c r="H10" s="17">
        <f t="shared" si="2"/>
        <v>65618.267645450571</v>
      </c>
      <c r="I10" s="18">
        <f t="shared" si="1"/>
        <v>7.6321065425872803E-2</v>
      </c>
      <c r="L10" s="14">
        <v>0.14419037505542978</v>
      </c>
    </row>
    <row r="11" spans="1:12" x14ac:dyDescent="0.3">
      <c r="A11" s="11">
        <v>100000</v>
      </c>
      <c r="B11" s="12">
        <v>0.98212403059005737</v>
      </c>
      <c r="C11" s="12">
        <v>1.9926642179489136</v>
      </c>
      <c r="D11" s="14">
        <f t="shared" si="0"/>
        <v>0.14322100365193011</v>
      </c>
      <c r="E11" s="12"/>
      <c r="F11" s="12"/>
      <c r="G11" s="12"/>
      <c r="H11" s="17">
        <f t="shared" si="2"/>
        <v>131557.06272528321</v>
      </c>
      <c r="I11" s="18">
        <f t="shared" si="1"/>
        <v>1.3996660709381104E-2</v>
      </c>
      <c r="L11" s="14">
        <v>0.14419037505542978</v>
      </c>
    </row>
    <row r="12" spans="1:12" x14ac:dyDescent="0.3">
      <c r="A12" s="11">
        <v>200000</v>
      </c>
      <c r="B12" s="12">
        <v>0.99612069129943848</v>
      </c>
      <c r="C12" s="12">
        <v>2.2178189754486084</v>
      </c>
      <c r="D12" s="14">
        <f t="shared" si="0"/>
        <v>0.14322100365193011</v>
      </c>
      <c r="E12" s="12"/>
      <c r="F12" s="12"/>
      <c r="G12" s="12"/>
      <c r="H12" s="17">
        <f t="shared" si="2"/>
        <v>239483.77604996643</v>
      </c>
      <c r="I12" s="18">
        <f t="shared" si="1"/>
        <v>2.1368265151977539E-3</v>
      </c>
      <c r="L12" s="14">
        <v>0.14419037505542978</v>
      </c>
    </row>
    <row r="13" spans="1:12" x14ac:dyDescent="0.3">
      <c r="A13" s="11">
        <v>300000</v>
      </c>
      <c r="B13" s="12">
        <v>0.99825751781463623</v>
      </c>
      <c r="C13" s="12">
        <v>2.3127651214599609</v>
      </c>
      <c r="D13" s="14">
        <f t="shared" si="0"/>
        <v>0.14322100365193011</v>
      </c>
      <c r="E13" s="12"/>
      <c r="F13" s="12"/>
      <c r="G13" s="12"/>
      <c r="H13" s="17">
        <f t="shared" si="2"/>
        <v>342708.31023677863</v>
      </c>
      <c r="I13" s="18">
        <f t="shared" si="1"/>
        <v>7.2455406188964844E-4</v>
      </c>
      <c r="L13" s="14">
        <v>0.14419037505542978</v>
      </c>
    </row>
    <row r="14" spans="1:12" x14ac:dyDescent="0.3">
      <c r="A14" s="11">
        <v>400000</v>
      </c>
      <c r="B14" s="12">
        <v>0.99898207187652588</v>
      </c>
      <c r="C14" s="12">
        <v>2.3593878746032715</v>
      </c>
      <c r="D14" s="14">
        <f t="shared" si="0"/>
        <v>0.14322100365193011</v>
      </c>
      <c r="E14" s="12"/>
      <c r="F14" s="12"/>
      <c r="G14" s="12"/>
      <c r="H14" s="17">
        <f t="shared" si="2"/>
        <v>444824.71561330807</v>
      </c>
      <c r="I14" s="18">
        <f t="shared" si="1"/>
        <v>3.3742189407348633E-4</v>
      </c>
      <c r="L14" s="14">
        <v>0.14419037505542978</v>
      </c>
    </row>
    <row r="15" spans="1:12" x14ac:dyDescent="0.3">
      <c r="A15" s="11">
        <v>500000</v>
      </c>
      <c r="B15" s="12">
        <v>0.99931949377059937</v>
      </c>
      <c r="C15" s="12">
        <v>2.3822891712188721</v>
      </c>
      <c r="D15" s="14">
        <f t="shared" si="0"/>
        <v>0.14322100365193011</v>
      </c>
      <c r="E15" s="12"/>
      <c r="F15" s="12"/>
      <c r="G15" s="12"/>
      <c r="H15" s="17">
        <f t="shared" si="2"/>
        <v>545912.19973802334</v>
      </c>
      <c r="I15" s="18">
        <f t="shared" si="1"/>
        <v>1.8495321273803711E-4</v>
      </c>
      <c r="L15" s="14">
        <v>0.14419037505542978</v>
      </c>
    </row>
    <row r="16" spans="1:12" x14ac:dyDescent="0.3">
      <c r="A16" s="11">
        <v>600000</v>
      </c>
      <c r="B16" s="12">
        <v>0.9995044469833374</v>
      </c>
      <c r="C16" s="12">
        <v>2.3866033554077148</v>
      </c>
      <c r="D16" s="14">
        <f t="shared" si="0"/>
        <v>0.14322100365193011</v>
      </c>
      <c r="E16" s="12"/>
      <c r="F16" s="12"/>
      <c r="G16" s="12"/>
      <c r="H16" s="17">
        <f t="shared" ref="H16:H27" si="3">((1-B16)*C16*A16-(1-B17)*C17*A17)/(B17-B16)</f>
        <v>645956.11863652524</v>
      </c>
      <c r="I16" s="18">
        <f t="shared" ref="I16:I27" si="4">B17-B16</f>
        <v>1.1616945266723633E-4</v>
      </c>
      <c r="L16" s="14">
        <v>0.14419037505542978</v>
      </c>
    </row>
    <row r="17" spans="1:12" x14ac:dyDescent="0.3">
      <c r="A17" s="11">
        <v>700000</v>
      </c>
      <c r="B17" s="12">
        <v>0.99962061643600464</v>
      </c>
      <c r="C17" s="12">
        <v>2.3894879817962646</v>
      </c>
      <c r="D17" s="14">
        <f t="shared" si="0"/>
        <v>0.14322100365193011</v>
      </c>
      <c r="E17" s="12"/>
      <c r="F17" s="12"/>
      <c r="G17" s="12"/>
      <c r="H17" s="17">
        <f t="shared" si="3"/>
        <v>746848.06101440638</v>
      </c>
      <c r="I17" s="18">
        <f t="shared" si="4"/>
        <v>7.6770782470703125E-5</v>
      </c>
      <c r="L17" s="14">
        <v>0.14419037505542978</v>
      </c>
    </row>
    <row r="18" spans="1:12" x14ac:dyDescent="0.3">
      <c r="A18" s="11">
        <v>800000</v>
      </c>
      <c r="B18" s="12">
        <v>0.99969738721847534</v>
      </c>
      <c r="C18" s="12">
        <v>2.3843863010406494</v>
      </c>
      <c r="D18" s="14">
        <f t="shared" si="0"/>
        <v>0.14322100365193011</v>
      </c>
      <c r="E18" s="12"/>
      <c r="F18" s="12"/>
      <c r="G18" s="12"/>
      <c r="H18" s="17">
        <f t="shared" si="3"/>
        <v>847185.1358553468</v>
      </c>
      <c r="I18" s="18">
        <f t="shared" si="4"/>
        <v>5.2869319915771484E-5</v>
      </c>
      <c r="L18" s="14">
        <v>0.14419037505542978</v>
      </c>
    </row>
    <row r="19" spans="1:12" x14ac:dyDescent="0.3">
      <c r="A19" s="11">
        <v>900000</v>
      </c>
      <c r="B19" s="12">
        <v>0.99975025653839111</v>
      </c>
      <c r="C19" s="12">
        <v>2.3688597679138184</v>
      </c>
      <c r="D19" s="14">
        <f t="shared" si="0"/>
        <v>0.14322100365193011</v>
      </c>
      <c r="E19" s="12"/>
      <c r="F19" s="12"/>
      <c r="G19" s="12"/>
      <c r="H19" s="17">
        <f t="shared" si="3"/>
        <v>946757.53953534237</v>
      </c>
      <c r="I19" s="18">
        <f t="shared" si="4"/>
        <v>4.0411949157714844E-5</v>
      </c>
      <c r="L19" s="14">
        <v>0.14419037505542978</v>
      </c>
    </row>
    <row r="20" spans="1:12" x14ac:dyDescent="0.3">
      <c r="A20" s="11">
        <v>1000000</v>
      </c>
      <c r="B20" s="12">
        <v>0.99979066848754883</v>
      </c>
      <c r="C20" s="12">
        <v>2.3607826232910156</v>
      </c>
      <c r="D20" s="14">
        <f t="shared" si="0"/>
        <v>0.14322100365193011</v>
      </c>
      <c r="E20" s="12"/>
      <c r="F20" s="12"/>
      <c r="G20" s="12"/>
      <c r="H20" s="17">
        <f t="shared" si="3"/>
        <v>1352069.6035293927</v>
      </c>
      <c r="I20" s="18">
        <f t="shared" si="4"/>
        <v>1.4334917068481445E-4</v>
      </c>
      <c r="L20" s="14">
        <v>0.14419037505542978</v>
      </c>
    </row>
    <row r="21" spans="1:12" x14ac:dyDescent="0.3">
      <c r="A21" s="11">
        <v>2000000</v>
      </c>
      <c r="B21" s="12">
        <v>0.99993401765823364</v>
      </c>
      <c r="C21" s="12">
        <v>2.2761251926422119</v>
      </c>
      <c r="D21" s="14">
        <f t="shared" si="0"/>
        <v>0.14322100365193011</v>
      </c>
      <c r="E21" s="12"/>
      <c r="F21" s="12"/>
      <c r="G21" s="12"/>
      <c r="H21" s="17">
        <f t="shared" si="3"/>
        <v>2405549.4383060732</v>
      </c>
      <c r="I21" s="18">
        <f t="shared" si="4"/>
        <v>3.2007694244384766E-5</v>
      </c>
      <c r="L21" s="14">
        <v>0.14419037505542978</v>
      </c>
    </row>
    <row r="22" spans="1:12" x14ac:dyDescent="0.3">
      <c r="A22" s="11">
        <v>3000000</v>
      </c>
      <c r="B22" s="12">
        <v>0.99996602535247803</v>
      </c>
      <c r="C22" s="12">
        <v>2.1915562152862549</v>
      </c>
      <c r="D22" s="14">
        <f t="shared" si="0"/>
        <v>0.14322100365193011</v>
      </c>
      <c r="E22" s="12"/>
      <c r="F22" s="12"/>
      <c r="G22" s="12"/>
      <c r="H22" s="17">
        <f t="shared" si="3"/>
        <v>3450097.3030221309</v>
      </c>
      <c r="I22" s="18">
        <f t="shared" si="4"/>
        <v>1.3887882232666016E-5</v>
      </c>
      <c r="L22" s="14">
        <v>0.14419037505542978</v>
      </c>
    </row>
    <row r="23" spans="1:12" x14ac:dyDescent="0.3">
      <c r="A23" s="11">
        <v>4000000</v>
      </c>
      <c r="B23" s="12">
        <v>0.99997991323471069</v>
      </c>
      <c r="C23" s="12">
        <v>2.1837451457977295</v>
      </c>
      <c r="D23" s="14">
        <f t="shared" si="0"/>
        <v>0.14322100365193011</v>
      </c>
      <c r="E23" s="12"/>
      <c r="F23" s="12"/>
      <c r="G23" s="12"/>
      <c r="H23" s="17">
        <f t="shared" si="3"/>
        <v>4490159.8802546868</v>
      </c>
      <c r="I23" s="18">
        <f t="shared" si="4"/>
        <v>5.7816505432128906E-6</v>
      </c>
      <c r="L23" s="14">
        <v>0.14419037505542978</v>
      </c>
    </row>
    <row r="24" spans="1:12" x14ac:dyDescent="0.3">
      <c r="A24" s="11">
        <v>5000000</v>
      </c>
      <c r="B24" s="12">
        <v>0.99998569488525391</v>
      </c>
      <c r="C24" s="12">
        <v>2.0901191234588623</v>
      </c>
      <c r="D24" s="14">
        <f t="shared" si="0"/>
        <v>0.14322100365193011</v>
      </c>
      <c r="E24" s="12"/>
      <c r="F24" s="12"/>
      <c r="G24" s="12"/>
      <c r="H24" s="17">
        <f t="shared" si="3"/>
        <v>5360126.9288496533</v>
      </c>
      <c r="I24" s="18">
        <f t="shared" si="4"/>
        <v>3.9339065551757813E-6</v>
      </c>
      <c r="L24" s="14">
        <v>0.14419037505542978</v>
      </c>
    </row>
    <row r="25" spans="1:12" x14ac:dyDescent="0.3">
      <c r="A25" s="11">
        <v>6000000</v>
      </c>
      <c r="B25" s="12">
        <v>0.99998962879180908</v>
      </c>
      <c r="C25" s="12">
        <v>2.0635771751403809</v>
      </c>
      <c r="D25" s="14">
        <f t="shared" si="0"/>
        <v>0.14322100365193011</v>
      </c>
      <c r="E25" s="12"/>
      <c r="F25" s="12"/>
      <c r="G25" s="12"/>
      <c r="H25" s="17">
        <f t="shared" si="3"/>
        <v>6558846.4071584307</v>
      </c>
      <c r="I25" s="18">
        <f t="shared" si="4"/>
        <v>2.5629997253417969E-6</v>
      </c>
      <c r="L25" s="14">
        <v>0.14419037505542978</v>
      </c>
    </row>
    <row r="26" spans="1:12" x14ac:dyDescent="0.3">
      <c r="A26" s="11">
        <v>7000000</v>
      </c>
      <c r="B26" s="12">
        <v>0.99999219179153442</v>
      </c>
      <c r="C26" s="12">
        <v>2.0418148040771484</v>
      </c>
      <c r="D26" s="14">
        <f t="shared" si="0"/>
        <v>0.14322100365193011</v>
      </c>
      <c r="E26" s="12"/>
      <c r="F26" s="12"/>
      <c r="G26" s="12"/>
      <c r="H26" s="17">
        <f t="shared" si="3"/>
        <v>7505503.8618004844</v>
      </c>
      <c r="I26" s="18">
        <f t="shared" si="4"/>
        <v>1.3709068298339844E-6</v>
      </c>
      <c r="L26" s="14">
        <v>0.14419037505542978</v>
      </c>
    </row>
    <row r="27" spans="1:12" x14ac:dyDescent="0.3">
      <c r="A27" s="11">
        <v>8000000</v>
      </c>
      <c r="B27" s="12">
        <v>0.99999356269836426</v>
      </c>
      <c r="C27" s="12">
        <v>1.9672657251358032</v>
      </c>
      <c r="D27" s="14">
        <f t="shared" si="0"/>
        <v>0.14322100365193011</v>
      </c>
      <c r="E27" s="12"/>
      <c r="F27" s="12"/>
      <c r="G27" s="12"/>
      <c r="H27" s="17">
        <f t="shared" si="3"/>
        <v>8073318.8561030794</v>
      </c>
      <c r="I27" s="18">
        <f t="shared" si="4"/>
        <v>8.3446502685546875E-7</v>
      </c>
      <c r="L27" s="14">
        <v>0.14419037505542978</v>
      </c>
    </row>
    <row r="28" spans="1:12" x14ac:dyDescent="0.3">
      <c r="A28" s="11">
        <v>9000000</v>
      </c>
      <c r="B28" s="12">
        <v>0.99999439716339111</v>
      </c>
      <c r="C28" s="12">
        <v>1.8755214214324951</v>
      </c>
      <c r="D28" s="14">
        <f t="shared" si="0"/>
        <v>0.14322100365193011</v>
      </c>
      <c r="E28" s="12"/>
      <c r="F28" s="12"/>
      <c r="G28" s="12"/>
      <c r="H28" s="17">
        <f>C28*A28</f>
        <v>16879692.792892456</v>
      </c>
      <c r="I28" s="18">
        <f>1-B28</f>
        <v>5.6028366088867188E-6</v>
      </c>
      <c r="L28" s="14">
        <v>0.14419037505542978</v>
      </c>
    </row>
    <row r="29" spans="1:12" x14ac:dyDescent="0.3">
      <c r="A29" s="7"/>
      <c r="B29" s="7"/>
      <c r="C29" s="7"/>
      <c r="D29" s="7"/>
      <c r="E29" s="12"/>
      <c r="F29" s="7"/>
      <c r="G29" s="7"/>
    </row>
    <row r="30" spans="1:12" x14ac:dyDescent="0.3">
      <c r="A30" s="7"/>
      <c r="B30" s="7"/>
      <c r="C30" s="7"/>
      <c r="D30" s="7"/>
      <c r="E30" s="12"/>
      <c r="F30" s="7"/>
      <c r="G30" s="7"/>
    </row>
    <row r="31" spans="1:12" x14ac:dyDescent="0.3">
      <c r="A31" s="7"/>
      <c r="B31" s="7"/>
      <c r="C31" s="7"/>
      <c r="D31" s="7"/>
      <c r="E31" s="12"/>
      <c r="F31" s="7"/>
      <c r="G31" s="7"/>
    </row>
    <row r="32" spans="1:12" x14ac:dyDescent="0.3">
      <c r="A32" s="7"/>
      <c r="B32" s="7"/>
      <c r="C32" s="7"/>
      <c r="D32" s="7"/>
      <c r="E32" s="12"/>
      <c r="F32" s="7"/>
      <c r="G32" s="7"/>
    </row>
    <row r="33" spans="1:7" x14ac:dyDescent="0.3">
      <c r="A33" s="7"/>
      <c r="B33" s="7"/>
      <c r="C33" s="7"/>
      <c r="D33" s="7"/>
      <c r="E33" s="7"/>
      <c r="F33" s="7"/>
      <c r="G33" s="7"/>
    </row>
    <row r="34" spans="1:7" x14ac:dyDescent="0.3">
      <c r="A34" s="7"/>
      <c r="B34" s="7"/>
      <c r="C34" s="7"/>
      <c r="D34" s="7"/>
      <c r="E34" s="7"/>
      <c r="F34" s="7"/>
      <c r="G34" s="7"/>
    </row>
    <row r="35" spans="1:7" x14ac:dyDescent="0.3">
      <c r="A35" s="7"/>
      <c r="B35" s="7"/>
      <c r="C35" s="7"/>
      <c r="D35" s="7"/>
      <c r="E35" s="7"/>
      <c r="F35" s="7"/>
      <c r="G35" s="7"/>
    </row>
    <row r="36" spans="1:7" x14ac:dyDescent="0.3">
      <c r="A36" s="7"/>
      <c r="B36" s="7"/>
      <c r="C36" s="7"/>
      <c r="D36" s="7"/>
      <c r="E36" s="7"/>
      <c r="F36" s="7"/>
      <c r="G36" s="7"/>
    </row>
    <row r="37" spans="1:7" x14ac:dyDescent="0.3">
      <c r="A37" s="7"/>
      <c r="B37" s="7"/>
      <c r="C37" s="7"/>
      <c r="D37" s="7"/>
      <c r="E37" s="7"/>
      <c r="F37" s="7"/>
      <c r="G37" s="7"/>
    </row>
    <row r="38" spans="1:7" x14ac:dyDescent="0.3">
      <c r="A38" s="7"/>
      <c r="B38" s="7"/>
      <c r="C38" s="7"/>
      <c r="D38" s="7"/>
      <c r="E38" s="7"/>
      <c r="F38" s="7"/>
      <c r="G38" s="7"/>
    </row>
    <row r="39" spans="1:7" x14ac:dyDescent="0.3">
      <c r="A39" s="7"/>
      <c r="B39" s="7"/>
      <c r="C39" s="7"/>
      <c r="D39" s="7"/>
      <c r="E39" s="7"/>
      <c r="F39" s="7"/>
      <c r="G39" s="7"/>
    </row>
    <row r="40" spans="1:7" x14ac:dyDescent="0.3">
      <c r="A40" s="7"/>
      <c r="B40" s="7"/>
      <c r="C40" s="7"/>
      <c r="D40" s="7"/>
      <c r="E40" s="7"/>
      <c r="F40" s="7"/>
      <c r="G40" s="7"/>
    </row>
    <row r="41" spans="1:7" x14ac:dyDescent="0.3">
      <c r="A41" s="7"/>
      <c r="B41" s="7"/>
      <c r="C41" s="7"/>
      <c r="D41" s="7"/>
      <c r="E41" s="7"/>
      <c r="F41" s="7"/>
      <c r="G41" s="7"/>
    </row>
    <row r="42" spans="1:7" x14ac:dyDescent="0.3">
      <c r="A42" s="7"/>
      <c r="B42" s="7"/>
      <c r="C42" s="7"/>
      <c r="D42" s="7"/>
      <c r="E42" s="7"/>
      <c r="F42" s="7"/>
      <c r="G42" s="7"/>
    </row>
    <row r="43" spans="1:7" x14ac:dyDescent="0.3">
      <c r="A43" s="7"/>
      <c r="B43" s="7"/>
      <c r="C43" s="7"/>
      <c r="D43" s="7"/>
      <c r="E43" s="7"/>
      <c r="F43" s="7"/>
      <c r="G43" s="7"/>
    </row>
    <row r="44" spans="1:7" x14ac:dyDescent="0.3">
      <c r="A44" s="7"/>
      <c r="B44" s="7"/>
      <c r="C44" s="7"/>
      <c r="D44" s="7"/>
      <c r="E44" s="7"/>
      <c r="F44" s="7"/>
      <c r="G44" s="7"/>
    </row>
    <row r="45" spans="1:7" x14ac:dyDescent="0.3">
      <c r="A45" s="7"/>
      <c r="B45" s="7"/>
      <c r="C45" s="7"/>
      <c r="D45" s="7"/>
      <c r="E45" s="7"/>
      <c r="F45" s="7"/>
      <c r="G45" s="7"/>
    </row>
    <row r="46" spans="1:7" x14ac:dyDescent="0.3">
      <c r="A46" s="7"/>
      <c r="B46" s="7"/>
      <c r="C46" s="7"/>
      <c r="D46" s="7"/>
      <c r="E46" s="7"/>
      <c r="F46" s="7"/>
      <c r="G46" s="7"/>
    </row>
    <row r="47" spans="1:7" x14ac:dyDescent="0.3">
      <c r="A47" s="7"/>
      <c r="B47" s="7"/>
      <c r="C47" s="7"/>
      <c r="D47" s="7"/>
      <c r="E47" s="7"/>
      <c r="F47" s="7"/>
      <c r="G47" s="7"/>
    </row>
    <row r="48" spans="1:7" x14ac:dyDescent="0.3">
      <c r="A48" s="7"/>
      <c r="B48" s="7"/>
      <c r="C48" s="7"/>
      <c r="D48" s="7"/>
      <c r="E48" s="7"/>
      <c r="F48" s="7"/>
      <c r="G48" s="7"/>
    </row>
    <row r="49" spans="1:7" x14ac:dyDescent="0.3">
      <c r="A49" s="7"/>
      <c r="B49" s="7"/>
      <c r="C49" s="7"/>
      <c r="D49" s="7"/>
      <c r="E49" s="7"/>
      <c r="F49" s="7"/>
      <c r="G49" s="7"/>
    </row>
    <row r="50" spans="1:7" x14ac:dyDescent="0.3">
      <c r="A50" s="7"/>
      <c r="B50" s="7"/>
      <c r="C50" s="7"/>
      <c r="D50" s="7"/>
      <c r="E50" s="7"/>
      <c r="F50" s="7"/>
      <c r="G50" s="7"/>
    </row>
    <row r="51" spans="1:7" x14ac:dyDescent="0.3">
      <c r="A51" s="7"/>
      <c r="B51" s="7"/>
      <c r="C51" s="7"/>
      <c r="D51" s="7"/>
      <c r="E51" s="7"/>
      <c r="F51" s="7"/>
      <c r="G51" s="7"/>
    </row>
    <row r="52" spans="1:7" x14ac:dyDescent="0.3">
      <c r="A52" s="7"/>
      <c r="B52" s="7"/>
      <c r="C52" s="7"/>
      <c r="D52" s="7"/>
      <c r="E52" s="7"/>
      <c r="F52" s="7"/>
      <c r="G52" s="7"/>
    </row>
    <row r="53" spans="1:7" x14ac:dyDescent="0.3">
      <c r="A53" s="7"/>
      <c r="B53" s="7"/>
      <c r="C53" s="7"/>
      <c r="D53" s="7"/>
      <c r="E53" s="7"/>
      <c r="F53" s="7"/>
      <c r="G53" s="7"/>
    </row>
    <row r="54" spans="1:7" x14ac:dyDescent="0.3">
      <c r="A54" s="7"/>
      <c r="B54" s="7"/>
      <c r="C54" s="7"/>
      <c r="D54" s="7"/>
      <c r="E54" s="7"/>
      <c r="F54" s="7"/>
      <c r="G54" s="7"/>
    </row>
    <row r="55" spans="1:7" x14ac:dyDescent="0.3">
      <c r="A55" s="7"/>
      <c r="B55" s="7"/>
      <c r="C55" s="7"/>
      <c r="D55" s="7"/>
      <c r="E55" s="7"/>
      <c r="F55" s="7"/>
      <c r="G55" s="7"/>
    </row>
    <row r="56" spans="1:7" x14ac:dyDescent="0.3">
      <c r="A56" s="7"/>
      <c r="B56" s="7"/>
      <c r="C56" s="7"/>
      <c r="D56" s="7"/>
      <c r="E56" s="7"/>
      <c r="F56" s="7"/>
      <c r="G56" s="7"/>
    </row>
    <row r="57" spans="1:7" x14ac:dyDescent="0.3">
      <c r="A57" s="7"/>
      <c r="B57" s="7"/>
      <c r="C57" s="7"/>
      <c r="D57" s="7"/>
      <c r="E57" s="7"/>
      <c r="F57" s="7"/>
      <c r="G57" s="7"/>
    </row>
    <row r="58" spans="1:7" x14ac:dyDescent="0.3">
      <c r="A58" s="7"/>
      <c r="B58" s="7"/>
      <c r="C58" s="7"/>
      <c r="D58" s="7"/>
      <c r="E58" s="7"/>
      <c r="F58" s="7"/>
      <c r="G58" s="7"/>
    </row>
    <row r="59" spans="1:7" x14ac:dyDescent="0.3">
      <c r="A59" s="7"/>
      <c r="B59" s="7"/>
      <c r="C59" s="7"/>
      <c r="D59" s="7"/>
      <c r="E59" s="7"/>
      <c r="F59" s="7"/>
      <c r="G59" s="7"/>
    </row>
    <row r="60" spans="1:7" x14ac:dyDescent="0.3">
      <c r="A60" s="7"/>
      <c r="B60" s="7"/>
      <c r="C60" s="7"/>
      <c r="D60" s="7"/>
      <c r="E60" s="7"/>
      <c r="F60" s="7"/>
      <c r="G60" s="7"/>
    </row>
    <row r="61" spans="1:7" x14ac:dyDescent="0.3">
      <c r="A61" s="7"/>
      <c r="B61" s="7"/>
      <c r="C61" s="7"/>
      <c r="D61" s="7"/>
      <c r="E61" s="7"/>
      <c r="F61" s="7"/>
      <c r="G61" s="7"/>
    </row>
    <row r="62" spans="1:7" x14ac:dyDescent="0.3">
      <c r="A62" s="7"/>
      <c r="B62" s="7"/>
      <c r="C62" s="7"/>
      <c r="D62" s="7"/>
      <c r="E62" s="7"/>
      <c r="F62" s="7"/>
      <c r="G62" s="7"/>
    </row>
    <row r="63" spans="1:7" x14ac:dyDescent="0.3">
      <c r="A63" s="7"/>
      <c r="B63" s="7"/>
      <c r="C63" s="7"/>
      <c r="D63" s="7"/>
      <c r="E63" s="7"/>
      <c r="F63" s="7"/>
      <c r="G63" s="7"/>
    </row>
    <row r="64" spans="1:7" x14ac:dyDescent="0.3">
      <c r="A64" s="7"/>
      <c r="B64" s="7"/>
      <c r="C64" s="7"/>
      <c r="D64" s="7"/>
      <c r="E64" s="7"/>
      <c r="F64" s="7"/>
      <c r="G64" s="7"/>
    </row>
    <row r="65" spans="1:7" x14ac:dyDescent="0.3">
      <c r="A65" s="7"/>
      <c r="B65" s="7"/>
      <c r="C65" s="7"/>
      <c r="D65" s="7"/>
      <c r="E65" s="7"/>
      <c r="F65" s="7"/>
      <c r="G65" s="7"/>
    </row>
    <row r="66" spans="1:7" x14ac:dyDescent="0.3">
      <c r="A66" s="7"/>
      <c r="B66" s="7"/>
      <c r="C66" s="7"/>
      <c r="D66" s="7"/>
      <c r="E66" s="7"/>
      <c r="F66" s="7"/>
      <c r="G66" s="7"/>
    </row>
    <row r="67" spans="1:7" x14ac:dyDescent="0.3">
      <c r="A67" s="7"/>
      <c r="B67" s="7"/>
      <c r="C67" s="7"/>
      <c r="D67" s="7"/>
      <c r="E67" s="7"/>
      <c r="F67" s="7"/>
      <c r="G67" s="7"/>
    </row>
    <row r="68" spans="1:7" x14ac:dyDescent="0.3">
      <c r="A68" s="7"/>
      <c r="B68" s="7"/>
      <c r="C68" s="7"/>
      <c r="D68" s="7"/>
      <c r="E68" s="7"/>
      <c r="F68" s="7"/>
      <c r="G68" s="7"/>
    </row>
    <row r="69" spans="1:7" x14ac:dyDescent="0.3">
      <c r="A69" s="7"/>
      <c r="B69" s="7"/>
      <c r="C69" s="7"/>
      <c r="D69" s="7"/>
      <c r="E69" s="7"/>
      <c r="F69" s="7"/>
      <c r="G69" s="7"/>
    </row>
    <row r="70" spans="1:7" x14ac:dyDescent="0.3">
      <c r="A70" s="7"/>
      <c r="B70" s="7"/>
      <c r="C70" s="7"/>
      <c r="D70" s="7"/>
      <c r="E70" s="7"/>
      <c r="F70" s="7"/>
      <c r="G70" s="7"/>
    </row>
    <row r="71" spans="1:7" x14ac:dyDescent="0.3">
      <c r="A71" s="7"/>
      <c r="B71" s="7"/>
      <c r="C71" s="7"/>
      <c r="D71" s="7"/>
      <c r="E71" s="7"/>
      <c r="F71" s="7"/>
      <c r="G71" s="7"/>
    </row>
    <row r="72" spans="1:7" x14ac:dyDescent="0.3">
      <c r="A72" s="7"/>
      <c r="B72" s="7"/>
      <c r="C72" s="7"/>
      <c r="D72" s="7"/>
      <c r="E72" s="7"/>
      <c r="F72" s="7"/>
      <c r="G72" s="7"/>
    </row>
    <row r="73" spans="1:7" x14ac:dyDescent="0.3">
      <c r="A73" s="7"/>
      <c r="B73" s="7"/>
      <c r="C73" s="7"/>
      <c r="D73" s="7"/>
      <c r="E73" s="7"/>
      <c r="F73" s="7"/>
      <c r="G73" s="7"/>
    </row>
    <row r="74" spans="1:7" x14ac:dyDescent="0.3">
      <c r="A74" s="7"/>
      <c r="B74" s="7"/>
      <c r="C74" s="7"/>
      <c r="D74" s="7"/>
      <c r="E74" s="7"/>
      <c r="F74" s="7"/>
      <c r="G74" s="7"/>
    </row>
    <row r="75" spans="1:7" x14ac:dyDescent="0.3">
      <c r="A75" s="7"/>
      <c r="B75" s="7"/>
      <c r="C75" s="7"/>
      <c r="D75" s="7"/>
      <c r="E75" s="7"/>
      <c r="F75" s="7"/>
      <c r="G75" s="7"/>
    </row>
    <row r="76" spans="1:7" x14ac:dyDescent="0.3">
      <c r="A76" s="7"/>
      <c r="B76" s="7"/>
      <c r="C76" s="7"/>
      <c r="D76" s="7"/>
      <c r="E76" s="7"/>
      <c r="F76" s="7"/>
      <c r="G76" s="7"/>
    </row>
    <row r="77" spans="1:7" x14ac:dyDescent="0.3">
      <c r="A77" s="7"/>
      <c r="B77" s="7"/>
      <c r="C77" s="7"/>
      <c r="D77" s="7"/>
      <c r="E77" s="7"/>
      <c r="F77" s="7"/>
      <c r="G77" s="7"/>
    </row>
    <row r="78" spans="1:7" x14ac:dyDescent="0.3">
      <c r="A78" s="7"/>
      <c r="B78" s="7"/>
      <c r="C78" s="7"/>
      <c r="D78" s="7"/>
      <c r="E78" s="7"/>
      <c r="F78" s="7"/>
      <c r="G78" s="7"/>
    </row>
    <row r="79" spans="1:7" x14ac:dyDescent="0.3">
      <c r="A79" s="7"/>
      <c r="B79" s="7"/>
      <c r="C79" s="7"/>
      <c r="D79" s="7"/>
      <c r="E79" s="7"/>
      <c r="F79" s="7"/>
      <c r="G79" s="7"/>
    </row>
    <row r="80" spans="1:7" x14ac:dyDescent="0.3">
      <c r="A80" s="7"/>
      <c r="B80" s="7"/>
      <c r="C80" s="7"/>
      <c r="D80" s="7"/>
      <c r="E80" s="7"/>
      <c r="F80" s="7"/>
      <c r="G80" s="7"/>
    </row>
    <row r="81" spans="1:7" x14ac:dyDescent="0.3">
      <c r="A81" s="7"/>
      <c r="B81" s="7"/>
      <c r="C81" s="7"/>
      <c r="D81" s="7"/>
      <c r="E81" s="7"/>
      <c r="F81" s="7"/>
      <c r="G81" s="7"/>
    </row>
    <row r="82" spans="1:7" x14ac:dyDescent="0.3">
      <c r="A82" s="7"/>
      <c r="B82" s="7"/>
      <c r="C82" s="7"/>
      <c r="D82" s="7"/>
      <c r="E82" s="7"/>
      <c r="F82" s="7"/>
      <c r="G82" s="7"/>
    </row>
    <row r="83" spans="1:7" x14ac:dyDescent="0.3">
      <c r="A83" s="7"/>
      <c r="B83" s="7"/>
      <c r="C83" s="7"/>
      <c r="D83" s="7"/>
      <c r="E83" s="7"/>
      <c r="F83" s="7"/>
      <c r="G83" s="7"/>
    </row>
    <row r="84" spans="1:7" x14ac:dyDescent="0.3">
      <c r="A84" s="7"/>
      <c r="B84" s="7"/>
      <c r="C84" s="7"/>
      <c r="D84" s="7"/>
      <c r="E84" s="7"/>
      <c r="F84" s="7"/>
      <c r="G84" s="7"/>
    </row>
    <row r="85" spans="1:7" x14ac:dyDescent="0.3">
      <c r="A85" s="7"/>
      <c r="B85" s="7"/>
      <c r="C85" s="7"/>
      <c r="D85" s="7"/>
      <c r="E85" s="7"/>
      <c r="F85" s="7"/>
      <c r="G85" s="7"/>
    </row>
    <row r="86" spans="1:7" x14ac:dyDescent="0.3">
      <c r="A86" s="7"/>
      <c r="B86" s="7"/>
      <c r="C86" s="7"/>
      <c r="D86" s="7"/>
      <c r="E86" s="7"/>
      <c r="F86" s="7"/>
      <c r="G86" s="7"/>
    </row>
    <row r="87" spans="1:7" x14ac:dyDescent="0.3">
      <c r="A87" s="7"/>
      <c r="B87" s="7"/>
      <c r="C87" s="7"/>
      <c r="D87" s="7"/>
      <c r="E87" s="7"/>
      <c r="F87" s="7"/>
      <c r="G87" s="7"/>
    </row>
    <row r="88" spans="1:7" x14ac:dyDescent="0.3">
      <c r="A88" s="7"/>
      <c r="B88" s="7"/>
      <c r="C88" s="7"/>
      <c r="D88" s="7"/>
      <c r="E88" s="7"/>
      <c r="F88" s="7"/>
      <c r="G88" s="7"/>
    </row>
    <row r="89" spans="1:7" x14ac:dyDescent="0.3">
      <c r="A89" s="7"/>
      <c r="B89" s="7"/>
      <c r="C89" s="7"/>
      <c r="D89" s="7"/>
      <c r="E89" s="7"/>
      <c r="F89" s="7"/>
      <c r="G89" s="7"/>
    </row>
    <row r="90" spans="1:7" x14ac:dyDescent="0.3">
      <c r="A90" s="7"/>
      <c r="B90" s="7"/>
      <c r="C90" s="7"/>
      <c r="D90" s="7"/>
      <c r="E90" s="7"/>
      <c r="F90" s="7"/>
      <c r="G90" s="7"/>
    </row>
    <row r="91" spans="1:7" x14ac:dyDescent="0.3">
      <c r="A91" s="7"/>
      <c r="B91" s="7"/>
      <c r="C91" s="7"/>
      <c r="D91" s="7"/>
      <c r="E91" s="7"/>
      <c r="F91" s="7"/>
      <c r="G91" s="7"/>
    </row>
    <row r="92" spans="1:7" x14ac:dyDescent="0.3">
      <c r="A92" s="7"/>
      <c r="B92" s="7"/>
      <c r="C92" s="7"/>
      <c r="D92" s="7"/>
      <c r="E92" s="7"/>
      <c r="F92" s="7"/>
      <c r="G92" s="7"/>
    </row>
    <row r="93" spans="1:7" x14ac:dyDescent="0.3">
      <c r="A93" s="7"/>
      <c r="B93" s="7"/>
      <c r="C93" s="7"/>
      <c r="D93" s="7"/>
      <c r="E93" s="7"/>
      <c r="F93" s="7"/>
      <c r="G93" s="7"/>
    </row>
    <row r="94" spans="1:7" x14ac:dyDescent="0.3">
      <c r="A94" s="7"/>
      <c r="B94" s="7"/>
      <c r="C94" s="7"/>
      <c r="D94" s="7"/>
      <c r="E94" s="7"/>
      <c r="F94" s="7"/>
      <c r="G94" s="7"/>
    </row>
    <row r="95" spans="1:7" x14ac:dyDescent="0.3">
      <c r="A95" s="7"/>
      <c r="B95" s="7"/>
      <c r="C95" s="7"/>
      <c r="D95" s="7"/>
      <c r="E95" s="7"/>
      <c r="F95" s="7"/>
      <c r="G95" s="7"/>
    </row>
    <row r="96" spans="1:7" x14ac:dyDescent="0.3">
      <c r="A96" s="7"/>
      <c r="B96" s="7"/>
      <c r="C96" s="7"/>
      <c r="D96" s="7"/>
      <c r="E96" s="7"/>
      <c r="F96" s="7"/>
      <c r="G96" s="7"/>
    </row>
    <row r="97" spans="1:7" x14ac:dyDescent="0.3">
      <c r="A97" s="7"/>
      <c r="B97" s="7"/>
      <c r="C97" s="7"/>
      <c r="D97" s="7"/>
      <c r="E97" s="7"/>
      <c r="F97" s="7"/>
      <c r="G97" s="7"/>
    </row>
    <row r="98" spans="1:7" x14ac:dyDescent="0.3">
      <c r="A98" s="7"/>
      <c r="B98" s="7"/>
      <c r="C98" s="7"/>
      <c r="D98" s="7"/>
      <c r="E98" s="7"/>
      <c r="F98" s="7"/>
      <c r="G98" s="7"/>
    </row>
    <row r="99" spans="1:7" x14ac:dyDescent="0.3">
      <c r="A99" s="7"/>
      <c r="B99" s="7"/>
      <c r="C99" s="7"/>
      <c r="D99" s="7"/>
      <c r="E99" s="7"/>
      <c r="F99" s="7"/>
      <c r="G99" s="7"/>
    </row>
    <row r="100" spans="1:7" x14ac:dyDescent="0.3">
      <c r="A100" s="7"/>
      <c r="B100" s="7"/>
      <c r="C100" s="7"/>
      <c r="D100" s="7"/>
      <c r="E100" s="7"/>
      <c r="F100" s="7"/>
      <c r="G100" s="7"/>
    </row>
    <row r="101" spans="1:7" x14ac:dyDescent="0.3">
      <c r="A101" s="7"/>
      <c r="B101" s="7"/>
      <c r="C101" s="7"/>
      <c r="D101" s="7"/>
      <c r="E101" s="7"/>
      <c r="F101" s="7"/>
      <c r="G101" s="7"/>
    </row>
    <row r="102" spans="1:7" x14ac:dyDescent="0.3">
      <c r="A102" s="7"/>
      <c r="B102" s="7"/>
      <c r="C102" s="7"/>
      <c r="D102" s="7"/>
      <c r="E102" s="7"/>
      <c r="F102" s="7"/>
      <c r="G102" s="7"/>
    </row>
    <row r="103" spans="1:7" x14ac:dyDescent="0.3">
      <c r="A103" s="7"/>
      <c r="B103" s="7"/>
      <c r="C103" s="7"/>
      <c r="D103" s="7"/>
      <c r="E103" s="7"/>
      <c r="F103" s="7"/>
      <c r="G103" s="7"/>
    </row>
    <row r="104" spans="1:7" x14ac:dyDescent="0.3">
      <c r="A104" s="7"/>
      <c r="B104" s="7"/>
      <c r="C104" s="7"/>
      <c r="D104" s="7"/>
      <c r="E104" s="7"/>
      <c r="F104" s="7"/>
      <c r="G104" s="7"/>
    </row>
    <row r="105" spans="1:7" x14ac:dyDescent="0.3">
      <c r="A105" s="7"/>
      <c r="B105" s="7"/>
      <c r="C105" s="7"/>
      <c r="D105" s="7"/>
      <c r="E105" s="7"/>
      <c r="F105" s="7"/>
      <c r="G105" s="7"/>
    </row>
    <row r="106" spans="1:7" x14ac:dyDescent="0.3">
      <c r="A106" s="7"/>
      <c r="B106" s="7"/>
      <c r="C106" s="7"/>
      <c r="D106" s="7"/>
      <c r="E106" s="7"/>
      <c r="F106" s="7"/>
      <c r="G106" s="7"/>
    </row>
    <row r="107" spans="1:7" x14ac:dyDescent="0.3">
      <c r="A107" s="7"/>
      <c r="B107" s="7"/>
      <c r="C107" s="7"/>
      <c r="D107" s="7"/>
      <c r="E107" s="7"/>
      <c r="F107" s="7"/>
      <c r="G107" s="7"/>
    </row>
    <row r="108" spans="1:7" x14ac:dyDescent="0.3">
      <c r="A108" s="7"/>
      <c r="B108" s="7"/>
      <c r="C108" s="7"/>
      <c r="D108" s="7"/>
      <c r="E108" s="7"/>
      <c r="F108" s="7"/>
      <c r="G108" s="7"/>
    </row>
    <row r="109" spans="1:7" x14ac:dyDescent="0.3">
      <c r="A109" s="7"/>
      <c r="B109" s="7"/>
      <c r="C109" s="7"/>
      <c r="D109" s="7"/>
      <c r="E109" s="7"/>
      <c r="F109" s="7"/>
      <c r="G109" s="7"/>
    </row>
    <row r="110" spans="1:7" x14ac:dyDescent="0.3">
      <c r="A110" s="7"/>
      <c r="B110" s="7"/>
      <c r="C110" s="7"/>
      <c r="D110" s="7"/>
      <c r="E110" s="7"/>
      <c r="F110" s="7"/>
      <c r="G110" s="7"/>
    </row>
    <row r="111" spans="1:7" x14ac:dyDescent="0.3">
      <c r="A111" s="7"/>
      <c r="B111" s="7"/>
      <c r="C111" s="7"/>
      <c r="D111" s="7"/>
      <c r="E111" s="7"/>
      <c r="F111" s="7"/>
      <c r="G11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120" zoomScaleNormal="120" zoomScalePageLayoutView="120" workbookViewId="0"/>
  </sheetViews>
  <sheetFormatPr baseColWidth="10" defaultRowHeight="15.6" x14ac:dyDescent="0.3"/>
  <cols>
    <col min="1" max="3" width="12.5" customWidth="1"/>
    <col min="4" max="27" width="12.69921875" customWidth="1"/>
  </cols>
  <sheetData>
    <row r="1" spans="1:12" x14ac:dyDescent="0.3">
      <c r="A1" s="8" t="s">
        <v>9</v>
      </c>
      <c r="B1" s="8">
        <v>2012</v>
      </c>
      <c r="C1" s="8" t="s">
        <v>24</v>
      </c>
      <c r="D1" s="10">
        <v>36720036</v>
      </c>
      <c r="E1" s="8" t="s">
        <v>30</v>
      </c>
      <c r="F1" s="21">
        <f>(SUMPRODUCT(D4:D28,H4:H28,I4:I28)/(D2*B2))/((1-SUMPRODUCT(D4:D28,H4:H28,I4:I28)/B2)/(1-D2))</f>
        <v>0.41038358146455767</v>
      </c>
      <c r="G1" s="8"/>
    </row>
    <row r="2" spans="1:12" x14ac:dyDescent="0.3">
      <c r="A2" s="8" t="s">
        <v>12</v>
      </c>
      <c r="B2" s="11">
        <v>25512.203141630907</v>
      </c>
      <c r="C2" s="8" t="s">
        <v>15</v>
      </c>
      <c r="D2" s="14">
        <f>[1]TD1!$F$119</f>
        <v>0.61486840255734632</v>
      </c>
      <c r="E2" s="8" t="s">
        <v>26</v>
      </c>
      <c r="F2" s="8"/>
      <c r="G2" s="8"/>
      <c r="L2" s="14">
        <f>SUMPRODUCT(I4:I28,L4:L28)</f>
        <v>0.60847531175959779</v>
      </c>
    </row>
    <row r="3" spans="1:12" x14ac:dyDescent="0.3">
      <c r="A3" s="8" t="s">
        <v>11</v>
      </c>
      <c r="B3" s="9" t="s">
        <v>7</v>
      </c>
      <c r="C3" s="8" t="s">
        <v>8</v>
      </c>
      <c r="D3" s="8" t="s">
        <v>14</v>
      </c>
      <c r="E3" s="8" t="s">
        <v>18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11">
        <v>0</v>
      </c>
      <c r="B4" s="12">
        <v>0</v>
      </c>
      <c r="C4" s="12"/>
      <c r="D4" s="14">
        <f t="shared" ref="D4:D28" si="0">L4*D$2/L$2</f>
        <v>0.85207806531470287</v>
      </c>
      <c r="E4" s="12"/>
      <c r="F4" s="12"/>
      <c r="G4" s="12"/>
      <c r="H4" s="17">
        <f>((1-B4)*B2-(1-B5)*C5*A5)/(B5-B4)</f>
        <v>4466.5355082986007</v>
      </c>
      <c r="I4" s="18">
        <f t="shared" ref="I4:I27" si="1">B5-B4</f>
        <v>0.23885631561279297</v>
      </c>
      <c r="L4" s="14">
        <v>0.84321858836700148</v>
      </c>
    </row>
    <row r="5" spans="1:12" x14ac:dyDescent="0.3">
      <c r="A5" s="11">
        <v>10000</v>
      </c>
      <c r="B5" s="12">
        <v>0.23885631561279297</v>
      </c>
      <c r="C5" s="12">
        <v>3.2116594314575195</v>
      </c>
      <c r="D5" s="14">
        <f t="shared" si="0"/>
        <v>0.85543457964677982</v>
      </c>
      <c r="E5" s="12"/>
      <c r="F5" s="12"/>
      <c r="G5" s="12"/>
      <c r="H5" s="17">
        <f t="shared" ref="H5:H27" si="2">((1-B5)*C5*A5-(1-B6)*C6*A6)/(B6-B5)</f>
        <v>11019.308865438827</v>
      </c>
      <c r="I5" s="18">
        <f t="shared" si="1"/>
        <v>5.9545516967773438E-2</v>
      </c>
      <c r="L5" s="14">
        <v>0.84654020335996838</v>
      </c>
    </row>
    <row r="6" spans="1:12" x14ac:dyDescent="0.3">
      <c r="A6" s="11">
        <v>12000</v>
      </c>
      <c r="B6" s="12">
        <v>0.29840183258056641</v>
      </c>
      <c r="C6" s="12">
        <v>2.8255956172943115</v>
      </c>
      <c r="D6" s="14">
        <f t="shared" si="0"/>
        <v>0.85543457964677982</v>
      </c>
      <c r="E6" s="12"/>
      <c r="F6" s="12"/>
      <c r="G6" s="12"/>
      <c r="H6" s="17">
        <f t="shared" si="2"/>
        <v>13595.61503411776</v>
      </c>
      <c r="I6" s="18">
        <f t="shared" si="1"/>
        <v>9.6666276454925537E-2</v>
      </c>
      <c r="L6" s="14">
        <v>0.84654020335996838</v>
      </c>
    </row>
    <row r="7" spans="1:12" x14ac:dyDescent="0.3">
      <c r="A7" s="11">
        <v>15000</v>
      </c>
      <c r="B7" s="12">
        <v>0.39506810903549194</v>
      </c>
      <c r="C7" s="12">
        <v>2.4768579006195068</v>
      </c>
      <c r="D7" s="14">
        <f t="shared" si="0"/>
        <v>0.74758999855202701</v>
      </c>
      <c r="E7" s="12"/>
      <c r="F7" s="12"/>
      <c r="G7" s="12"/>
      <c r="H7" s="17">
        <f t="shared" si="2"/>
        <v>17354.080985158987</v>
      </c>
      <c r="I7" s="18">
        <f t="shared" si="1"/>
        <v>0.15957564115524292</v>
      </c>
      <c r="L7" s="14">
        <v>0.73981693569767737</v>
      </c>
    </row>
    <row r="8" spans="1:12" x14ac:dyDescent="0.3">
      <c r="A8" s="11">
        <v>20000</v>
      </c>
      <c r="B8" s="12">
        <v>0.55464375019073486</v>
      </c>
      <c r="C8" s="12">
        <v>2.2123486995697021</v>
      </c>
      <c r="D8" s="14">
        <f t="shared" si="0"/>
        <v>0.56075064979333167</v>
      </c>
      <c r="E8" s="12"/>
      <c r="F8" s="12"/>
      <c r="G8" s="12"/>
      <c r="H8" s="17">
        <f t="shared" si="2"/>
        <v>24576.009489998294</v>
      </c>
      <c r="I8" s="18">
        <f t="shared" si="1"/>
        <v>0.17854428291320801</v>
      </c>
      <c r="L8" s="14">
        <v>0.5549202480291251</v>
      </c>
    </row>
    <row r="9" spans="1:12" x14ac:dyDescent="0.3">
      <c r="A9" s="11">
        <v>30000</v>
      </c>
      <c r="B9" s="12">
        <v>0.73318803310394287</v>
      </c>
      <c r="C9" s="12">
        <v>1.9136773347854614</v>
      </c>
      <c r="D9" s="14">
        <f t="shared" si="0"/>
        <v>0.26176998769952409</v>
      </c>
      <c r="E9" s="12"/>
      <c r="F9" s="12"/>
      <c r="G9" s="12"/>
      <c r="H9" s="17">
        <f t="shared" si="2"/>
        <v>38170.910531165551</v>
      </c>
      <c r="I9" s="18">
        <f t="shared" si="1"/>
        <v>0.16734898090362549</v>
      </c>
      <c r="L9" s="14">
        <v>0.2590482357075074</v>
      </c>
    </row>
    <row r="10" spans="1:12" x14ac:dyDescent="0.3">
      <c r="A10" s="11">
        <v>50000</v>
      </c>
      <c r="B10" s="12">
        <v>0.90053701400756836</v>
      </c>
      <c r="C10" s="12">
        <v>1.7956222295761108</v>
      </c>
      <c r="D10" s="14">
        <f t="shared" si="0"/>
        <v>0.14570534557613182</v>
      </c>
      <c r="E10" s="12"/>
      <c r="F10" s="12"/>
      <c r="G10" s="12"/>
      <c r="H10" s="17">
        <f t="shared" si="2"/>
        <v>65718.679078114903</v>
      </c>
      <c r="I10" s="18">
        <f t="shared" si="1"/>
        <v>8.0506563186645508E-2</v>
      </c>
      <c r="L10" s="14">
        <v>0.14419037505542978</v>
      </c>
    </row>
    <row r="11" spans="1:12" x14ac:dyDescent="0.3">
      <c r="A11" s="11">
        <v>100000</v>
      </c>
      <c r="B11" s="12">
        <v>0.98104357719421387</v>
      </c>
      <c r="C11" s="12">
        <v>1.9197252988815308</v>
      </c>
      <c r="D11" s="14">
        <f t="shared" si="0"/>
        <v>0.14570534557613182</v>
      </c>
      <c r="E11" s="12"/>
      <c r="F11" s="12"/>
      <c r="G11" s="12"/>
      <c r="H11" s="17">
        <f t="shared" si="2"/>
        <v>131601.23980702154</v>
      </c>
      <c r="I11" s="18">
        <f t="shared" si="1"/>
        <v>1.4918625354766846E-2</v>
      </c>
      <c r="L11" s="14">
        <v>0.14419037505542978</v>
      </c>
    </row>
    <row r="12" spans="1:12" x14ac:dyDescent="0.3">
      <c r="A12" s="11">
        <v>200000</v>
      </c>
      <c r="B12" s="12">
        <v>0.99596220254898071</v>
      </c>
      <c r="C12" s="12">
        <v>2.0751447677612305</v>
      </c>
      <c r="D12" s="14">
        <f t="shared" si="0"/>
        <v>0.14570534557613182</v>
      </c>
      <c r="E12" s="12"/>
      <c r="F12" s="12"/>
      <c r="G12" s="12"/>
      <c r="H12" s="17">
        <f t="shared" si="2"/>
        <v>239486.87474222723</v>
      </c>
      <c r="I12" s="18">
        <f t="shared" si="1"/>
        <v>2.2882223129272461E-3</v>
      </c>
      <c r="L12" s="14">
        <v>0.14419037505542978</v>
      </c>
    </row>
    <row r="13" spans="1:12" x14ac:dyDescent="0.3">
      <c r="A13" s="11">
        <v>300000</v>
      </c>
      <c r="B13" s="12">
        <v>0.99825042486190796</v>
      </c>
      <c r="C13" s="12">
        <v>2.1487190723419189</v>
      </c>
      <c r="D13" s="14">
        <f t="shared" si="0"/>
        <v>0.14570534557613182</v>
      </c>
      <c r="E13" s="12"/>
      <c r="F13" s="12"/>
      <c r="G13" s="12"/>
      <c r="H13" s="17">
        <f t="shared" si="2"/>
        <v>342672.32156303461</v>
      </c>
      <c r="I13" s="18">
        <f t="shared" si="1"/>
        <v>7.5626373291015625E-4</v>
      </c>
      <c r="L13" s="14">
        <v>0.14419037505542978</v>
      </c>
    </row>
    <row r="14" spans="1:12" x14ac:dyDescent="0.3">
      <c r="A14" s="11">
        <v>400000</v>
      </c>
      <c r="B14" s="12">
        <v>0.99900668859481812</v>
      </c>
      <c r="C14" s="12">
        <v>2.1862554550170898</v>
      </c>
      <c r="D14" s="14">
        <f t="shared" si="0"/>
        <v>0.14570534557613182</v>
      </c>
      <c r="E14" s="12"/>
      <c r="F14" s="12"/>
      <c r="G14" s="12"/>
      <c r="H14" s="17">
        <f t="shared" si="2"/>
        <v>444339.54164895433</v>
      </c>
      <c r="I14" s="18">
        <f t="shared" si="1"/>
        <v>3.502964973449707E-4</v>
      </c>
      <c r="L14" s="14">
        <v>0.14419037505542978</v>
      </c>
    </row>
    <row r="15" spans="1:12" x14ac:dyDescent="0.3">
      <c r="A15" s="11">
        <v>500000</v>
      </c>
      <c r="B15" s="12">
        <v>0.99935698509216309</v>
      </c>
      <c r="C15" s="12">
        <v>2.2176854610443115</v>
      </c>
      <c r="D15" s="14">
        <f t="shared" si="0"/>
        <v>0.14570534557613182</v>
      </c>
      <c r="E15" s="12"/>
      <c r="F15" s="12"/>
      <c r="G15" s="12"/>
      <c r="H15" s="17">
        <f t="shared" si="2"/>
        <v>545379.78087989194</v>
      </c>
      <c r="I15" s="18">
        <f t="shared" si="1"/>
        <v>1.8203258514404297E-4</v>
      </c>
      <c r="L15" s="14">
        <v>0.14419037505542978</v>
      </c>
    </row>
    <row r="16" spans="1:12" x14ac:dyDescent="0.3">
      <c r="A16" s="11">
        <v>600000</v>
      </c>
      <c r="B16" s="12">
        <v>0.99953901767730713</v>
      </c>
      <c r="C16" s="12">
        <v>2.2189047336578369</v>
      </c>
      <c r="D16" s="14">
        <f t="shared" si="0"/>
        <v>0.14570534557613182</v>
      </c>
      <c r="E16" s="12"/>
      <c r="F16" s="12"/>
      <c r="G16" s="12"/>
      <c r="H16" s="17">
        <f t="shared" si="2"/>
        <v>646192.50082200568</v>
      </c>
      <c r="I16" s="18">
        <f t="shared" si="1"/>
        <v>1.1086463928222656E-4</v>
      </c>
      <c r="L16" s="14">
        <v>0.14419037505542978</v>
      </c>
    </row>
    <row r="17" spans="1:12" x14ac:dyDescent="0.3">
      <c r="A17" s="11">
        <v>700000</v>
      </c>
      <c r="B17" s="12">
        <v>0.99964988231658936</v>
      </c>
      <c r="C17" s="12">
        <v>2.211850643157959</v>
      </c>
      <c r="D17" s="14">
        <f t="shared" si="0"/>
        <v>0.14570534557613182</v>
      </c>
      <c r="E17" s="12"/>
      <c r="F17" s="12"/>
      <c r="G17" s="12"/>
      <c r="H17" s="17">
        <f t="shared" si="2"/>
        <v>744960.17579848948</v>
      </c>
      <c r="I17" s="18">
        <f t="shared" si="1"/>
        <v>7.43865966796875E-5</v>
      </c>
      <c r="L17" s="14">
        <v>0.14419037505542978</v>
      </c>
    </row>
    <row r="18" spans="1:12" x14ac:dyDescent="0.3">
      <c r="A18" s="11">
        <v>800000</v>
      </c>
      <c r="B18" s="12">
        <v>0.99972426891326904</v>
      </c>
      <c r="C18" s="12">
        <v>2.2062735557556152</v>
      </c>
      <c r="D18" s="14">
        <f t="shared" si="0"/>
        <v>0.14570534557613182</v>
      </c>
      <c r="E18" s="12"/>
      <c r="F18" s="12"/>
      <c r="G18" s="12"/>
      <c r="H18" s="17">
        <f t="shared" si="2"/>
        <v>847074.09866088256</v>
      </c>
      <c r="I18" s="18">
        <f t="shared" si="1"/>
        <v>5.3882598876953125E-5</v>
      </c>
      <c r="L18" s="14">
        <v>0.14419037505542978</v>
      </c>
    </row>
    <row r="19" spans="1:12" x14ac:dyDescent="0.3">
      <c r="A19" s="11">
        <v>900000</v>
      </c>
      <c r="B19" s="12">
        <v>0.999778151512146</v>
      </c>
      <c r="C19" s="12">
        <v>2.2088549137115479</v>
      </c>
      <c r="D19" s="14">
        <f t="shared" si="0"/>
        <v>0.14570534557613182</v>
      </c>
      <c r="E19" s="12"/>
      <c r="F19" s="12"/>
      <c r="G19" s="12"/>
      <c r="H19" s="17">
        <f t="shared" si="2"/>
        <v>949082.07232395583</v>
      </c>
      <c r="I19" s="18">
        <f t="shared" si="1"/>
        <v>4.1365623474121094E-5</v>
      </c>
      <c r="L19" s="14">
        <v>0.14419037505542978</v>
      </c>
    </row>
    <row r="20" spans="1:12" x14ac:dyDescent="0.3">
      <c r="A20" s="11">
        <v>1000000</v>
      </c>
      <c r="B20" s="12">
        <v>0.99981951713562012</v>
      </c>
      <c r="C20" s="12">
        <v>2.2260763645172119</v>
      </c>
      <c r="D20" s="14">
        <f t="shared" si="0"/>
        <v>0.14570534557613182</v>
      </c>
      <c r="E20" s="12"/>
      <c r="F20" s="12"/>
      <c r="G20" s="12"/>
      <c r="H20" s="17">
        <f t="shared" si="2"/>
        <v>1343110.5530666278</v>
      </c>
      <c r="I20" s="18">
        <f t="shared" si="1"/>
        <v>1.3005733489990234E-4</v>
      </c>
      <c r="L20" s="14">
        <v>0.14419037505542978</v>
      </c>
    </row>
    <row r="21" spans="1:12" x14ac:dyDescent="0.3">
      <c r="A21" s="11">
        <v>2000000</v>
      </c>
      <c r="B21" s="12">
        <v>0.99994957447052002</v>
      </c>
      <c r="C21" s="12">
        <v>2.2517092227935791</v>
      </c>
      <c r="D21" s="14">
        <f t="shared" si="0"/>
        <v>0.14570534557613182</v>
      </c>
      <c r="E21" s="12"/>
      <c r="F21" s="12"/>
      <c r="G21" s="12"/>
      <c r="H21" s="17">
        <f t="shared" si="2"/>
        <v>2411770.0348437671</v>
      </c>
      <c r="I21" s="18">
        <f t="shared" si="1"/>
        <v>2.5391578674316406E-5</v>
      </c>
      <c r="L21" s="14">
        <v>0.14419037505542978</v>
      </c>
    </row>
    <row r="22" spans="1:12" x14ac:dyDescent="0.3">
      <c r="A22" s="11">
        <v>3000000</v>
      </c>
      <c r="B22" s="12">
        <v>0.99997496604919434</v>
      </c>
      <c r="C22" s="12">
        <v>2.2083158493041992</v>
      </c>
      <c r="D22" s="14">
        <f t="shared" si="0"/>
        <v>0.14570534557613182</v>
      </c>
      <c r="E22" s="12"/>
      <c r="F22" s="12"/>
      <c r="G22" s="12"/>
      <c r="H22" s="17">
        <f t="shared" si="2"/>
        <v>3422266.7981993477</v>
      </c>
      <c r="I22" s="18">
        <f t="shared" si="1"/>
        <v>9.4771385192871094E-6</v>
      </c>
      <c r="L22" s="14">
        <v>0.14419037505542978</v>
      </c>
    </row>
    <row r="23" spans="1:12" x14ac:dyDescent="0.3">
      <c r="A23" s="11">
        <v>4000000</v>
      </c>
      <c r="B23" s="12">
        <v>0.99998444318771362</v>
      </c>
      <c r="C23" s="12">
        <v>2.1440014839172363</v>
      </c>
      <c r="D23" s="14">
        <f t="shared" si="0"/>
        <v>0.14570534557613182</v>
      </c>
      <c r="E23" s="12"/>
      <c r="F23" s="12"/>
      <c r="G23" s="12"/>
      <c r="H23" s="17">
        <f t="shared" si="2"/>
        <v>4407162.1894836426</v>
      </c>
      <c r="I23" s="18">
        <f t="shared" si="1"/>
        <v>4.291534423828125E-6</v>
      </c>
      <c r="L23" s="14">
        <v>0.14419037505542978</v>
      </c>
    </row>
    <row r="24" spans="1:12" x14ac:dyDescent="0.3">
      <c r="A24" s="11">
        <v>5000000</v>
      </c>
      <c r="B24" s="12">
        <v>0.99998873472213745</v>
      </c>
      <c r="C24" s="12">
        <v>2.0328273773193359</v>
      </c>
      <c r="D24" s="14">
        <f t="shared" si="0"/>
        <v>0.14570534557613182</v>
      </c>
      <c r="E24" s="12"/>
      <c r="F24" s="12"/>
      <c r="G24" s="12"/>
      <c r="H24" s="17">
        <f t="shared" si="2"/>
        <v>5473959.3909336971</v>
      </c>
      <c r="I24" s="18">
        <f t="shared" si="1"/>
        <v>3.0994415283203125E-6</v>
      </c>
      <c r="L24" s="14">
        <v>0.14419037505542978</v>
      </c>
    </row>
    <row r="25" spans="1:12" x14ac:dyDescent="0.3">
      <c r="A25" s="11">
        <v>6000000</v>
      </c>
      <c r="B25" s="12">
        <v>0.99999183416366577</v>
      </c>
      <c r="C25" s="12">
        <v>1.990725040435791</v>
      </c>
      <c r="D25" s="14">
        <f t="shared" si="0"/>
        <v>0.14570534557613182</v>
      </c>
      <c r="E25" s="12"/>
      <c r="F25" s="12"/>
      <c r="G25" s="12"/>
      <c r="H25" s="17">
        <f t="shared" si="2"/>
        <v>6435314.75464503</v>
      </c>
      <c r="I25" s="18">
        <f t="shared" si="1"/>
        <v>2.1457672119140625E-6</v>
      </c>
      <c r="L25" s="14">
        <v>0.14419037505542978</v>
      </c>
    </row>
    <row r="26" spans="1:12" x14ac:dyDescent="0.3">
      <c r="A26" s="11">
        <v>7000000</v>
      </c>
      <c r="B26" s="12">
        <v>0.99999397993087769</v>
      </c>
      <c r="C26" s="12">
        <v>1.9868524074554443</v>
      </c>
      <c r="D26" s="14">
        <f t="shared" si="0"/>
        <v>0.14570534557613182</v>
      </c>
      <c r="E26" s="12"/>
      <c r="F26" s="12"/>
      <c r="G26" s="12"/>
      <c r="H26" s="17">
        <f t="shared" si="2"/>
        <v>7605026.3798755147</v>
      </c>
      <c r="I26" s="18">
        <f t="shared" si="1"/>
        <v>1.3709068298339844E-6</v>
      </c>
      <c r="L26" s="14">
        <v>0.14419037505542978</v>
      </c>
    </row>
    <row r="27" spans="1:12" x14ac:dyDescent="0.3">
      <c r="A27" s="11">
        <v>8000000</v>
      </c>
      <c r="B27" s="12">
        <v>0.99999535083770752</v>
      </c>
      <c r="C27" s="12">
        <v>1.9708157777786255</v>
      </c>
      <c r="D27" s="14">
        <f t="shared" si="0"/>
        <v>0.14570534557613182</v>
      </c>
      <c r="E27" s="12"/>
      <c r="F27" s="12"/>
      <c r="G27" s="12"/>
      <c r="H27" s="17">
        <f t="shared" si="2"/>
        <v>8302053.9283752441</v>
      </c>
      <c r="I27" s="18">
        <f t="shared" si="1"/>
        <v>7.152557373046875E-7</v>
      </c>
      <c r="L27" s="14">
        <v>0.14419037505542978</v>
      </c>
    </row>
    <row r="28" spans="1:12" x14ac:dyDescent="0.3">
      <c r="A28" s="11">
        <v>9000000</v>
      </c>
      <c r="B28" s="12">
        <v>0.99999606609344482</v>
      </c>
      <c r="C28" s="12">
        <v>1.9026336669921875</v>
      </c>
      <c r="D28" s="14">
        <f t="shared" si="0"/>
        <v>0.14570534557613182</v>
      </c>
      <c r="E28" s="12"/>
      <c r="F28" s="12"/>
      <c r="G28" s="12"/>
      <c r="H28" s="17">
        <f>C28*A28</f>
        <v>17123703.002929687</v>
      </c>
      <c r="I28" s="18">
        <f>1-B28</f>
        <v>3.9339065551757813E-6</v>
      </c>
      <c r="L28" s="14">
        <v>0.14419037505542978</v>
      </c>
    </row>
    <row r="29" spans="1:12" x14ac:dyDescent="0.3">
      <c r="A29" s="11"/>
      <c r="B29" s="12"/>
      <c r="C29" s="12"/>
      <c r="D29" s="7"/>
      <c r="E29" s="12"/>
      <c r="F29" s="7"/>
      <c r="G29" s="7"/>
    </row>
    <row r="30" spans="1:12" x14ac:dyDescent="0.3">
      <c r="D30" s="7"/>
      <c r="E30" s="12"/>
      <c r="F30" s="7"/>
      <c r="G30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120" zoomScaleNormal="120" zoomScalePageLayoutView="120" workbookViewId="0">
      <selection activeCell="B2" sqref="B2"/>
    </sheetView>
  </sheetViews>
  <sheetFormatPr baseColWidth="10" defaultRowHeight="15.6" x14ac:dyDescent="0.3"/>
  <cols>
    <col min="1" max="3" width="12.5" customWidth="1"/>
    <col min="4" max="27" width="12.69921875" customWidth="1"/>
  </cols>
  <sheetData>
    <row r="1" spans="1:12" x14ac:dyDescent="0.3">
      <c r="A1" s="8" t="s">
        <v>9</v>
      </c>
      <c r="B1" s="8">
        <v>2013</v>
      </c>
      <c r="C1" s="8" t="s">
        <v>24</v>
      </c>
      <c r="D1" s="10">
        <v>37119219</v>
      </c>
      <c r="E1" s="8" t="s">
        <v>30</v>
      </c>
      <c r="F1" s="21">
        <f>(SUMPRODUCT(D4:D28,H4:H28,I4:I28)/(D2*B2))/((1-SUMPRODUCT(D4:D28,H4:H28,I4:I28)/B2)/(1-D2))</f>
        <v>0.40995338185510782</v>
      </c>
      <c r="G1" s="8"/>
    </row>
    <row r="2" spans="1:12" x14ac:dyDescent="0.3">
      <c r="A2" s="8" t="s">
        <v>12</v>
      </c>
      <c r="B2" s="11">
        <v>25652.877450600456</v>
      </c>
      <c r="C2" s="8"/>
      <c r="D2" s="14">
        <f>[1]TD1!$F$120</f>
        <v>0.61748175149606643</v>
      </c>
      <c r="E2" s="8" t="s">
        <v>26</v>
      </c>
      <c r="F2" s="8"/>
      <c r="G2" s="8"/>
      <c r="L2" s="14">
        <f>SUMPRODUCT(I4:I28,L4:L28)</f>
        <v>0.60233623677882919</v>
      </c>
    </row>
    <row r="3" spans="1:12" x14ac:dyDescent="0.3">
      <c r="A3" s="8" t="s">
        <v>11</v>
      </c>
      <c r="B3" s="9" t="s">
        <v>7</v>
      </c>
      <c r="C3" s="8" t="s">
        <v>8</v>
      </c>
      <c r="D3" s="8" t="s">
        <v>14</v>
      </c>
      <c r="E3" s="8" t="s">
        <v>18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28" si="0">L4*D$2/L$2</f>
        <v>0.86442099785220372</v>
      </c>
      <c r="E4" s="12"/>
      <c r="F4" s="12"/>
      <c r="G4" s="12"/>
      <c r="H4" s="17">
        <f>((1-B4)*B2-(1-B5)*C5*A5)/(B5-B4)</f>
        <v>4330.0142818320592</v>
      </c>
      <c r="I4" s="18">
        <f t="shared" ref="I4:I27" si="1">B5-B4</f>
        <v>0.23455170217886323</v>
      </c>
      <c r="L4" s="14">
        <v>0.84321858836700148</v>
      </c>
    </row>
    <row r="5" spans="1:12" x14ac:dyDescent="0.3">
      <c r="A5" s="11">
        <v>10000</v>
      </c>
      <c r="B5" s="12">
        <v>0.23455170217886323</v>
      </c>
      <c r="C5" s="12">
        <v>3.2186713721185876</v>
      </c>
      <c r="D5" s="14">
        <f t="shared" si="0"/>
        <v>0.86782613358606109</v>
      </c>
      <c r="E5" s="12"/>
      <c r="F5" s="12"/>
      <c r="G5" s="12"/>
      <c r="H5" s="17">
        <f t="shared" ref="H5:H27" si="2">((1-B5)*C5*A5-(1-B6)*C6*A6)/(B6-B5)</f>
        <v>11024.356839927532</v>
      </c>
      <c r="I5" s="18">
        <f t="shared" si="1"/>
        <v>5.739942965933631E-2</v>
      </c>
      <c r="L5" s="14">
        <v>0.84654020335996838</v>
      </c>
    </row>
    <row r="6" spans="1:12" x14ac:dyDescent="0.3">
      <c r="A6" s="11">
        <v>12000</v>
      </c>
      <c r="B6" s="12">
        <v>0.29195113183819954</v>
      </c>
      <c r="C6" s="12">
        <v>2.8251902887348574</v>
      </c>
      <c r="D6" s="14">
        <f t="shared" si="0"/>
        <v>0.86782613358606109</v>
      </c>
      <c r="E6" s="12"/>
      <c r="F6" s="12"/>
      <c r="G6" s="12"/>
      <c r="H6" s="17">
        <f t="shared" si="2"/>
        <v>13599.921530700834</v>
      </c>
      <c r="I6" s="18">
        <f t="shared" si="1"/>
        <v>9.2760060495884811E-2</v>
      </c>
      <c r="L6" s="14">
        <v>0.84654020335996838</v>
      </c>
    </row>
    <row r="7" spans="1:12" x14ac:dyDescent="0.3">
      <c r="A7" s="11">
        <v>15000</v>
      </c>
      <c r="B7" s="12">
        <v>0.38471119233408435</v>
      </c>
      <c r="C7" s="12">
        <v>2.4642025672153181</v>
      </c>
      <c r="D7" s="14">
        <f t="shared" si="0"/>
        <v>0.75841935010261519</v>
      </c>
      <c r="E7" s="12"/>
      <c r="F7" s="12"/>
      <c r="G7" s="12"/>
      <c r="H7" s="17">
        <f t="shared" si="2"/>
        <v>17369.820387957876</v>
      </c>
      <c r="I7" s="18">
        <f t="shared" si="1"/>
        <v>0.15893680306150848</v>
      </c>
      <c r="L7" s="14">
        <v>0.73981693569767737</v>
      </c>
    </row>
    <row r="8" spans="1:12" x14ac:dyDescent="0.3">
      <c r="A8" s="11">
        <v>20000</v>
      </c>
      <c r="B8" s="12">
        <v>0.54364799539559283</v>
      </c>
      <c r="C8" s="12">
        <v>2.1893450634171279</v>
      </c>
      <c r="D8" s="14">
        <f t="shared" si="0"/>
        <v>0.56887350581146257</v>
      </c>
      <c r="E8" s="12"/>
      <c r="F8" s="12"/>
      <c r="G8" s="12"/>
      <c r="H8" s="17">
        <f t="shared" si="2"/>
        <v>24587.9236326965</v>
      </c>
      <c r="I8" s="18">
        <f t="shared" si="1"/>
        <v>0.18091013714485737</v>
      </c>
      <c r="L8" s="14">
        <v>0.5549202480291251</v>
      </c>
    </row>
    <row r="9" spans="1:12" x14ac:dyDescent="0.3">
      <c r="A9" s="11">
        <v>30000</v>
      </c>
      <c r="B9" s="12">
        <v>0.72455813254045021</v>
      </c>
      <c r="C9" s="12">
        <v>1.87989280351582</v>
      </c>
      <c r="D9" s="14">
        <f t="shared" si="0"/>
        <v>0.26556190469638319</v>
      </c>
      <c r="E9" s="12"/>
      <c r="F9" s="12"/>
      <c r="G9" s="12"/>
      <c r="H9" s="17">
        <f t="shared" si="2"/>
        <v>38202.824773817636</v>
      </c>
      <c r="I9" s="18">
        <f t="shared" si="1"/>
        <v>0.17195978719272087</v>
      </c>
      <c r="L9" s="14">
        <v>0.2590482357075074</v>
      </c>
    </row>
    <row r="10" spans="1:12" x14ac:dyDescent="0.3">
      <c r="A10" s="11">
        <v>50000</v>
      </c>
      <c r="B10" s="12">
        <v>0.89651791973317108</v>
      </c>
      <c r="C10" s="12">
        <v>1.732606436079178</v>
      </c>
      <c r="D10" s="14">
        <f t="shared" si="0"/>
        <v>0.147815986988002</v>
      </c>
      <c r="E10" s="12"/>
      <c r="F10" s="12"/>
      <c r="G10" s="12"/>
      <c r="H10" s="17">
        <f t="shared" si="2"/>
        <v>65707.577184580325</v>
      </c>
      <c r="I10" s="18">
        <f t="shared" si="1"/>
        <v>8.4552129181381774E-2</v>
      </c>
      <c r="L10" s="14">
        <v>0.14419037505542978</v>
      </c>
    </row>
    <row r="11" spans="1:12" x14ac:dyDescent="0.3">
      <c r="A11" s="11">
        <v>100000</v>
      </c>
      <c r="B11" s="12">
        <v>0.98107004891455285</v>
      </c>
      <c r="C11" s="12">
        <v>1.8008342149246084</v>
      </c>
      <c r="D11" s="14">
        <f t="shared" si="0"/>
        <v>0.147815986988002</v>
      </c>
      <c r="E11" s="12"/>
      <c r="F11" s="12"/>
      <c r="G11" s="12"/>
      <c r="H11" s="17">
        <f t="shared" si="2"/>
        <v>131249.67546818833</v>
      </c>
      <c r="I11" s="18">
        <f t="shared" si="1"/>
        <v>1.5236958514671328E-2</v>
      </c>
      <c r="L11" s="14">
        <v>0.14419037505542978</v>
      </c>
    </row>
    <row r="12" spans="1:12" x14ac:dyDescent="0.3">
      <c r="A12" s="11">
        <v>200000</v>
      </c>
      <c r="B12" s="12">
        <v>0.99630700742922418</v>
      </c>
      <c r="C12" s="12">
        <v>1.9078355466111276</v>
      </c>
      <c r="D12" s="14">
        <f t="shared" si="0"/>
        <v>0.147815986988002</v>
      </c>
      <c r="E12" s="12"/>
      <c r="F12" s="12"/>
      <c r="G12" s="12"/>
      <c r="H12" s="17">
        <f t="shared" si="2"/>
        <v>238862.27060077543</v>
      </c>
      <c r="I12" s="18">
        <f t="shared" si="1"/>
        <v>2.2228107762719551E-3</v>
      </c>
      <c r="L12" s="14">
        <v>0.14419037505542978</v>
      </c>
    </row>
    <row r="13" spans="1:12" x14ac:dyDescent="0.3">
      <c r="A13" s="11">
        <v>300000</v>
      </c>
      <c r="B13" s="12">
        <v>0.99852981820549613</v>
      </c>
      <c r="C13" s="12">
        <v>1.9910890705856483</v>
      </c>
      <c r="D13" s="14">
        <f t="shared" si="0"/>
        <v>0.147815986988002</v>
      </c>
      <c r="E13" s="12"/>
      <c r="F13" s="12"/>
      <c r="G13" s="12"/>
      <c r="H13" s="17">
        <f t="shared" si="2"/>
        <v>342079.87496063439</v>
      </c>
      <c r="I13" s="18">
        <f t="shared" si="1"/>
        <v>6.834195514728858E-4</v>
      </c>
      <c r="L13" s="14">
        <v>0.14419037505542978</v>
      </c>
    </row>
    <row r="14" spans="1:12" x14ac:dyDescent="0.3">
      <c r="A14" s="11">
        <v>400000</v>
      </c>
      <c r="B14" s="12">
        <v>0.99921323775696902</v>
      </c>
      <c r="C14" s="12">
        <v>2.0476160423229697</v>
      </c>
      <c r="D14" s="14">
        <f t="shared" si="0"/>
        <v>0.147815986988002</v>
      </c>
      <c r="E14" s="12"/>
      <c r="F14" s="12"/>
      <c r="G14" s="12"/>
      <c r="H14" s="17">
        <f t="shared" si="2"/>
        <v>443821.57859728922</v>
      </c>
      <c r="I14" s="18">
        <f t="shared" si="1"/>
        <v>2.9580363746328775E-4</v>
      </c>
      <c r="L14" s="14">
        <v>0.14419037505542978</v>
      </c>
    </row>
    <row r="15" spans="1:12" x14ac:dyDescent="0.3">
      <c r="A15" s="11">
        <v>500000</v>
      </c>
      <c r="B15" s="12">
        <v>0.99950904139443231</v>
      </c>
      <c r="C15" s="12">
        <v>2.0902404112159791</v>
      </c>
      <c r="D15" s="14">
        <f t="shared" si="0"/>
        <v>0.147815986988002</v>
      </c>
      <c r="E15" s="12"/>
      <c r="F15" s="12"/>
      <c r="G15" s="12"/>
      <c r="H15" s="17">
        <f t="shared" si="2"/>
        <v>545605.99351029075</v>
      </c>
      <c r="I15" s="18">
        <f t="shared" si="1"/>
        <v>1.535862055719317E-4</v>
      </c>
      <c r="L15" s="14">
        <v>0.14419037505542978</v>
      </c>
    </row>
    <row r="16" spans="1:12" x14ac:dyDescent="0.3">
      <c r="A16" s="11">
        <v>600000</v>
      </c>
      <c r="B16" s="12">
        <v>0.99966262760000424</v>
      </c>
      <c r="C16" s="12">
        <v>2.1208670523569966</v>
      </c>
      <c r="D16" s="14">
        <f t="shared" si="0"/>
        <v>0.147815986988002</v>
      </c>
      <c r="E16" s="12"/>
      <c r="F16" s="12"/>
      <c r="G16" s="12"/>
      <c r="H16" s="17">
        <f t="shared" si="2"/>
        <v>645249.17632890015</v>
      </c>
      <c r="I16" s="18">
        <f t="shared" si="1"/>
        <v>8.9683999008660642E-5</v>
      </c>
      <c r="L16" s="14">
        <v>0.14419037505542978</v>
      </c>
    </row>
    <row r="17" spans="1:12" x14ac:dyDescent="0.3">
      <c r="A17" s="11">
        <v>700000</v>
      </c>
      <c r="B17" s="12">
        <v>0.9997523115990129</v>
      </c>
      <c r="C17" s="12">
        <v>2.1423500341837847</v>
      </c>
      <c r="D17" s="14">
        <f t="shared" si="0"/>
        <v>0.147815986988002</v>
      </c>
      <c r="E17" s="12"/>
      <c r="F17" s="12"/>
      <c r="G17" s="12"/>
      <c r="H17" s="17">
        <f t="shared" si="2"/>
        <v>746661.19117626909</v>
      </c>
      <c r="I17" s="18">
        <f t="shared" si="1"/>
        <v>5.6789987957439614E-5</v>
      </c>
      <c r="L17" s="14">
        <v>0.14419037505542978</v>
      </c>
    </row>
    <row r="18" spans="1:12" x14ac:dyDescent="0.3">
      <c r="A18" s="11">
        <v>800000</v>
      </c>
      <c r="B18" s="12">
        <v>0.99980910158697034</v>
      </c>
      <c r="C18" s="12">
        <v>2.1545608522085802</v>
      </c>
      <c r="D18" s="14">
        <f t="shared" si="0"/>
        <v>0.147815986988002</v>
      </c>
      <c r="E18" s="12"/>
      <c r="F18" s="12"/>
      <c r="G18" s="12"/>
      <c r="H18" s="17">
        <f t="shared" si="2"/>
        <v>847524.51137963193</v>
      </c>
      <c r="I18" s="18">
        <f t="shared" si="1"/>
        <v>3.7877952119624858E-5</v>
      </c>
      <c r="L18" s="14">
        <v>0.14419037505542978</v>
      </c>
    </row>
    <row r="19" spans="1:12" x14ac:dyDescent="0.3">
      <c r="A19" s="11">
        <v>900000</v>
      </c>
      <c r="B19" s="12">
        <v>0.99984697953908996</v>
      </c>
      <c r="C19" s="12">
        <v>2.1561336259780908</v>
      </c>
      <c r="D19" s="14">
        <f t="shared" si="0"/>
        <v>0.147815986988002</v>
      </c>
      <c r="E19" s="12"/>
      <c r="F19" s="12"/>
      <c r="G19" s="12"/>
      <c r="H19" s="17">
        <f t="shared" si="2"/>
        <v>948949.89523899299</v>
      </c>
      <c r="I19" s="18">
        <f t="shared" si="1"/>
        <v>2.8287233090784625E-5</v>
      </c>
      <c r="L19" s="14">
        <v>0.14419037505542978</v>
      </c>
    </row>
    <row r="20" spans="1:12" x14ac:dyDescent="0.3">
      <c r="A20" s="11">
        <v>1000000</v>
      </c>
      <c r="B20" s="12">
        <v>0.99987526677218075</v>
      </c>
      <c r="C20" s="12">
        <v>2.1653904332613392</v>
      </c>
      <c r="D20" s="14">
        <f t="shared" si="0"/>
        <v>0.147815986988002</v>
      </c>
      <c r="E20" s="12"/>
      <c r="F20" s="12"/>
      <c r="G20" s="12"/>
      <c r="H20" s="17">
        <f t="shared" si="2"/>
        <v>1340610.7126227841</v>
      </c>
      <c r="I20" s="18">
        <f t="shared" si="1"/>
        <v>9.0276683892498433E-5</v>
      </c>
      <c r="L20" s="14">
        <v>0.14419037505542978</v>
      </c>
    </row>
    <row r="21" spans="1:12" x14ac:dyDescent="0.3">
      <c r="A21" s="11">
        <v>2000000</v>
      </c>
      <c r="B21" s="12">
        <v>0.99996554345607325</v>
      </c>
      <c r="C21" s="12">
        <v>2.1631630992963253</v>
      </c>
      <c r="D21" s="14">
        <f t="shared" si="0"/>
        <v>0.147815986988002</v>
      </c>
      <c r="E21" s="12"/>
      <c r="F21" s="12"/>
      <c r="G21" s="12"/>
      <c r="H21" s="17">
        <f t="shared" si="2"/>
        <v>2392272.0126846442</v>
      </c>
      <c r="I21" s="18">
        <f t="shared" si="1"/>
        <v>1.699928007647955E-5</v>
      </c>
      <c r="L21" s="14">
        <v>0.14419037505542978</v>
      </c>
    </row>
    <row r="22" spans="1:12" x14ac:dyDescent="0.3">
      <c r="A22" s="11">
        <v>3000000</v>
      </c>
      <c r="B22" s="12">
        <v>0.99998254273614973</v>
      </c>
      <c r="C22" s="12">
        <v>2.069880436213992</v>
      </c>
      <c r="D22" s="14">
        <f t="shared" si="0"/>
        <v>0.147815986988002</v>
      </c>
      <c r="E22" s="12"/>
      <c r="F22" s="12"/>
      <c r="G22" s="12"/>
      <c r="H22" s="17">
        <f t="shared" si="2"/>
        <v>3448594.0733362609</v>
      </c>
      <c r="I22" s="18">
        <f t="shared" si="1"/>
        <v>6.977517495676544E-6</v>
      </c>
      <c r="L22" s="14">
        <v>0.14419037505542978</v>
      </c>
    </row>
    <row r="23" spans="1:12" x14ac:dyDescent="0.3">
      <c r="A23" s="11">
        <v>4000000</v>
      </c>
      <c r="B23" s="12">
        <v>0.9999895202536454</v>
      </c>
      <c r="C23" s="12">
        <v>2.0119933823907457</v>
      </c>
      <c r="D23" s="14">
        <f t="shared" si="0"/>
        <v>0.147815986988002</v>
      </c>
      <c r="E23" s="12"/>
      <c r="F23" s="12"/>
      <c r="G23" s="12"/>
      <c r="H23" s="17">
        <f t="shared" si="2"/>
        <v>4404220.718571065</v>
      </c>
      <c r="I23" s="18">
        <f t="shared" si="1"/>
        <v>3.6369299688532308E-6</v>
      </c>
      <c r="L23" s="14">
        <v>0.14419037505542978</v>
      </c>
    </row>
    <row r="24" spans="1:12" x14ac:dyDescent="0.3">
      <c r="A24" s="11">
        <v>5000000</v>
      </c>
      <c r="B24" s="12">
        <v>0.99999315718361426</v>
      </c>
      <c r="C24" s="12">
        <v>1.9969227606299214</v>
      </c>
      <c r="D24" s="14">
        <f t="shared" si="0"/>
        <v>0.147815986988002</v>
      </c>
      <c r="E24" s="12"/>
      <c r="F24" s="12"/>
      <c r="G24" s="12"/>
      <c r="H24" s="17">
        <f t="shared" si="2"/>
        <v>5452433.0001307512</v>
      </c>
      <c r="I24" s="18">
        <f t="shared" si="1"/>
        <v>1.7511144294601877E-6</v>
      </c>
      <c r="L24" s="14">
        <v>0.14419037505542978</v>
      </c>
    </row>
    <row r="25" spans="1:12" x14ac:dyDescent="0.3">
      <c r="A25" s="11">
        <v>6000000</v>
      </c>
      <c r="B25" s="12">
        <v>0.99999490829804372</v>
      </c>
      <c r="C25" s="12">
        <v>1.9238833871252206</v>
      </c>
      <c r="D25" s="14">
        <f t="shared" si="0"/>
        <v>0.147815986988002</v>
      </c>
      <c r="E25" s="12"/>
      <c r="F25" s="12"/>
      <c r="G25" s="12"/>
      <c r="H25" s="17">
        <f t="shared" si="2"/>
        <v>6468940.3400464049</v>
      </c>
      <c r="I25" s="18">
        <f t="shared" si="1"/>
        <v>1.2661904335020679E-6</v>
      </c>
      <c r="L25" s="14">
        <v>0.14419037505542978</v>
      </c>
    </row>
    <row r="26" spans="1:12" x14ac:dyDescent="0.3">
      <c r="A26" s="11">
        <v>7000000</v>
      </c>
      <c r="B26" s="12">
        <v>0.99999617448847722</v>
      </c>
      <c r="C26" s="12">
        <v>1.8889774295774648</v>
      </c>
      <c r="D26" s="14">
        <f t="shared" si="0"/>
        <v>0.147815986988002</v>
      </c>
      <c r="E26" s="12"/>
      <c r="F26" s="12"/>
      <c r="G26" s="12"/>
      <c r="H26" s="17">
        <f t="shared" si="2"/>
        <v>7435123.9259489728</v>
      </c>
      <c r="I26" s="18">
        <f t="shared" si="1"/>
        <v>7.2738599377064617E-7</v>
      </c>
      <c r="L26" s="14">
        <v>0.14419037505542978</v>
      </c>
    </row>
    <row r="27" spans="1:12" x14ac:dyDescent="0.3">
      <c r="A27" s="11">
        <v>8000000</v>
      </c>
      <c r="B27" s="12">
        <v>0.99999690187447099</v>
      </c>
      <c r="C27" s="12">
        <v>1.8227121945652174</v>
      </c>
      <c r="D27" s="14">
        <f t="shared" si="0"/>
        <v>0.147815986988002</v>
      </c>
      <c r="E27" s="12"/>
      <c r="F27" s="12"/>
      <c r="G27" s="12"/>
      <c r="H27" s="17">
        <f t="shared" si="2"/>
        <v>8515729.5003421064</v>
      </c>
      <c r="I27" s="18">
        <f t="shared" si="1"/>
        <v>5.9268488383779072E-7</v>
      </c>
      <c r="L27" s="14">
        <v>0.14419037505542978</v>
      </c>
    </row>
    <row r="28" spans="1:12" x14ac:dyDescent="0.3">
      <c r="A28" s="11">
        <v>9000000</v>
      </c>
      <c r="B28" s="12">
        <v>0.99999749455935483</v>
      </c>
      <c r="C28" s="12">
        <v>1.7796286379928314</v>
      </c>
      <c r="D28" s="14">
        <f t="shared" si="0"/>
        <v>0.147815986988002</v>
      </c>
      <c r="E28" s="12"/>
      <c r="F28" s="12"/>
      <c r="G28" s="12"/>
      <c r="H28" s="17">
        <f>C28*A28</f>
        <v>16016657.741935482</v>
      </c>
      <c r="I28" s="18">
        <f>1-B28</f>
        <v>2.505440645172996E-6</v>
      </c>
      <c r="L28" s="14">
        <v>0.14419037505542978</v>
      </c>
    </row>
    <row r="29" spans="1:12" x14ac:dyDescent="0.3">
      <c r="A29" s="11"/>
      <c r="B29" s="12"/>
      <c r="C29" s="12"/>
      <c r="D29" s="7"/>
      <c r="E29" s="12"/>
      <c r="F29" s="7"/>
      <c r="G29" s="7"/>
    </row>
    <row r="30" spans="1:12" x14ac:dyDescent="0.3">
      <c r="D30" s="7"/>
      <c r="E30" s="12"/>
      <c r="F30" s="7"/>
      <c r="G30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50" zoomScaleNormal="150" zoomScalePageLayoutView="150" workbookViewId="0">
      <selection activeCell="B2" sqref="B2"/>
    </sheetView>
  </sheetViews>
  <sheetFormatPr baseColWidth="10" defaultRowHeight="15.6" x14ac:dyDescent="0.3"/>
  <cols>
    <col min="1" max="10" width="12.5" customWidth="1"/>
  </cols>
  <sheetData>
    <row r="1" spans="1:11" x14ac:dyDescent="0.3">
      <c r="A1" s="8" t="s">
        <v>9</v>
      </c>
      <c r="B1" s="8" t="s">
        <v>50</v>
      </c>
      <c r="C1" s="8" t="s">
        <v>24</v>
      </c>
      <c r="D1" s="10">
        <v>33364223</v>
      </c>
      <c r="E1" s="8" t="s">
        <v>30</v>
      </c>
      <c r="F1" s="8"/>
      <c r="G1" s="8"/>
    </row>
    <row r="2" spans="1:11" x14ac:dyDescent="0.3">
      <c r="A2" s="8" t="s">
        <v>12</v>
      </c>
      <c r="B2" s="11">
        <v>15538.133090286563</v>
      </c>
      <c r="C2" s="8" t="s">
        <v>15</v>
      </c>
      <c r="D2" s="14"/>
      <c r="E2" s="8" t="s">
        <v>26</v>
      </c>
      <c r="F2" s="8"/>
      <c r="G2" s="8"/>
    </row>
    <row r="3" spans="1:11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49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</row>
    <row r="4" spans="1:11" x14ac:dyDescent="0.3">
      <c r="A4" s="8">
        <v>0</v>
      </c>
      <c r="B4" s="12">
        <v>0</v>
      </c>
      <c r="C4" s="8"/>
      <c r="D4" s="14"/>
      <c r="E4" s="8"/>
      <c r="F4" s="8"/>
      <c r="G4" s="8"/>
      <c r="H4" s="17">
        <f>((1-B4)*B2-(1-B5)*C5*A5)/(B5-B4)</f>
        <v>4596.8776296257502</v>
      </c>
      <c r="I4" s="18">
        <f t="shared" ref="I4:I8" si="0">B5-B4</f>
        <v>0.40212970972061157</v>
      </c>
    </row>
    <row r="5" spans="1:11" x14ac:dyDescent="0.3">
      <c r="A5" s="11">
        <v>9000</v>
      </c>
      <c r="B5" s="12">
        <v>0.40212970972061157</v>
      </c>
      <c r="C5" s="12">
        <v>2.544140100479126</v>
      </c>
      <c r="D5" s="14"/>
      <c r="E5" s="12"/>
      <c r="F5" s="12"/>
      <c r="G5" s="12"/>
      <c r="H5" s="17">
        <f t="shared" ref="H5:H8" si="1">((1-B5)*C5*A5-(1-B6)*C6*A6)/(B6-B5)</f>
        <v>10417.286529560135</v>
      </c>
      <c r="I5" s="18">
        <f t="shared" si="0"/>
        <v>0.15051263570785522</v>
      </c>
    </row>
    <row r="6" spans="1:11" x14ac:dyDescent="0.3">
      <c r="A6" s="11">
        <v>12000</v>
      </c>
      <c r="B6" s="12">
        <v>0.5526423454284668</v>
      </c>
      <c r="C6" s="12">
        <v>2.2580103874206543</v>
      </c>
      <c r="D6" s="14"/>
      <c r="E6" s="12"/>
      <c r="F6" s="12"/>
      <c r="G6" s="12"/>
      <c r="H6" s="17">
        <f t="shared" si="1"/>
        <v>15090.116656081505</v>
      </c>
      <c r="I6" s="18">
        <f t="shared" si="0"/>
        <v>0.20059168338775635</v>
      </c>
    </row>
    <row r="7" spans="1:11" x14ac:dyDescent="0.3">
      <c r="A7" s="11">
        <v>19000</v>
      </c>
      <c r="B7" s="12">
        <v>0.75323402881622314</v>
      </c>
      <c r="C7" s="12">
        <v>1.9397681951522827</v>
      </c>
      <c r="D7" s="14"/>
      <c r="E7" s="12"/>
      <c r="F7" s="12"/>
      <c r="G7" s="12"/>
      <c r="H7" s="17">
        <f t="shared" si="1"/>
        <v>23906.865074307214</v>
      </c>
      <c r="I7" s="18">
        <f t="shared" si="0"/>
        <v>0.15185636281967163</v>
      </c>
    </row>
    <row r="8" spans="1:11" x14ac:dyDescent="0.3">
      <c r="A8" s="11">
        <v>31000</v>
      </c>
      <c r="B8" s="12">
        <v>0.90509039163589478</v>
      </c>
      <c r="C8" s="12">
        <v>1.8572161197662354</v>
      </c>
      <c r="D8" s="14"/>
      <c r="E8" s="12"/>
      <c r="F8" s="12"/>
      <c r="G8" s="12"/>
      <c r="H8" s="17">
        <f t="shared" si="1"/>
        <v>43273.078741642959</v>
      </c>
      <c r="I8" s="18">
        <f t="shared" si="0"/>
        <v>8.4460973739624023E-2</v>
      </c>
    </row>
    <row r="9" spans="1:11" x14ac:dyDescent="0.3">
      <c r="A9" s="11">
        <v>78000</v>
      </c>
      <c r="B9" s="12">
        <v>0.9895513653755188</v>
      </c>
      <c r="C9" s="12">
        <v>2.22015380859375</v>
      </c>
      <c r="D9" s="14"/>
      <c r="E9" s="12"/>
      <c r="F9" s="12"/>
      <c r="G9" s="12"/>
      <c r="H9" s="17">
        <f>C9*A9</f>
        <v>173171.9970703125</v>
      </c>
      <c r="I9" s="18">
        <f>1-B9</f>
        <v>1.0448634624481201E-2</v>
      </c>
    </row>
    <row r="10" spans="1:11" x14ac:dyDescent="0.3">
      <c r="A10" s="11"/>
      <c r="B10" s="12"/>
      <c r="C10" s="12"/>
      <c r="D10" s="14"/>
      <c r="E10" s="12"/>
      <c r="F10" s="12"/>
      <c r="G10" s="12"/>
      <c r="H10" s="17"/>
      <c r="I10" s="18"/>
    </row>
    <row r="11" spans="1:11" x14ac:dyDescent="0.3">
      <c r="A11" s="11"/>
      <c r="B11" s="12"/>
      <c r="C11" s="12"/>
      <c r="D11" s="14"/>
      <c r="E11" s="12"/>
      <c r="F11" s="12"/>
      <c r="G11" s="12"/>
    </row>
    <row r="12" spans="1:11" x14ac:dyDescent="0.3">
      <c r="A12" s="11"/>
      <c r="B12" s="12"/>
      <c r="C12" s="12"/>
      <c r="D12" s="14"/>
      <c r="E12" s="12"/>
      <c r="F12" s="12"/>
      <c r="G12" s="12"/>
    </row>
    <row r="13" spans="1:11" x14ac:dyDescent="0.3">
      <c r="A13" s="11"/>
      <c r="B13" s="12"/>
      <c r="C13" s="12"/>
      <c r="D13" s="14"/>
      <c r="E13" s="12"/>
      <c r="F13" s="12"/>
      <c r="G13" s="12"/>
    </row>
    <row r="14" spans="1:11" x14ac:dyDescent="0.3">
      <c r="A14" s="11"/>
      <c r="B14" s="12"/>
      <c r="C14" s="12"/>
      <c r="D14" s="14"/>
      <c r="E14" s="12"/>
      <c r="F14" s="12"/>
      <c r="G14" s="12"/>
    </row>
    <row r="15" spans="1:11" x14ac:dyDescent="0.3">
      <c r="A15" s="11"/>
      <c r="B15" s="12"/>
      <c r="C15" s="12"/>
      <c r="D15" s="14"/>
      <c r="E15" s="12"/>
      <c r="F15" s="12"/>
      <c r="G15" s="12"/>
    </row>
    <row r="16" spans="1:11" x14ac:dyDescent="0.3">
      <c r="A16" s="11"/>
      <c r="B16" s="12"/>
      <c r="C16" s="12"/>
      <c r="D16" s="12"/>
      <c r="E16" s="12"/>
      <c r="F16" s="12"/>
      <c r="G16" s="12"/>
    </row>
    <row r="17" spans="1:7" x14ac:dyDescent="0.3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50" zoomScaleNormal="150" zoomScalePageLayoutView="150" workbookViewId="0">
      <selection activeCell="B2" sqref="B2"/>
    </sheetView>
  </sheetViews>
  <sheetFormatPr baseColWidth="10" defaultRowHeight="15.6" x14ac:dyDescent="0.3"/>
  <cols>
    <col min="1" max="4" width="12.5" customWidth="1"/>
    <col min="5" max="12" width="12.69921875" customWidth="1"/>
  </cols>
  <sheetData>
    <row r="1" spans="1:11" x14ac:dyDescent="0.3">
      <c r="A1" s="8" t="s">
        <v>9</v>
      </c>
      <c r="B1" s="8" t="s">
        <v>51</v>
      </c>
      <c r="C1" s="8" t="s">
        <v>24</v>
      </c>
      <c r="D1" s="10">
        <v>33756860</v>
      </c>
      <c r="E1" s="8" t="s">
        <v>30</v>
      </c>
      <c r="F1" s="8"/>
      <c r="G1" s="8"/>
    </row>
    <row r="2" spans="1:11" x14ac:dyDescent="0.3">
      <c r="A2" s="8" t="s">
        <v>12</v>
      </c>
      <c r="B2" s="11">
        <v>15980.489309698829</v>
      </c>
      <c r="C2" s="8" t="s">
        <v>15</v>
      </c>
      <c r="D2" s="14"/>
      <c r="E2" s="8" t="s">
        <v>26</v>
      </c>
      <c r="F2" s="8"/>
      <c r="G2" s="8"/>
    </row>
    <row r="3" spans="1:11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49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</row>
    <row r="4" spans="1:11" x14ac:dyDescent="0.3">
      <c r="A4" s="8">
        <v>0</v>
      </c>
      <c r="B4" s="12">
        <v>0</v>
      </c>
      <c r="C4" s="8"/>
      <c r="D4" s="14"/>
      <c r="E4" s="8"/>
      <c r="F4" s="8"/>
      <c r="G4" s="8"/>
      <c r="H4" s="17">
        <f>((1-B4)*B2-(1-B5)*C5*A5)/(B5-B4)</f>
        <v>4625.5736156601361</v>
      </c>
      <c r="I4" s="18">
        <f t="shared" ref="I4:I8" si="0">B5-B4</f>
        <v>0.38537347316741943</v>
      </c>
    </row>
    <row r="5" spans="1:11" x14ac:dyDescent="0.3">
      <c r="A5" s="11">
        <v>9000</v>
      </c>
      <c r="B5" s="12">
        <v>0.38537347316741943</v>
      </c>
      <c r="C5" s="12">
        <v>2.5666744709014893</v>
      </c>
      <c r="D5" s="14"/>
      <c r="E5" s="12"/>
      <c r="F5" s="12"/>
      <c r="G5" s="12"/>
      <c r="H5" s="17">
        <f t="shared" ref="H5:H8" si="1">((1-B5)*C5*A5-(1-B6)*C6*A6)/(B6-B5)</f>
        <v>10434.104787255304</v>
      </c>
      <c r="I5" s="18">
        <f t="shared" si="0"/>
        <v>0.15236645936965942</v>
      </c>
    </row>
    <row r="6" spans="1:11" x14ac:dyDescent="0.3">
      <c r="A6" s="11">
        <v>12000</v>
      </c>
      <c r="B6" s="12">
        <v>0.53773993253707886</v>
      </c>
      <c r="C6" s="12">
        <v>2.2729103565216064</v>
      </c>
      <c r="D6" s="14"/>
      <c r="E6" s="12"/>
      <c r="F6" s="12"/>
      <c r="G6" s="12"/>
      <c r="H6" s="17">
        <f t="shared" si="1"/>
        <v>15077.939074826407</v>
      </c>
      <c r="I6" s="18">
        <f t="shared" si="0"/>
        <v>0.20416420698165894</v>
      </c>
    </row>
    <row r="7" spans="1:11" x14ac:dyDescent="0.3">
      <c r="A7" s="11">
        <v>19000</v>
      </c>
      <c r="B7" s="12">
        <v>0.74190413951873779</v>
      </c>
      <c r="C7" s="12">
        <v>1.9433279037475586</v>
      </c>
      <c r="D7" s="14"/>
      <c r="E7" s="12"/>
      <c r="F7" s="12"/>
      <c r="G7" s="12"/>
      <c r="H7" s="17">
        <f t="shared" si="1"/>
        <v>23928.090242351842</v>
      </c>
      <c r="I7" s="18">
        <f t="shared" si="0"/>
        <v>0.15736895799636841</v>
      </c>
    </row>
    <row r="8" spans="1:11" x14ac:dyDescent="0.3">
      <c r="A8" s="11">
        <v>31000</v>
      </c>
      <c r="B8" s="12">
        <v>0.8992730975151062</v>
      </c>
      <c r="C8" s="12">
        <v>1.8459988832473755</v>
      </c>
      <c r="D8" s="14"/>
      <c r="E8" s="12"/>
      <c r="F8" s="12"/>
      <c r="G8" s="12"/>
      <c r="H8" s="17">
        <f t="shared" si="1"/>
        <v>43328.146237275454</v>
      </c>
      <c r="I8" s="18">
        <f t="shared" si="0"/>
        <v>8.9600443840026855E-2</v>
      </c>
    </row>
    <row r="9" spans="1:11" x14ac:dyDescent="0.3">
      <c r="A9" s="11">
        <v>78000</v>
      </c>
      <c r="B9" s="12">
        <v>0.98887354135513306</v>
      </c>
      <c r="C9" s="12">
        <v>2.1685121059417725</v>
      </c>
      <c r="D9" s="14"/>
      <c r="E9" s="12"/>
      <c r="F9" s="12"/>
      <c r="G9" s="12"/>
      <c r="H9" s="17">
        <f>C9*A9</f>
        <v>169143.94426345825</v>
      </c>
      <c r="I9" s="18">
        <f>1-B9</f>
        <v>1.1126458644866943E-2</v>
      </c>
    </row>
    <row r="10" spans="1:11" x14ac:dyDescent="0.3">
      <c r="A10" s="11"/>
      <c r="B10" s="12"/>
      <c r="C10" s="12"/>
      <c r="D10" s="14"/>
      <c r="E10" s="12"/>
      <c r="F10" s="12"/>
      <c r="G10" s="12"/>
      <c r="H10" s="17"/>
      <c r="I10" s="18"/>
    </row>
    <row r="11" spans="1:11" x14ac:dyDescent="0.3">
      <c r="A11" s="11"/>
      <c r="B11" s="12"/>
      <c r="C11" s="12"/>
      <c r="D11" s="14"/>
      <c r="E11" s="12"/>
      <c r="F11" s="12"/>
      <c r="G11" s="12"/>
    </row>
    <row r="12" spans="1:11" x14ac:dyDescent="0.3">
      <c r="A12" s="11"/>
      <c r="B12" s="12"/>
      <c r="C12" s="12"/>
      <c r="D12" s="14"/>
      <c r="E12" s="12"/>
      <c r="F12" s="12"/>
      <c r="G12" s="12"/>
    </row>
    <row r="13" spans="1:11" x14ac:dyDescent="0.3">
      <c r="A13" s="11"/>
      <c r="B13" s="12"/>
      <c r="C13" s="12"/>
      <c r="D13" s="14"/>
      <c r="E13" s="12"/>
      <c r="F13" s="12"/>
      <c r="G13" s="12"/>
    </row>
    <row r="14" spans="1:11" x14ac:dyDescent="0.3">
      <c r="A14" s="11"/>
      <c r="B14" s="12"/>
      <c r="C14" s="12"/>
      <c r="D14" s="14"/>
      <c r="E14" s="12"/>
      <c r="F14" s="12"/>
      <c r="G14" s="12"/>
    </row>
    <row r="15" spans="1:11" x14ac:dyDescent="0.3">
      <c r="A15" s="11"/>
      <c r="B15" s="12"/>
      <c r="C15" s="12"/>
      <c r="D15" s="14"/>
      <c r="E15" s="12"/>
      <c r="F15" s="12"/>
      <c r="G15" s="12"/>
    </row>
    <row r="16" spans="1:11" x14ac:dyDescent="0.3">
      <c r="A16" s="11"/>
      <c r="B16" s="12"/>
      <c r="C16" s="12"/>
      <c r="D16" s="12"/>
      <c r="E16" s="12"/>
      <c r="F16" s="12"/>
      <c r="G16" s="12"/>
    </row>
    <row r="17" spans="1:7" x14ac:dyDescent="0.3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1931</v>
      </c>
      <c r="C1" s="8" t="s">
        <v>24</v>
      </c>
      <c r="D1" s="10">
        <f>1000*[1]TD1!$C$38</f>
        <v>16728728.130433075</v>
      </c>
      <c r="E1" s="8" t="s">
        <v>30</v>
      </c>
      <c r="F1" s="21">
        <f>(SUMPRODUCT(D4:D13,H4:H13,I4:I13)/(D2*B2))/((1-SUMPRODUCT(D4:D13,H4:H13,I4:I13)/B2)/(1-D2))</f>
        <v>0.82114616985052735</v>
      </c>
      <c r="G1" s="19"/>
      <c r="H1" s="16"/>
    </row>
    <row r="2" spans="1:12" x14ac:dyDescent="0.3">
      <c r="A2" s="8" t="s">
        <v>12</v>
      </c>
      <c r="B2" s="11">
        <f>[1]TD2!$M$38</f>
        <v>8396.885687854754</v>
      </c>
      <c r="C2" s="8" t="s">
        <v>15</v>
      </c>
      <c r="D2" s="14">
        <f>[1]TD1!$F$38</f>
        <v>0.22192844467603567</v>
      </c>
      <c r="E2" s="18" t="s">
        <v>26</v>
      </c>
      <c r="I2" s="8"/>
      <c r="L2" s="14">
        <f>D2</f>
        <v>0.22192844467603567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0.23924284597974563</v>
      </c>
      <c r="E4" s="14"/>
      <c r="F4" s="8"/>
      <c r="G4" s="8"/>
      <c r="H4" s="17">
        <f>((1-B4)*B2-(1-B5)*C5*A5)/(B5-B4)</f>
        <v>6182.089570138919</v>
      </c>
      <c r="I4" s="18">
        <f t="shared" ref="I4:I12" si="0">B5-B4</f>
        <v>0.87565320730209351</v>
      </c>
      <c r="L4" s="14"/>
    </row>
    <row r="5" spans="1:12" x14ac:dyDescent="0.3">
      <c r="A5" s="11">
        <f>10000</f>
        <v>10000</v>
      </c>
      <c r="B5" s="12">
        <v>0.87565320730209351</v>
      </c>
      <c r="C5" s="8">
        <v>2.3993535041809082</v>
      </c>
      <c r="D5" s="14">
        <f t="shared" ref="D5:D13" si="1">L5*D$2/L$2</f>
        <v>0.10000000000000002</v>
      </c>
      <c r="E5" s="14"/>
      <c r="F5" s="8"/>
      <c r="G5" s="8"/>
      <c r="H5" s="17">
        <f t="shared" ref="H5:H12" si="2">((1-B5)*C5*A5-(1-B6)*C6*A6)/(B6-B5)</f>
        <v>13718.367883101906</v>
      </c>
      <c r="I5" s="18">
        <f t="shared" si="0"/>
        <v>8.5421621799468994E-2</v>
      </c>
      <c r="L5" s="14">
        <v>0.1</v>
      </c>
    </row>
    <row r="6" spans="1:12" x14ac:dyDescent="0.3">
      <c r="A6" s="11">
        <f>20000</f>
        <v>20000</v>
      </c>
      <c r="B6" s="12">
        <v>0.9610748291015625</v>
      </c>
      <c r="C6" s="8">
        <v>2.3271238803863525</v>
      </c>
      <c r="D6" s="14">
        <f t="shared" si="1"/>
        <v>0.10000000000000002</v>
      </c>
      <c r="E6" s="14"/>
      <c r="F6" s="8"/>
      <c r="G6" s="8"/>
      <c r="H6" s="17">
        <f t="shared" si="2"/>
        <v>24164.558842132319</v>
      </c>
      <c r="I6" s="18">
        <f t="shared" si="0"/>
        <v>1.9847214221954346E-2</v>
      </c>
      <c r="L6" s="14">
        <v>0.1</v>
      </c>
    </row>
    <row r="7" spans="1:12" x14ac:dyDescent="0.3">
      <c r="A7" s="11">
        <f>30000</f>
        <v>30000</v>
      </c>
      <c r="B7" s="12">
        <v>0.98092204332351685</v>
      </c>
      <c r="C7" s="8">
        <v>2.3274238109588623</v>
      </c>
      <c r="D7" s="14">
        <f t="shared" si="1"/>
        <v>0.10000000000000002</v>
      </c>
      <c r="E7" s="14"/>
      <c r="H7" s="17">
        <f t="shared" si="2"/>
        <v>34443.552588531711</v>
      </c>
      <c r="I7" s="18">
        <f t="shared" si="0"/>
        <v>7.5744986534118652E-3</v>
      </c>
      <c r="L7" s="14">
        <v>0.1</v>
      </c>
    </row>
    <row r="8" spans="1:12" x14ac:dyDescent="0.3">
      <c r="A8" s="11">
        <f>40000</f>
        <v>40000</v>
      </c>
      <c r="B8" s="12">
        <v>0.98849654197692871</v>
      </c>
      <c r="C8" s="8">
        <v>2.3279566764831543</v>
      </c>
      <c r="D8" s="14">
        <f t="shared" si="1"/>
        <v>0.10000000000000002</v>
      </c>
      <c r="E8" s="14"/>
      <c r="H8" s="17">
        <f t="shared" si="2"/>
        <v>44558.875738684808</v>
      </c>
      <c r="I8" s="18">
        <f t="shared" si="0"/>
        <v>3.6660432815551758E-3</v>
      </c>
      <c r="L8" s="14">
        <v>0.1</v>
      </c>
    </row>
    <row r="9" spans="1:12" x14ac:dyDescent="0.3">
      <c r="A9" s="11">
        <f>50000</f>
        <v>50000</v>
      </c>
      <c r="B9" s="12">
        <v>0.99216258525848389</v>
      </c>
      <c r="C9" s="12">
        <v>2.3166499137878418</v>
      </c>
      <c r="D9" s="14">
        <f t="shared" si="1"/>
        <v>0.10000000000000002</v>
      </c>
      <c r="E9" s="14"/>
      <c r="H9" s="17">
        <f t="shared" si="2"/>
        <v>67657.333578809048</v>
      </c>
      <c r="I9" s="18">
        <f t="shared" si="0"/>
        <v>5.355536937713623E-3</v>
      </c>
      <c r="L9" s="14">
        <v>0.1</v>
      </c>
    </row>
    <row r="10" spans="1:12" x14ac:dyDescent="0.3">
      <c r="A10" s="11">
        <f>100000</f>
        <v>100000</v>
      </c>
      <c r="B10" s="12">
        <v>0.99751812219619751</v>
      </c>
      <c r="C10" s="12">
        <v>2.1978759765625</v>
      </c>
      <c r="D10" s="14">
        <f t="shared" si="1"/>
        <v>0.10000000000000002</v>
      </c>
      <c r="E10" s="14"/>
      <c r="H10" s="17">
        <f t="shared" si="2"/>
        <v>135617.11186586908</v>
      </c>
      <c r="I10" s="18">
        <f t="shared" si="0"/>
        <v>1.7109513282775879E-3</v>
      </c>
      <c r="L10" s="14">
        <v>0.1</v>
      </c>
    </row>
    <row r="11" spans="1:12" x14ac:dyDescent="0.3">
      <c r="A11" s="11">
        <f>200000</f>
        <v>200000</v>
      </c>
      <c r="B11" s="12">
        <v>0.9992290735244751</v>
      </c>
      <c r="C11" s="12">
        <v>2.0329544544219971</v>
      </c>
      <c r="D11" s="14">
        <f t="shared" si="1"/>
        <v>0.10000000000000002</v>
      </c>
      <c r="E11" s="14"/>
      <c r="H11" s="17">
        <f t="shared" si="2"/>
        <v>292847.82218319911</v>
      </c>
      <c r="I11" s="18">
        <f t="shared" si="0"/>
        <v>6.4426660537719727E-4</v>
      </c>
      <c r="L11" s="14">
        <v>0.1</v>
      </c>
    </row>
    <row r="12" spans="1:12" x14ac:dyDescent="0.3">
      <c r="A12" s="11">
        <f>500000</f>
        <v>500000</v>
      </c>
      <c r="B12" s="12">
        <v>0.99987334012985229</v>
      </c>
      <c r="C12" s="12">
        <v>1.9703100919723511</v>
      </c>
      <c r="D12" s="14">
        <f t="shared" si="1"/>
        <v>0.10000000000000002</v>
      </c>
      <c r="E12" s="14"/>
      <c r="H12" s="17">
        <f t="shared" si="2"/>
        <v>660879.10423249553</v>
      </c>
      <c r="I12" s="18">
        <f t="shared" si="0"/>
        <v>9.7155570983886719E-5</v>
      </c>
      <c r="L12" s="14">
        <v>0.1</v>
      </c>
    </row>
    <row r="13" spans="1:12" x14ac:dyDescent="0.3">
      <c r="A13" s="11">
        <f>1000000</f>
        <v>1000000</v>
      </c>
      <c r="B13" s="12">
        <v>0.99997049570083618</v>
      </c>
      <c r="C13" s="12">
        <v>2.0529727935791016</v>
      </c>
      <c r="D13" s="14">
        <f t="shared" si="1"/>
        <v>0.10000000000000002</v>
      </c>
      <c r="E13" s="14"/>
      <c r="H13" s="17">
        <f>C13*A13</f>
        <v>2052972.7935791016</v>
      </c>
      <c r="I13" s="18">
        <f>1-B13</f>
        <v>2.9504299163818359E-5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1932</v>
      </c>
      <c r="C1" s="8" t="s">
        <v>24</v>
      </c>
      <c r="D1" s="10">
        <f>1000*[1]TD1!$C$39</f>
        <v>16767239.401699284</v>
      </c>
      <c r="E1" s="8" t="s">
        <v>30</v>
      </c>
      <c r="F1" s="21">
        <f>(SUMPRODUCT(D4:D13,H4:H13,I4:I13)/(D2*B2))/((1-SUMPRODUCT(D4:D13,H4:H13,I4:I13)/B2)/(1-D2))</f>
        <v>0.80910968976334918</v>
      </c>
      <c r="G1" s="19"/>
      <c r="H1" s="16"/>
    </row>
    <row r="2" spans="1:12" x14ac:dyDescent="0.3">
      <c r="A2" s="8" t="s">
        <v>12</v>
      </c>
      <c r="B2" s="11">
        <f>[1]TD2!$M$39</f>
        <v>7541.1387773544739</v>
      </c>
      <c r="C2" s="8" t="s">
        <v>15</v>
      </c>
      <c r="D2" s="14">
        <f>[1]TD1!$F$39</f>
        <v>0.22473336297542512</v>
      </c>
      <c r="E2" s="18" t="s">
        <v>26</v>
      </c>
      <c r="I2" s="8"/>
      <c r="L2" s="14">
        <f>D2</f>
        <v>0.22473336297542512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0.24088409719177561</v>
      </c>
      <c r="E4" s="14"/>
      <c r="F4" s="8"/>
      <c r="G4" s="8"/>
      <c r="H4" s="17">
        <f>((1-B4)*B2-(1-B5)*C5*A5)/(B5-B4)</f>
        <v>5440.2684265129055</v>
      </c>
      <c r="I4" s="18">
        <f t="shared" ref="I4:I12" si="0">B5-B4</f>
        <v>0.88536155223846436</v>
      </c>
      <c r="L4" s="14"/>
    </row>
    <row r="5" spans="1:12" x14ac:dyDescent="0.3">
      <c r="A5" s="11">
        <f>10000</f>
        <v>10000</v>
      </c>
      <c r="B5" s="12">
        <v>0.88536155223846436</v>
      </c>
      <c r="C5" s="8">
        <v>2.3766322135925293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13758.187801400258</v>
      </c>
      <c r="I5" s="18">
        <f t="shared" si="0"/>
        <v>7.8091740608215332E-2</v>
      </c>
      <c r="L5" s="14">
        <v>0.1</v>
      </c>
    </row>
    <row r="6" spans="1:12" x14ac:dyDescent="0.3">
      <c r="A6" s="11">
        <f>20000</f>
        <v>20000</v>
      </c>
      <c r="B6" s="12">
        <v>0.96345329284667969</v>
      </c>
      <c r="C6" s="8">
        <v>2.2575678825378418</v>
      </c>
      <c r="D6" s="14">
        <f t="shared" si="1"/>
        <v>0.1</v>
      </c>
      <c r="E6" s="14"/>
      <c r="F6" s="8"/>
      <c r="G6" s="8"/>
      <c r="H6" s="17">
        <f t="shared" si="2"/>
        <v>24216.156254751408</v>
      </c>
      <c r="I6" s="18">
        <f t="shared" si="0"/>
        <v>1.8668830394744873E-2</v>
      </c>
      <c r="L6" s="14">
        <v>0.1</v>
      </c>
    </row>
    <row r="7" spans="1:12" x14ac:dyDescent="0.3">
      <c r="A7" s="11">
        <f>30000</f>
        <v>30000</v>
      </c>
      <c r="B7" s="12">
        <v>0.98212212324142456</v>
      </c>
      <c r="C7" s="8">
        <v>2.2337591648101807</v>
      </c>
      <c r="D7" s="14">
        <f t="shared" si="1"/>
        <v>0.1</v>
      </c>
      <c r="E7" s="14"/>
      <c r="H7" s="17">
        <f t="shared" si="2"/>
        <v>34414.165906243601</v>
      </c>
      <c r="I7" s="18">
        <f t="shared" si="0"/>
        <v>7.2576403617858887E-3</v>
      </c>
      <c r="L7" s="14">
        <v>0.1</v>
      </c>
    </row>
    <row r="8" spans="1:12" x14ac:dyDescent="0.3">
      <c r="A8" s="11">
        <f>40000</f>
        <v>40000</v>
      </c>
      <c r="B8" s="12">
        <v>0.98937976360321045</v>
      </c>
      <c r="C8" s="8">
        <v>2.2322490215301514</v>
      </c>
      <c r="D8" s="14">
        <f t="shared" si="1"/>
        <v>0.1</v>
      </c>
      <c r="E8" s="14"/>
      <c r="H8" s="17">
        <f t="shared" si="2"/>
        <v>44571.742161575086</v>
      </c>
      <c r="I8" s="18">
        <f t="shared" si="0"/>
        <v>3.4738779067993164E-3</v>
      </c>
      <c r="L8" s="14">
        <v>0.1</v>
      </c>
    </row>
    <row r="9" spans="1:12" x14ac:dyDescent="0.3">
      <c r="A9" s="11">
        <f>50000</f>
        <v>50000</v>
      </c>
      <c r="B9" s="12">
        <v>0.99285364151000977</v>
      </c>
      <c r="C9" s="12">
        <v>2.2205538749694824</v>
      </c>
      <c r="D9" s="14">
        <f t="shared" si="1"/>
        <v>0.1</v>
      </c>
      <c r="E9" s="14"/>
      <c r="H9" s="17">
        <f t="shared" si="2"/>
        <v>67362.676162188698</v>
      </c>
      <c r="I9" s="18">
        <f t="shared" si="0"/>
        <v>4.975438117980957E-3</v>
      </c>
      <c r="L9" s="14">
        <v>0.1</v>
      </c>
    </row>
    <row r="10" spans="1:12" x14ac:dyDescent="0.3">
      <c r="A10" s="11">
        <f>100000</f>
        <v>100000</v>
      </c>
      <c r="B10" s="12">
        <v>0.99782907962799072</v>
      </c>
      <c r="C10" s="12">
        <v>2.1110165119171143</v>
      </c>
      <c r="D10" s="14">
        <f t="shared" si="1"/>
        <v>0.1</v>
      </c>
      <c r="E10" s="14"/>
      <c r="H10" s="17">
        <f t="shared" si="2"/>
        <v>134734.42862380401</v>
      </c>
      <c r="I10" s="18">
        <f t="shared" si="0"/>
        <v>1.5266537666320801E-3</v>
      </c>
      <c r="L10" s="14">
        <v>0.1</v>
      </c>
    </row>
    <row r="11" spans="1:12" x14ac:dyDescent="0.3">
      <c r="A11" s="11">
        <f>200000</f>
        <v>200000</v>
      </c>
      <c r="B11" s="12">
        <v>0.9993557333946228</v>
      </c>
      <c r="C11" s="12">
        <v>1.9603068828582764</v>
      </c>
      <c r="D11" s="14">
        <f t="shared" si="1"/>
        <v>0.1</v>
      </c>
      <c r="E11" s="14"/>
      <c r="H11" s="17">
        <f t="shared" si="2"/>
        <v>289805.0684083727</v>
      </c>
      <c r="I11" s="18">
        <f t="shared" si="0"/>
        <v>5.4377317428588867E-4</v>
      </c>
      <c r="L11" s="14">
        <v>0.1</v>
      </c>
    </row>
    <row r="12" spans="1:12" x14ac:dyDescent="0.3">
      <c r="A12" s="11">
        <f>500000</f>
        <v>500000</v>
      </c>
      <c r="B12" s="12">
        <v>0.99989950656890869</v>
      </c>
      <c r="C12" s="12">
        <v>1.8907470703125</v>
      </c>
      <c r="D12" s="14">
        <f t="shared" si="1"/>
        <v>0.1</v>
      </c>
      <c r="E12" s="14"/>
      <c r="H12" s="17">
        <f t="shared" si="2"/>
        <v>663712.26651327952</v>
      </c>
      <c r="I12" s="18">
        <f t="shared" si="0"/>
        <v>7.7188014984130859E-5</v>
      </c>
      <c r="L12" s="14">
        <v>0.1</v>
      </c>
    </row>
    <row r="13" spans="1:12" x14ac:dyDescent="0.3">
      <c r="A13" s="11">
        <f>1000000</f>
        <v>1000000</v>
      </c>
      <c r="B13" s="12">
        <v>0.99997669458389282</v>
      </c>
      <c r="C13" s="12">
        <v>1.8782414197921753</v>
      </c>
      <c r="D13" s="14">
        <f t="shared" si="1"/>
        <v>0.1</v>
      </c>
      <c r="E13" s="14"/>
      <c r="H13" s="17">
        <f>C13*A13</f>
        <v>1878241.4197921753</v>
      </c>
      <c r="I13" s="18">
        <f>1-B13</f>
        <v>2.3305416107177734E-5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A5" sqref="A5:A13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1933</v>
      </c>
      <c r="C1" s="8" t="s">
        <v>24</v>
      </c>
      <c r="D1" s="10">
        <f>1000*[1]TD1!$C$40</f>
        <v>16810400.827934455</v>
      </c>
      <c r="E1" s="8" t="s">
        <v>30</v>
      </c>
      <c r="F1" s="21">
        <f>(SUMPRODUCT(D4:D13,H4:H13,I4:I13)/(D2*B2))/((1-SUMPRODUCT(D4:D13,H4:H13,I4:I13)/B2)/(1-D2))</f>
        <v>0.79981446390974442</v>
      </c>
      <c r="G1" s="19"/>
      <c r="H1" s="16"/>
    </row>
    <row r="2" spans="1:12" x14ac:dyDescent="0.3">
      <c r="A2" s="8" t="s">
        <v>12</v>
      </c>
      <c r="B2" s="11">
        <f>[1]TD2!$M$40</f>
        <v>7226.3934659253682</v>
      </c>
      <c r="C2" s="8" t="s">
        <v>15</v>
      </c>
      <c r="D2" s="14">
        <f>[1]TD1!$F$40</f>
        <v>0.22494525033089818</v>
      </c>
      <c r="E2" s="18" t="s">
        <v>26</v>
      </c>
      <c r="I2" s="8"/>
      <c r="L2" s="14">
        <f>D2</f>
        <v>0.22494525033089818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0.24105982221682654</v>
      </c>
      <c r="E4" s="14"/>
      <c r="F4" s="8"/>
      <c r="G4" s="8"/>
      <c r="H4" s="17">
        <f>((1-B4)*B2-(1-B5)*C5*A5)/(B5-B4)</f>
        <v>5112.6397374088565</v>
      </c>
      <c r="I4" s="18">
        <f t="shared" ref="I4:I12" si="0">B5-B4</f>
        <v>0.88576072454452515</v>
      </c>
      <c r="L4" s="14"/>
    </row>
    <row r="5" spans="1:12" x14ac:dyDescent="0.3">
      <c r="A5" s="11">
        <f>10000</f>
        <v>10000</v>
      </c>
      <c r="B5" s="12">
        <v>0.88576072454452515</v>
      </c>
      <c r="C5" s="8">
        <v>2.3615503311157227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13768.374935716814</v>
      </c>
      <c r="I5" s="18">
        <f t="shared" si="0"/>
        <v>7.7324569225311279E-2</v>
      </c>
      <c r="L5" s="14">
        <v>0.1</v>
      </c>
    </row>
    <row r="6" spans="1:12" x14ac:dyDescent="0.3">
      <c r="A6" s="11">
        <f>20000</f>
        <v>20000</v>
      </c>
      <c r="B6" s="12">
        <v>0.96308529376983643</v>
      </c>
      <c r="C6" s="8">
        <v>2.2121052742004395</v>
      </c>
      <c r="D6" s="14">
        <f t="shared" si="1"/>
        <v>0.1</v>
      </c>
      <c r="E6" s="14"/>
      <c r="F6" s="8"/>
      <c r="G6" s="8"/>
      <c r="H6" s="17">
        <f t="shared" si="2"/>
        <v>24199.566349053883</v>
      </c>
      <c r="I6" s="18">
        <f t="shared" si="0"/>
        <v>1.9046127796173096E-2</v>
      </c>
      <c r="L6" s="14">
        <v>0.1</v>
      </c>
    </row>
    <row r="7" spans="1:12" x14ac:dyDescent="0.3">
      <c r="A7" s="11">
        <f>30000</f>
        <v>30000</v>
      </c>
      <c r="B7" s="12">
        <v>0.98213142156600952</v>
      </c>
      <c r="C7" s="8">
        <v>2.1868486404418945</v>
      </c>
      <c r="D7" s="14">
        <f t="shared" si="1"/>
        <v>0.1</v>
      </c>
      <c r="E7" s="14"/>
      <c r="H7" s="17">
        <f t="shared" si="2"/>
        <v>34447.507936774404</v>
      </c>
      <c r="I7" s="18">
        <f t="shared" si="0"/>
        <v>7.4006915092468262E-3</v>
      </c>
      <c r="L7" s="14">
        <v>0.1</v>
      </c>
    </row>
    <row r="8" spans="1:12" x14ac:dyDescent="0.3">
      <c r="A8" s="11">
        <f>40000</f>
        <v>40000</v>
      </c>
      <c r="B8" s="12">
        <v>0.98953211307525635</v>
      </c>
      <c r="C8" s="8">
        <v>2.1908454895019531</v>
      </c>
      <c r="D8" s="14">
        <f t="shared" si="1"/>
        <v>0.1</v>
      </c>
      <c r="E8" s="14"/>
      <c r="H8" s="17">
        <f t="shared" si="2"/>
        <v>44547.44336766014</v>
      </c>
      <c r="I8" s="18">
        <f t="shared" si="0"/>
        <v>3.5027861595153809E-3</v>
      </c>
      <c r="L8" s="14">
        <v>0.1</v>
      </c>
    </row>
    <row r="9" spans="1:12" x14ac:dyDescent="0.3">
      <c r="A9" s="11">
        <f>50000</f>
        <v>50000</v>
      </c>
      <c r="B9" s="12">
        <v>0.99303489923477173</v>
      </c>
      <c r="C9" s="12">
        <v>2.1860437393188477</v>
      </c>
      <c r="D9" s="14">
        <f t="shared" si="1"/>
        <v>0.1</v>
      </c>
      <c r="E9" s="14"/>
      <c r="H9" s="17">
        <f t="shared" si="2"/>
        <v>67258.441071697511</v>
      </c>
      <c r="I9" s="18">
        <f t="shared" si="0"/>
        <v>4.9254894256591797E-3</v>
      </c>
      <c r="L9" s="14">
        <v>0.1</v>
      </c>
    </row>
    <row r="10" spans="1:12" x14ac:dyDescent="0.3">
      <c r="A10" s="11">
        <f>100000</f>
        <v>100000</v>
      </c>
      <c r="B10" s="12">
        <v>0.99796038866043091</v>
      </c>
      <c r="C10" s="12">
        <v>2.1083428859710693</v>
      </c>
      <c r="D10" s="14">
        <f t="shared" si="1"/>
        <v>0.1</v>
      </c>
      <c r="E10" s="14"/>
      <c r="H10" s="17">
        <f t="shared" si="2"/>
        <v>134641.41259436272</v>
      </c>
      <c r="I10" s="18">
        <f t="shared" si="0"/>
        <v>1.4523863792419434E-3</v>
      </c>
      <c r="L10" s="14">
        <v>0.1</v>
      </c>
    </row>
    <row r="11" spans="1:12" x14ac:dyDescent="0.3">
      <c r="A11" s="11">
        <f>200000</f>
        <v>200000</v>
      </c>
      <c r="B11" s="12">
        <v>0.99941277503967285</v>
      </c>
      <c r="C11" s="12">
        <v>1.9964125156402588</v>
      </c>
      <c r="D11" s="14">
        <f t="shared" si="1"/>
        <v>0.1</v>
      </c>
      <c r="E11" s="14"/>
      <c r="H11" s="17">
        <f t="shared" si="2"/>
        <v>289498.69741611142</v>
      </c>
      <c r="I11" s="18">
        <f t="shared" si="0"/>
        <v>4.9370527267456055E-4</v>
      </c>
      <c r="L11" s="14">
        <v>0.1</v>
      </c>
    </row>
    <row r="12" spans="1:12" x14ac:dyDescent="0.3">
      <c r="A12" s="11">
        <f>500000</f>
        <v>500000</v>
      </c>
      <c r="B12" s="12">
        <v>0.99990648031234741</v>
      </c>
      <c r="C12" s="12">
        <v>1.9576972723007202</v>
      </c>
      <c r="D12" s="14">
        <f t="shared" si="1"/>
        <v>0.1</v>
      </c>
      <c r="E12" s="14"/>
      <c r="H12" s="17">
        <f t="shared" si="2"/>
        <v>659185.0488426059</v>
      </c>
      <c r="I12" s="18">
        <f t="shared" si="0"/>
        <v>7.2777271270751953E-5</v>
      </c>
      <c r="L12" s="14">
        <v>0.1</v>
      </c>
    </row>
    <row r="13" spans="1:12" x14ac:dyDescent="0.3">
      <c r="A13" s="11">
        <f>1000000</f>
        <v>1000000</v>
      </c>
      <c r="B13" s="12">
        <v>0.99997925758361816</v>
      </c>
      <c r="C13" s="12">
        <v>2.1004269123077393</v>
      </c>
      <c r="D13" s="14">
        <f t="shared" si="1"/>
        <v>0.1</v>
      </c>
      <c r="E13" s="14"/>
      <c r="H13" s="17">
        <f>C13*A13</f>
        <v>2100426.9123077393</v>
      </c>
      <c r="I13" s="18">
        <f>1-B13</f>
        <v>2.0742416381835938E-5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1934</v>
      </c>
      <c r="C1" s="8" t="s">
        <v>24</v>
      </c>
      <c r="D1" s="10">
        <f>1000*[1]TD1!$C$41</f>
        <v>16836610.287627246</v>
      </c>
      <c r="E1" s="8" t="s">
        <v>30</v>
      </c>
      <c r="F1" s="21">
        <f>(SUMPRODUCT(D4:D13,H4:H13,I4:I13)/(D2*B2))/((1-SUMPRODUCT(D4:D13,H4:H13,I4:I13)/B2)/(1-D2))</f>
        <v>0.80246124022098952</v>
      </c>
      <c r="G1" s="19"/>
      <c r="H1" s="16"/>
    </row>
    <row r="2" spans="1:12" x14ac:dyDescent="0.3">
      <c r="A2" s="8" t="s">
        <v>12</v>
      </c>
      <c r="B2" s="11">
        <f>[1]TD2!$M$41</f>
        <v>6691.0595173414858</v>
      </c>
      <c r="C2" s="8" t="s">
        <v>15</v>
      </c>
      <c r="D2" s="14">
        <f>[1]TD1!$F$41</f>
        <v>0.22464273194450768</v>
      </c>
      <c r="E2" s="18" t="s">
        <v>26</v>
      </c>
      <c r="I2" s="8"/>
      <c r="L2" s="14">
        <f>D2</f>
        <v>0.22464273194450768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0.23905432494846404</v>
      </c>
      <c r="E4" s="14"/>
      <c r="F4" s="8"/>
      <c r="G4" s="8"/>
      <c r="H4" s="17">
        <f>((1-B4)*B2-(1-B5)*C5*A5)/(B5-B4)</f>
        <v>4758.2578936043246</v>
      </c>
      <c r="I4" s="18">
        <f t="shared" ref="I4:I12" si="0">B5-B4</f>
        <v>0.89635998010635376</v>
      </c>
      <c r="L4" s="14"/>
    </row>
    <row r="5" spans="1:12" x14ac:dyDescent="0.3">
      <c r="A5" s="11">
        <f>10000</f>
        <v>10000</v>
      </c>
      <c r="B5" s="12">
        <v>0.89635998010635376</v>
      </c>
      <c r="C5" s="8">
        <v>2.3407440185546875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13782.125266453559</v>
      </c>
      <c r="I5" s="18">
        <f t="shared" si="0"/>
        <v>7.0976912975311279E-2</v>
      </c>
      <c r="L5" s="14">
        <v>0.1</v>
      </c>
    </row>
    <row r="6" spans="1:12" x14ac:dyDescent="0.3">
      <c r="A6" s="11">
        <f>20000</f>
        <v>20000</v>
      </c>
      <c r="B6" s="12">
        <v>0.96733689308166504</v>
      </c>
      <c r="C6" s="8">
        <v>2.2161622047424316</v>
      </c>
      <c r="D6" s="14">
        <f t="shared" si="1"/>
        <v>0.1</v>
      </c>
      <c r="E6" s="14"/>
      <c r="F6" s="8"/>
      <c r="G6" s="8"/>
      <c r="H6" s="17">
        <f t="shared" si="2"/>
        <v>24191.017301668599</v>
      </c>
      <c r="I6" s="18">
        <f t="shared" si="0"/>
        <v>1.703345775604248E-2</v>
      </c>
      <c r="L6" s="14">
        <v>0.1</v>
      </c>
    </row>
    <row r="7" spans="1:12" x14ac:dyDescent="0.3">
      <c r="A7" s="11">
        <f>30000</f>
        <v>30000</v>
      </c>
      <c r="B7" s="12">
        <v>0.98437035083770752</v>
      </c>
      <c r="C7" s="8">
        <v>2.208789587020874</v>
      </c>
      <c r="D7" s="14">
        <f t="shared" si="1"/>
        <v>0.1</v>
      </c>
      <c r="E7" s="14"/>
      <c r="H7" s="17">
        <f t="shared" si="2"/>
        <v>34425.177763401836</v>
      </c>
      <c r="I7" s="18">
        <f t="shared" si="0"/>
        <v>6.3678622245788574E-3</v>
      </c>
      <c r="L7" s="14">
        <v>0.1</v>
      </c>
    </row>
    <row r="8" spans="1:12" x14ac:dyDescent="0.3">
      <c r="A8" s="11">
        <f>40000</f>
        <v>40000</v>
      </c>
      <c r="B8" s="12">
        <v>0.99073821306228638</v>
      </c>
      <c r="C8" s="8">
        <v>2.2038495540618896</v>
      </c>
      <c r="D8" s="14">
        <f t="shared" si="1"/>
        <v>0.1</v>
      </c>
      <c r="E8" s="14"/>
      <c r="H8" s="17">
        <f t="shared" si="2"/>
        <v>44597.495680071617</v>
      </c>
      <c r="I8" s="18">
        <f t="shared" si="0"/>
        <v>3.0462145805358887E-3</v>
      </c>
      <c r="L8" s="14">
        <v>0.1</v>
      </c>
    </row>
    <row r="9" spans="1:12" x14ac:dyDescent="0.3">
      <c r="A9" s="11">
        <f>50000</f>
        <v>50000</v>
      </c>
      <c r="B9" s="12">
        <v>0.99378442764282227</v>
      </c>
      <c r="C9" s="12">
        <v>2.1900150775909424</v>
      </c>
      <c r="D9" s="14">
        <f t="shared" si="1"/>
        <v>0.1</v>
      </c>
      <c r="E9" s="14"/>
      <c r="H9" s="17">
        <f t="shared" si="2"/>
        <v>67476.087360600242</v>
      </c>
      <c r="I9" s="18">
        <f t="shared" si="0"/>
        <v>4.3773651123046875E-3</v>
      </c>
      <c r="L9" s="14">
        <v>0.1</v>
      </c>
    </row>
    <row r="10" spans="1:12" x14ac:dyDescent="0.3">
      <c r="A10" s="11">
        <f>100000</f>
        <v>100000</v>
      </c>
      <c r="B10" s="12">
        <v>0.99816179275512695</v>
      </c>
      <c r="C10" s="12">
        <v>2.0957505702972412</v>
      </c>
      <c r="D10" s="14">
        <f t="shared" si="1"/>
        <v>0.1</v>
      </c>
      <c r="E10" s="14"/>
      <c r="H10" s="17">
        <f t="shared" si="2"/>
        <v>135095.85989175603</v>
      </c>
      <c r="I10" s="18">
        <f t="shared" si="0"/>
        <v>1.3069510459899902E-3</v>
      </c>
      <c r="L10" s="14">
        <v>0.1</v>
      </c>
    </row>
    <row r="11" spans="1:12" x14ac:dyDescent="0.3">
      <c r="A11" s="11">
        <f>200000</f>
        <v>200000</v>
      </c>
      <c r="B11" s="12">
        <v>0.99946874380111694</v>
      </c>
      <c r="C11" s="12">
        <v>1.9640120267868042</v>
      </c>
      <c r="D11" s="14">
        <f t="shared" si="1"/>
        <v>0.1</v>
      </c>
      <c r="E11" s="14"/>
      <c r="H11" s="17">
        <f t="shared" si="2"/>
        <v>290534.83055736258</v>
      </c>
      <c r="I11" s="18">
        <f t="shared" si="0"/>
        <v>4.4870376586914063E-4</v>
      </c>
      <c r="L11" s="14">
        <v>0.1</v>
      </c>
    </row>
    <row r="12" spans="1:12" x14ac:dyDescent="0.3">
      <c r="A12" s="11">
        <f>500000</f>
        <v>500000</v>
      </c>
      <c r="B12" s="12">
        <v>0.99991744756698608</v>
      </c>
      <c r="C12" s="12">
        <v>1.8973308801651001</v>
      </c>
      <c r="D12" s="14">
        <f t="shared" si="1"/>
        <v>0.1</v>
      </c>
      <c r="E12" s="14"/>
      <c r="H12" s="17">
        <f t="shared" si="2"/>
        <v>664689.13027170976</v>
      </c>
      <c r="I12" s="18">
        <f t="shared" si="0"/>
        <v>6.4194202423095703E-5</v>
      </c>
      <c r="L12" s="14">
        <v>0.1</v>
      </c>
    </row>
    <row r="13" spans="1:12" x14ac:dyDescent="0.3">
      <c r="A13" s="11">
        <f>1000000</f>
        <v>1000000</v>
      </c>
      <c r="B13" s="12">
        <v>0.99998164176940918</v>
      </c>
      <c r="C13" s="12">
        <v>1.9416605234146118</v>
      </c>
      <c r="D13" s="14">
        <f t="shared" si="1"/>
        <v>0.1</v>
      </c>
      <c r="E13" s="14"/>
      <c r="H13" s="17">
        <f>C13*A13</f>
        <v>1941660.5234146118</v>
      </c>
      <c r="I13" s="18">
        <f>1-B13</f>
        <v>1.8358230590820313E-5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1935</v>
      </c>
      <c r="C1" s="8" t="s">
        <v>24</v>
      </c>
      <c r="D1" s="10">
        <f>1000*[1]TD1!$C$42</f>
        <v>16873981.152787812</v>
      </c>
      <c r="E1" s="8" t="s">
        <v>30</v>
      </c>
      <c r="F1" s="21">
        <f>(SUMPRODUCT(D4:D13,H4:H13,I4:I13)/(D2*B2))/((1-SUMPRODUCT(D4:D13,H4:H13,I4:I13)/B2)/(1-D2))</f>
        <v>0.80269164372876267</v>
      </c>
      <c r="G1" s="19"/>
      <c r="H1" s="16"/>
    </row>
    <row r="2" spans="1:12" x14ac:dyDescent="0.3">
      <c r="A2" s="8" t="s">
        <v>12</v>
      </c>
      <c r="B2" s="11">
        <f>[1]TD2!$M$42</f>
        <v>6440.5592894603014</v>
      </c>
      <c r="C2" s="8" t="s">
        <v>15</v>
      </c>
      <c r="D2" s="14">
        <f>[1]TD1!$F$42</f>
        <v>0.22510623521797002</v>
      </c>
      <c r="E2" s="18" t="s">
        <v>26</v>
      </c>
      <c r="I2" s="8"/>
      <c r="L2" s="14">
        <f>D2</f>
        <v>0.22510623521797002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0.2385089615395426</v>
      </c>
      <c r="E4" s="14"/>
      <c r="F4" s="8"/>
      <c r="G4" s="8"/>
      <c r="H4" s="17">
        <f>((1-B4)*B2-(1-B5)*C5*A5)/(B5-B4)</f>
        <v>4586.3846866249305</v>
      </c>
      <c r="I4" s="18">
        <f t="shared" ref="I4:I12" si="0">B5-B4</f>
        <v>0.90323567390441895</v>
      </c>
      <c r="L4" s="14"/>
    </row>
    <row r="5" spans="1:12" x14ac:dyDescent="0.3">
      <c r="A5" s="11">
        <f>10000</f>
        <v>10000</v>
      </c>
      <c r="B5" s="12">
        <v>0.90323567390441895</v>
      </c>
      <c r="C5" s="8">
        <v>2.3748142719268799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13794.697351661878</v>
      </c>
      <c r="I5" s="18">
        <f t="shared" si="0"/>
        <v>6.623077392578125E-2</v>
      </c>
      <c r="L5" s="14">
        <v>0.1</v>
      </c>
    </row>
    <row r="6" spans="1:12" x14ac:dyDescent="0.3">
      <c r="A6" s="11">
        <f>20000</f>
        <v>20000</v>
      </c>
      <c r="B6" s="12">
        <v>0.9694664478302002</v>
      </c>
      <c r="C6" s="8">
        <v>2.2669153213500977</v>
      </c>
      <c r="D6" s="14">
        <f t="shared" si="1"/>
        <v>0.1</v>
      </c>
      <c r="E6" s="14"/>
      <c r="F6" s="8"/>
      <c r="G6" s="8"/>
      <c r="H6" s="17">
        <f t="shared" si="2"/>
        <v>24230.944005412428</v>
      </c>
      <c r="I6" s="18">
        <f t="shared" si="0"/>
        <v>1.5833616256713867E-2</v>
      </c>
      <c r="L6" s="14">
        <v>0.1</v>
      </c>
    </row>
    <row r="7" spans="1:12" x14ac:dyDescent="0.3">
      <c r="A7" s="11">
        <f>30000</f>
        <v>30000</v>
      </c>
      <c r="B7" s="12">
        <v>0.98530006408691406</v>
      </c>
      <c r="C7" s="8">
        <v>2.2691166400909424</v>
      </c>
      <c r="D7" s="14">
        <f t="shared" si="1"/>
        <v>0.1</v>
      </c>
      <c r="E7" s="14"/>
      <c r="H7" s="17">
        <f t="shared" si="2"/>
        <v>35856.976561037285</v>
      </c>
      <c r="I7" s="18">
        <f t="shared" si="0"/>
        <v>5.7452917098999023E-3</v>
      </c>
      <c r="L7" s="14">
        <v>0.1</v>
      </c>
    </row>
    <row r="8" spans="1:12" x14ac:dyDescent="0.3">
      <c r="A8" s="11">
        <f>40000</f>
        <v>40000</v>
      </c>
      <c r="B8" s="12">
        <v>0.99104535579681396</v>
      </c>
      <c r="C8" s="8">
        <v>2.2185897827148438</v>
      </c>
      <c r="D8" s="14">
        <f t="shared" si="1"/>
        <v>0.1</v>
      </c>
      <c r="E8" s="14"/>
      <c r="H8" s="17">
        <f t="shared" si="2"/>
        <v>44628.615113747212</v>
      </c>
      <c r="I8" s="18">
        <f t="shared" si="0"/>
        <v>2.8931498527526855E-3</v>
      </c>
      <c r="L8" s="14">
        <v>0.1</v>
      </c>
    </row>
    <row r="9" spans="1:12" x14ac:dyDescent="0.3">
      <c r="A9" s="11">
        <f>50000</f>
        <v>50000</v>
      </c>
      <c r="B9" s="12">
        <v>0.99393850564956665</v>
      </c>
      <c r="C9" s="12">
        <v>2.195993185043335</v>
      </c>
      <c r="D9" s="14">
        <f t="shared" si="1"/>
        <v>0.1</v>
      </c>
      <c r="E9" s="14"/>
      <c r="H9" s="17">
        <f t="shared" si="2"/>
        <v>67448.083076637457</v>
      </c>
      <c r="I9" s="18">
        <f t="shared" si="0"/>
        <v>4.2879581451416016E-3</v>
      </c>
      <c r="L9" s="14">
        <v>0.1</v>
      </c>
    </row>
    <row r="10" spans="1:12" x14ac:dyDescent="0.3">
      <c r="A10" s="11">
        <f>100000</f>
        <v>100000</v>
      </c>
      <c r="B10" s="12">
        <v>0.99822646379470825</v>
      </c>
      <c r="C10" s="12">
        <v>2.1219496726989746</v>
      </c>
      <c r="D10" s="14">
        <f t="shared" si="1"/>
        <v>0.1</v>
      </c>
      <c r="E10" s="14"/>
      <c r="H10" s="17">
        <f t="shared" si="2"/>
        <v>134670.22199408329</v>
      </c>
      <c r="I10" s="18">
        <f t="shared" si="0"/>
        <v>1.2702345848083496E-3</v>
      </c>
      <c r="L10" s="14">
        <v>0.1</v>
      </c>
    </row>
    <row r="11" spans="1:12" x14ac:dyDescent="0.3">
      <c r="A11" s="11">
        <f>200000</f>
        <v>200000</v>
      </c>
      <c r="B11" s="12">
        <v>0.9994966983795166</v>
      </c>
      <c r="C11" s="12">
        <v>2.0392611026763916</v>
      </c>
      <c r="D11" s="14">
        <f t="shared" si="1"/>
        <v>0.1</v>
      </c>
      <c r="E11" s="14"/>
      <c r="H11" s="17">
        <f t="shared" si="2"/>
        <v>288451.99325604748</v>
      </c>
      <c r="I11" s="18">
        <f t="shared" si="0"/>
        <v>4.2080879211425781E-4</v>
      </c>
      <c r="L11" s="14">
        <v>0.1</v>
      </c>
    </row>
    <row r="12" spans="1:12" x14ac:dyDescent="0.3">
      <c r="A12" s="11">
        <f>500000</f>
        <v>500000</v>
      </c>
      <c r="B12" s="12">
        <v>0.99991750717163086</v>
      </c>
      <c r="C12" s="12">
        <v>2.033862829208374</v>
      </c>
      <c r="D12" s="14">
        <f t="shared" si="1"/>
        <v>0.1</v>
      </c>
      <c r="E12" s="14"/>
      <c r="H12" s="17">
        <f t="shared" si="2"/>
        <v>660384.48252576462</v>
      </c>
      <c r="I12" s="18">
        <f t="shared" si="0"/>
        <v>6.1631202697753906E-5</v>
      </c>
      <c r="L12" s="14">
        <v>0.1</v>
      </c>
    </row>
    <row r="13" spans="1:12" x14ac:dyDescent="0.3">
      <c r="A13" s="11">
        <f>1000000</f>
        <v>1000000</v>
      </c>
      <c r="B13" s="12">
        <v>0.99997913837432861</v>
      </c>
      <c r="C13" s="12">
        <v>2.0702729225158691</v>
      </c>
      <c r="D13" s="14">
        <f t="shared" si="1"/>
        <v>0.1</v>
      </c>
      <c r="E13" s="14"/>
      <c r="H13" s="17">
        <f>C13*A13</f>
        <v>2070272.9225158691</v>
      </c>
      <c r="I13" s="18">
        <f>1-B13</f>
        <v>2.0861625671386719E-5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A3" zoomScale="120" zoomScaleNormal="120" zoomScalePageLayoutView="120" workbookViewId="0">
      <selection activeCell="A3" sqref="A3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1922</v>
      </c>
      <c r="C1" s="8" t="s">
        <v>24</v>
      </c>
      <c r="D1" s="10">
        <f>1000*[1]TD1!$C$29</f>
        <v>15452520.658639722</v>
      </c>
      <c r="E1" s="8" t="s">
        <v>30</v>
      </c>
      <c r="F1" s="21">
        <f>(SUMPRODUCT(D4:D14,H4:H14,I4:I14)/(D2*B2))/((1-SUMPRODUCT(D4:D14,H4:H14,I4:I14)/B2)/(1-D2))</f>
        <v>0.74599571285046384</v>
      </c>
      <c r="G1" s="19"/>
      <c r="H1" s="16"/>
    </row>
    <row r="2" spans="1:12" x14ac:dyDescent="0.3">
      <c r="A2" s="8" t="s">
        <v>12</v>
      </c>
      <c r="B2" s="11">
        <f>[1]TD2!$M$29</f>
        <v>4743.8584152067097</v>
      </c>
      <c r="C2" s="8" t="s">
        <v>15</v>
      </c>
      <c r="D2" s="14">
        <f>[1]TD1!$F$29</f>
        <v>0.21176900039060409</v>
      </c>
      <c r="E2" s="18" t="s">
        <v>26</v>
      </c>
      <c r="I2" s="8"/>
      <c r="L2" s="14">
        <f>D2</f>
        <v>0.21176900039060409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0.23108272974937327</v>
      </c>
      <c r="E4" s="14"/>
      <c r="F4" s="8"/>
      <c r="G4" s="8"/>
      <c r="H4" s="17">
        <f>((1-B4)*B2-(1-B5)*C5*A5)/(B5-B4)</f>
        <v>2841.9926106444791</v>
      </c>
      <c r="I4" s="18">
        <f t="shared" ref="I4" si="0">B5-B4</f>
        <v>0.85266000032424927</v>
      </c>
      <c r="L4" s="14"/>
    </row>
    <row r="5" spans="1:12" x14ac:dyDescent="0.3">
      <c r="A5" s="11">
        <v>7000</v>
      </c>
      <c r="B5" s="12">
        <v>0.85266000032424927</v>
      </c>
      <c r="C5" s="12">
        <v>2.25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8501.5105293401539</v>
      </c>
      <c r="I5" s="18">
        <f t="shared" ref="I5:I13" si="3">B6-B5</f>
        <v>8.8329970836639404E-2</v>
      </c>
      <c r="L5" s="14">
        <v>0.1</v>
      </c>
    </row>
    <row r="6" spans="1:12" x14ac:dyDescent="0.3">
      <c r="A6" s="11">
        <v>10000</v>
      </c>
      <c r="B6" s="12">
        <v>0.94098997116088867</v>
      </c>
      <c r="C6" s="12">
        <v>2.6600000858306885</v>
      </c>
      <c r="D6" s="14">
        <f t="shared" si="1"/>
        <v>0.1</v>
      </c>
      <c r="E6" s="14"/>
      <c r="F6" s="8"/>
      <c r="G6" s="8"/>
      <c r="H6" s="17">
        <f t="shared" si="2"/>
        <v>14323.152514033502</v>
      </c>
      <c r="I6" s="18">
        <f t="shared" si="3"/>
        <v>3.9404295464432915E-2</v>
      </c>
      <c r="L6" s="14">
        <v>0.1</v>
      </c>
    </row>
    <row r="7" spans="1:12" x14ac:dyDescent="0.3">
      <c r="A7" s="11">
        <v>20000</v>
      </c>
      <c r="B7" s="12">
        <v>0.98039426662532159</v>
      </c>
      <c r="C7" s="12">
        <v>2.5637222156206469</v>
      </c>
      <c r="D7" s="14">
        <f t="shared" si="1"/>
        <v>0.1</v>
      </c>
      <c r="E7" s="14"/>
      <c r="G7" s="50"/>
      <c r="H7" s="17">
        <f t="shared" si="2"/>
        <v>24357.245597852681</v>
      </c>
      <c r="I7" s="18">
        <f t="shared" si="3"/>
        <v>9.331228424495297E-3</v>
      </c>
      <c r="L7" s="14">
        <v>0.1</v>
      </c>
    </row>
    <row r="8" spans="1:12" x14ac:dyDescent="0.3">
      <c r="A8" s="11">
        <v>30000</v>
      </c>
      <c r="B8" s="12">
        <v>0.98972549504981688</v>
      </c>
      <c r="C8" s="12">
        <v>2.5240147511762521</v>
      </c>
      <c r="D8" s="14">
        <f t="shared" si="1"/>
        <v>0.1</v>
      </c>
      <c r="E8" s="14"/>
      <c r="G8" s="50"/>
      <c r="H8" s="17">
        <f t="shared" si="2"/>
        <v>37929.58404466373</v>
      </c>
      <c r="I8" s="18">
        <f t="shared" si="3"/>
        <v>5.6102173823355805E-3</v>
      </c>
      <c r="L8" s="14">
        <v>0.1</v>
      </c>
    </row>
    <row r="9" spans="1:12" x14ac:dyDescent="0.3">
      <c r="A9" s="11">
        <v>50000</v>
      </c>
      <c r="B9" s="12">
        <v>0.99533571243215246</v>
      </c>
      <c r="C9" s="12">
        <v>2.4235077349982657</v>
      </c>
      <c r="D9" s="14">
        <f t="shared" si="1"/>
        <v>0.1</v>
      </c>
      <c r="E9" s="14"/>
      <c r="G9" s="50"/>
      <c r="H9" s="17">
        <f t="shared" si="2"/>
        <v>68694.909322303021</v>
      </c>
      <c r="I9" s="18">
        <f t="shared" si="3"/>
        <v>3.0509585485420931E-3</v>
      </c>
      <c r="L9" s="14">
        <v>0.1</v>
      </c>
    </row>
    <row r="10" spans="1:12" x14ac:dyDescent="0.3">
      <c r="A10" s="11">
        <v>100000</v>
      </c>
      <c r="B10" s="12">
        <v>0.99838667098069456</v>
      </c>
      <c r="C10" s="12">
        <v>2.2042095868431608</v>
      </c>
      <c r="D10" s="14">
        <f t="shared" si="1"/>
        <v>0.1</v>
      </c>
      <c r="E10" s="14"/>
      <c r="G10" s="50"/>
      <c r="H10" s="17">
        <f t="shared" si="2"/>
        <v>135255.92116737977</v>
      </c>
      <c r="I10" s="18">
        <f t="shared" si="3"/>
        <v>1.113151723268091E-3</v>
      </c>
      <c r="L10" s="14">
        <v>0.1</v>
      </c>
    </row>
    <row r="11" spans="1:12" x14ac:dyDescent="0.3">
      <c r="A11" s="11">
        <v>200000</v>
      </c>
      <c r="B11" s="12">
        <v>0.99949982270396265</v>
      </c>
      <c r="C11" s="12">
        <v>2.0497848363307027</v>
      </c>
      <c r="D11" s="14">
        <f t="shared" si="1"/>
        <v>0.1</v>
      </c>
      <c r="E11" s="14"/>
      <c r="G11" s="50"/>
      <c r="H11" s="17">
        <f t="shared" si="2"/>
        <v>240281.16013884262</v>
      </c>
      <c r="I11" s="18">
        <f t="shared" si="3"/>
        <v>2.6105773220530537E-4</v>
      </c>
      <c r="L11" s="14">
        <v>0.1</v>
      </c>
    </row>
    <row r="12" spans="1:12" x14ac:dyDescent="0.3">
      <c r="A12" s="11">
        <v>300000</v>
      </c>
      <c r="B12" s="12">
        <v>0.99976088043616795</v>
      </c>
      <c r="C12" s="12">
        <v>1.9839992783040146</v>
      </c>
      <c r="D12" s="14">
        <f t="shared" si="1"/>
        <v>0.1</v>
      </c>
      <c r="E12" s="14"/>
      <c r="G12" s="50"/>
      <c r="H12" s="17">
        <f t="shared" si="2"/>
        <v>383191.49645674723</v>
      </c>
      <c r="I12" s="18">
        <f t="shared" si="3"/>
        <v>1.5524975199809887E-4</v>
      </c>
      <c r="L12" s="14">
        <v>0.1</v>
      </c>
    </row>
    <row r="13" spans="1:12" x14ac:dyDescent="0.3">
      <c r="A13" s="11">
        <v>500000</v>
      </c>
      <c r="B13" s="12">
        <v>0.99991613018816605</v>
      </c>
      <c r="C13" s="12">
        <v>1.9752882716049383</v>
      </c>
      <c r="D13" s="14">
        <f t="shared" si="1"/>
        <v>0.1</v>
      </c>
      <c r="E13" s="14"/>
      <c r="G13" s="50"/>
      <c r="H13" s="17">
        <f t="shared" si="2"/>
        <v>677052.04178571259</v>
      </c>
      <c r="I13" s="18">
        <f t="shared" si="3"/>
        <v>6.8144222115096298E-5</v>
      </c>
      <c r="L13" s="14">
        <v>0.1</v>
      </c>
    </row>
    <row r="14" spans="1:12" x14ac:dyDescent="0.3">
      <c r="A14" s="17">
        <v>1000000</v>
      </c>
      <c r="B14" s="18">
        <v>0.99998427441028115</v>
      </c>
      <c r="C14" s="18">
        <v>2.3335432098765434</v>
      </c>
      <c r="D14" s="14">
        <f t="shared" si="1"/>
        <v>0.1</v>
      </c>
      <c r="E14" s="14"/>
      <c r="G14" s="50"/>
      <c r="H14" s="17">
        <f>C14*A14</f>
        <v>2333543.2098765434</v>
      </c>
      <c r="I14" s="18">
        <f>1-B14</f>
        <v>1.5725589718851296E-5</v>
      </c>
      <c r="L14" s="14">
        <v>0.1</v>
      </c>
    </row>
    <row r="15" spans="1:12" x14ac:dyDescent="0.3">
      <c r="H15" s="17"/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1942</v>
      </c>
      <c r="C1" s="8" t="s">
        <v>24</v>
      </c>
      <c r="D1" s="10">
        <f>1000*[1]TD1!$C$49</f>
        <v>15371957.9974781</v>
      </c>
      <c r="E1" s="8" t="s">
        <v>30</v>
      </c>
      <c r="F1" s="21">
        <f>(SUMPRODUCT(D4:D28,H4:H28,I4:I28)/(D2*B2))/((1-SUMPRODUCT(D4:D28,H4:H28,I4:I28)/B2)/(1-D2))</f>
        <v>0.81377641738039774</v>
      </c>
      <c r="G1" s="19"/>
      <c r="H1" s="16"/>
    </row>
    <row r="2" spans="1:12" x14ac:dyDescent="0.3">
      <c r="A2" s="8" t="s">
        <v>12</v>
      </c>
      <c r="B2" s="11">
        <f>[1]TD2!$M$49</f>
        <v>15725.75586490549</v>
      </c>
      <c r="C2" s="8" t="s">
        <v>15</v>
      </c>
      <c r="D2" s="14">
        <f>[1]TD1!$F$49</f>
        <v>0.28716373831733755</v>
      </c>
      <c r="E2" s="18" t="s">
        <v>26</v>
      </c>
      <c r="I2" s="8"/>
      <c r="L2" s="14">
        <f>D2</f>
        <v>0.28716373831733755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(D2-SUMPRODUCT(D5:D28,I5:I28))/I4</f>
        <v>0.30980416357041102</v>
      </c>
      <c r="E4" s="14"/>
      <c r="F4" s="8"/>
      <c r="G4" s="8"/>
      <c r="H4" s="17">
        <f>((1-B4)*B2-(1-B5)*C5*A5)/(B5-B4)</f>
        <v>12341.894588920855</v>
      </c>
      <c r="I4" s="18">
        <f t="shared" ref="I4:I27" si="0">B5-B4</f>
        <v>0.89208781719207764</v>
      </c>
      <c r="L4" s="14"/>
    </row>
    <row r="5" spans="1:12" x14ac:dyDescent="0.3">
      <c r="A5" s="11">
        <v>20000</v>
      </c>
      <c r="B5" s="12">
        <v>0.89208781719207764</v>
      </c>
      <c r="C5" s="8">
        <v>2.1849720478057861</v>
      </c>
      <c r="D5" s="14">
        <f t="shared" ref="D5:D28" si="1">L5*D$2/L$2</f>
        <v>0.1</v>
      </c>
      <c r="E5" s="14"/>
      <c r="F5" s="8"/>
      <c r="G5" s="8"/>
      <c r="H5" s="17">
        <f t="shared" ref="H5:H27" si="2">((1-B5)*C5*A5-(1-B6)*C6*A6)/(B6-B5)</f>
        <v>24759.880316721552</v>
      </c>
      <c r="I5" s="18">
        <f t="shared" si="0"/>
        <v>5.4244458675384521E-2</v>
      </c>
      <c r="L5" s="14">
        <v>0.1</v>
      </c>
    </row>
    <row r="6" spans="1:12" x14ac:dyDescent="0.3">
      <c r="A6" s="11">
        <v>30000</v>
      </c>
      <c r="B6" s="12">
        <v>0.94633227586746216</v>
      </c>
      <c r="C6" s="8">
        <v>2.0947511196136475</v>
      </c>
      <c r="D6" s="14">
        <f t="shared" si="1"/>
        <v>0.1</v>
      </c>
      <c r="E6" s="14"/>
      <c r="F6" s="8"/>
      <c r="G6" s="8"/>
      <c r="H6" s="17">
        <f t="shared" si="2"/>
        <v>34963.215971493133</v>
      </c>
      <c r="I6" s="18">
        <f t="shared" si="0"/>
        <v>2.2551655769348145E-2</v>
      </c>
      <c r="L6" s="14">
        <v>0.1</v>
      </c>
    </row>
    <row r="7" spans="1:12" x14ac:dyDescent="0.3">
      <c r="A7" s="11">
        <v>40000</v>
      </c>
      <c r="B7" s="12">
        <v>0.9688839316368103</v>
      </c>
      <c r="C7" s="8">
        <v>2.0762081146240234</v>
      </c>
      <c r="D7" s="14">
        <f t="shared" si="1"/>
        <v>0.1</v>
      </c>
      <c r="E7" s="14"/>
      <c r="H7" s="17">
        <f t="shared" si="2"/>
        <v>44997.218151265763</v>
      </c>
      <c r="I7" s="18">
        <f t="shared" si="0"/>
        <v>1.0613083839416504E-2</v>
      </c>
      <c r="L7" s="14">
        <v>0.1</v>
      </c>
    </row>
    <row r="8" spans="1:12" x14ac:dyDescent="0.3">
      <c r="A8" s="11">
        <v>50000</v>
      </c>
      <c r="B8" s="12">
        <v>0.97949701547622681</v>
      </c>
      <c r="C8" s="8">
        <v>2.0548989772796631</v>
      </c>
      <c r="D8" s="14">
        <f t="shared" si="1"/>
        <v>0.1</v>
      </c>
      <c r="E8" s="14"/>
      <c r="H8" s="17">
        <f t="shared" si="2"/>
        <v>55081.792513604181</v>
      </c>
      <c r="I8" s="18">
        <f t="shared" si="0"/>
        <v>5.7023763656616211E-3</v>
      </c>
      <c r="L8" s="14">
        <v>0.1</v>
      </c>
    </row>
    <row r="9" spans="1:12" x14ac:dyDescent="0.3">
      <c r="A9" s="11">
        <v>60000</v>
      </c>
      <c r="B9" s="12">
        <v>0.98519939184188843</v>
      </c>
      <c r="C9" s="12">
        <v>2.0184767246246338</v>
      </c>
      <c r="D9" s="14">
        <f t="shared" si="1"/>
        <v>0.1</v>
      </c>
      <c r="E9" s="14"/>
      <c r="H9" s="17">
        <f t="shared" si="2"/>
        <v>65193.442409247487</v>
      </c>
      <c r="I9" s="18">
        <f t="shared" si="0"/>
        <v>3.5189390182495117E-3</v>
      </c>
      <c r="L9" s="14">
        <v>0.1</v>
      </c>
    </row>
    <row r="10" spans="1:12" x14ac:dyDescent="0.3">
      <c r="A10" s="11">
        <v>70000</v>
      </c>
      <c r="B10" s="12">
        <v>0.98871833086013794</v>
      </c>
      <c r="C10" s="12">
        <v>1.9792780876159668</v>
      </c>
      <c r="D10" s="14">
        <f t="shared" si="1"/>
        <v>0.1</v>
      </c>
      <c r="E10" s="14"/>
      <c r="H10" s="17">
        <f t="shared" si="2"/>
        <v>75203.381488992949</v>
      </c>
      <c r="I10" s="18">
        <f t="shared" si="0"/>
        <v>2.3739337921142578E-3</v>
      </c>
      <c r="L10" s="14">
        <v>0.1</v>
      </c>
    </row>
    <row r="11" spans="1:12" x14ac:dyDescent="0.3">
      <c r="A11" s="11">
        <v>80000</v>
      </c>
      <c r="B11" s="12">
        <v>0.9910922646522522</v>
      </c>
      <c r="C11" s="12">
        <v>1.9428919553756714</v>
      </c>
      <c r="D11" s="14">
        <f t="shared" si="1"/>
        <v>0.1</v>
      </c>
      <c r="E11" s="14"/>
      <c r="H11" s="17">
        <f t="shared" si="2"/>
        <v>85265.442692335564</v>
      </c>
      <c r="I11" s="18">
        <f t="shared" si="0"/>
        <v>1.6910433769226074E-3</v>
      </c>
      <c r="L11" s="14">
        <v>0.1</v>
      </c>
    </row>
    <row r="12" spans="1:12" x14ac:dyDescent="0.3">
      <c r="A12" s="11">
        <v>90000</v>
      </c>
      <c r="B12" s="12">
        <v>0.9927833080291748</v>
      </c>
      <c r="C12" s="12">
        <v>1.9096989631652832</v>
      </c>
      <c r="D12" s="14">
        <f t="shared" si="1"/>
        <v>0.1</v>
      </c>
      <c r="E12" s="14"/>
      <c r="H12" s="17">
        <f t="shared" si="2"/>
        <v>95366.386554243509</v>
      </c>
      <c r="I12" s="18">
        <f t="shared" si="0"/>
        <v>1.280367374420166E-3</v>
      </c>
      <c r="L12" s="14">
        <v>0.1</v>
      </c>
    </row>
    <row r="13" spans="1:12" x14ac:dyDescent="0.3">
      <c r="A13" s="11">
        <v>100000</v>
      </c>
      <c r="B13" s="12">
        <v>0.99406367540359497</v>
      </c>
      <c r="C13" s="12">
        <v>1.883741021156311</v>
      </c>
      <c r="D13" s="14">
        <f t="shared" si="1"/>
        <v>0.1</v>
      </c>
      <c r="E13" s="14"/>
      <c r="H13" s="17">
        <f t="shared" si="2"/>
        <v>109790.48943277943</v>
      </c>
      <c r="I13" s="18">
        <f t="shared" si="0"/>
        <v>1.7465949058532715E-3</v>
      </c>
      <c r="L13" s="14">
        <v>0.1</v>
      </c>
    </row>
    <row r="14" spans="1:12" x14ac:dyDescent="0.3">
      <c r="A14" s="11">
        <v>120000</v>
      </c>
      <c r="B14" s="12">
        <v>0.99581027030944824</v>
      </c>
      <c r="C14" s="12">
        <v>1.842780590057373</v>
      </c>
      <c r="D14" s="14">
        <f t="shared" si="1"/>
        <v>0.1</v>
      </c>
      <c r="E14" s="14"/>
      <c r="H14" s="17">
        <f t="shared" si="2"/>
        <v>129711.31757475671</v>
      </c>
      <c r="I14" s="18">
        <f t="shared" si="0"/>
        <v>1.0987520217895508E-3</v>
      </c>
      <c r="L14" s="14">
        <v>0.1</v>
      </c>
    </row>
    <row r="15" spans="1:12" x14ac:dyDescent="0.3">
      <c r="A15" s="11">
        <v>140000</v>
      </c>
      <c r="B15" s="12">
        <v>0.99690902233123779</v>
      </c>
      <c r="C15" s="12">
        <v>1.8116545677185059</v>
      </c>
      <c r="D15" s="14">
        <f t="shared" si="1"/>
        <v>0.1</v>
      </c>
      <c r="E15" s="14"/>
      <c r="H15" s="17">
        <f t="shared" si="2"/>
        <v>149831.83788468517</v>
      </c>
      <c r="I15" s="18">
        <f t="shared" si="0"/>
        <v>7.3343515396118164E-4</v>
      </c>
      <c r="L15" s="14">
        <v>0.1</v>
      </c>
    </row>
    <row r="16" spans="1:12" x14ac:dyDescent="0.3">
      <c r="A16" s="11">
        <v>160000</v>
      </c>
      <c r="B16" s="12">
        <v>0.99764245748519897</v>
      </c>
      <c r="C16" s="12">
        <v>1.7870244979858398</v>
      </c>
      <c r="D16" s="14">
        <f t="shared" si="1"/>
        <v>0.1</v>
      </c>
      <c r="E16" s="14"/>
      <c r="H16" s="17">
        <f t="shared" si="2"/>
        <v>169634.9192201675</v>
      </c>
      <c r="I16" s="18">
        <f t="shared" si="0"/>
        <v>5.0371885299682617E-4</v>
      </c>
      <c r="L16" s="14">
        <v>0.1</v>
      </c>
    </row>
    <row r="17" spans="1:12" x14ac:dyDescent="0.3">
      <c r="A17" s="11">
        <v>180000</v>
      </c>
      <c r="B17" s="12">
        <v>0.9981461763381958</v>
      </c>
      <c r="C17" s="12">
        <v>1.7640101909637451</v>
      </c>
      <c r="D17" s="14">
        <f t="shared" si="1"/>
        <v>0.1</v>
      </c>
      <c r="E17" s="14"/>
      <c r="H17" s="17">
        <f t="shared" si="2"/>
        <v>189942.21931149715</v>
      </c>
      <c r="I17" s="18">
        <f t="shared" si="0"/>
        <v>3.7008523941040039E-4</v>
      </c>
      <c r="L17" s="14">
        <v>0.1</v>
      </c>
    </row>
    <row r="18" spans="1:12" x14ac:dyDescent="0.3">
      <c r="A18" s="11">
        <v>200000</v>
      </c>
      <c r="B18" s="12">
        <v>0.9985162615776062</v>
      </c>
      <c r="C18" s="12">
        <v>1.7467185258865356</v>
      </c>
      <c r="D18" s="14">
        <f t="shared" si="1"/>
        <v>0.1</v>
      </c>
      <c r="E18" s="14"/>
      <c r="H18" s="17">
        <f t="shared" si="2"/>
        <v>212402.3000097585</v>
      </c>
      <c r="I18" s="18">
        <f t="shared" si="0"/>
        <v>3.2973289489746094E-4</v>
      </c>
      <c r="L18" s="14">
        <v>0.1</v>
      </c>
    </row>
    <row r="19" spans="1:12" x14ac:dyDescent="0.3">
      <c r="A19" s="11">
        <v>225000</v>
      </c>
      <c r="B19" s="12">
        <v>0.99884599447250366</v>
      </c>
      <c r="C19" s="12">
        <v>1.7265415191650391</v>
      </c>
      <c r="D19" s="14">
        <f t="shared" si="1"/>
        <v>0.1</v>
      </c>
      <c r="E19" s="14"/>
      <c r="H19" s="17">
        <f t="shared" si="2"/>
        <v>237432.69528214086</v>
      </c>
      <c r="I19" s="18">
        <f t="shared" si="0"/>
        <v>2.3823976516723633E-4</v>
      </c>
      <c r="L19" s="14">
        <v>0.1</v>
      </c>
    </row>
    <row r="20" spans="1:12" x14ac:dyDescent="0.3">
      <c r="A20" s="11">
        <v>250000</v>
      </c>
      <c r="B20" s="12">
        <v>0.9990842342376709</v>
      </c>
      <c r="C20" s="12">
        <v>1.7110608816146851</v>
      </c>
      <c r="D20" s="14">
        <f t="shared" si="1"/>
        <v>0.1</v>
      </c>
      <c r="E20" s="14"/>
      <c r="H20" s="17">
        <f t="shared" si="2"/>
        <v>262453.32587332954</v>
      </c>
      <c r="I20" s="18">
        <f t="shared" si="0"/>
        <v>1.7273426055908203E-4</v>
      </c>
      <c r="L20" s="14">
        <v>0.1</v>
      </c>
    </row>
    <row r="21" spans="1:12" x14ac:dyDescent="0.3">
      <c r="A21" s="11">
        <v>275000</v>
      </c>
      <c r="B21" s="12">
        <v>0.99925696849822998</v>
      </c>
      <c r="C21" s="12">
        <v>1.6952569484710693</v>
      </c>
      <c r="D21" s="14">
        <f t="shared" si="1"/>
        <v>0.1</v>
      </c>
      <c r="E21" s="14"/>
      <c r="H21" s="17">
        <f t="shared" si="2"/>
        <v>287719.48230384395</v>
      </c>
      <c r="I21" s="18">
        <f t="shared" si="0"/>
        <v>1.3870000839233398E-4</v>
      </c>
      <c r="L21" s="14">
        <v>0.1</v>
      </c>
    </row>
    <row r="22" spans="1:12" x14ac:dyDescent="0.3">
      <c r="A22" s="11">
        <v>300000</v>
      </c>
      <c r="B22" s="12">
        <v>0.99939566850662231</v>
      </c>
      <c r="C22" s="12">
        <v>1.6905256509780884</v>
      </c>
      <c r="D22" s="14">
        <f t="shared" si="1"/>
        <v>0.1</v>
      </c>
      <c r="E22" s="14"/>
      <c r="H22" s="17">
        <f t="shared" si="2"/>
        <v>311833.98731585359</v>
      </c>
      <c r="I22" s="18">
        <f t="shared" si="0"/>
        <v>1.0591745376586914E-4</v>
      </c>
      <c r="L22" s="14">
        <v>0.1</v>
      </c>
    </row>
    <row r="23" spans="1:12" x14ac:dyDescent="0.3">
      <c r="A23" s="11">
        <v>325000</v>
      </c>
      <c r="B23" s="12">
        <v>0.99950158596038818</v>
      </c>
      <c r="C23" s="12">
        <v>1.6882022619247437</v>
      </c>
      <c r="D23" s="14">
        <f t="shared" si="1"/>
        <v>0.1</v>
      </c>
      <c r="E23" s="14"/>
      <c r="H23" s="17">
        <f t="shared" si="2"/>
        <v>337336.65746014705</v>
      </c>
      <c r="I23" s="18">
        <f t="shared" si="0"/>
        <v>8.3982944488525391E-5</v>
      </c>
      <c r="L23" s="14">
        <v>0.1</v>
      </c>
    </row>
    <row r="24" spans="1:12" x14ac:dyDescent="0.3">
      <c r="A24" s="11">
        <v>350000</v>
      </c>
      <c r="B24" s="12">
        <v>0.99958556890487671</v>
      </c>
      <c r="C24" s="12">
        <v>1.6899737119674683</v>
      </c>
      <c r="D24" s="14">
        <f t="shared" si="1"/>
        <v>0.1</v>
      </c>
      <c r="E24" s="14"/>
      <c r="H24" s="17">
        <f t="shared" si="2"/>
        <v>363258.72568857099</v>
      </c>
      <c r="I24" s="18">
        <f t="shared" si="0"/>
        <v>6.3836574554443359E-5</v>
      </c>
      <c r="L24" s="14">
        <v>0.1</v>
      </c>
    </row>
    <row r="25" spans="1:12" x14ac:dyDescent="0.3">
      <c r="A25" s="11">
        <v>375000</v>
      </c>
      <c r="B25" s="12">
        <v>0.99964940547943115</v>
      </c>
      <c r="C25" s="12">
        <v>1.6881266832351685</v>
      </c>
      <c r="D25" s="14">
        <f t="shared" si="1"/>
        <v>0.1</v>
      </c>
      <c r="E25" s="14"/>
      <c r="H25" s="17">
        <f t="shared" si="2"/>
        <v>387744.35289558908</v>
      </c>
      <c r="I25" s="18">
        <f t="shared" si="0"/>
        <v>5.0067901611328125E-5</v>
      </c>
      <c r="L25" s="14">
        <v>0.1</v>
      </c>
    </row>
    <row r="26" spans="1:12" x14ac:dyDescent="0.3">
      <c r="A26" s="11">
        <v>400000</v>
      </c>
      <c r="B26" s="12">
        <v>0.99969947338104248</v>
      </c>
      <c r="C26" s="12">
        <v>1.6847878694534302</v>
      </c>
      <c r="D26" s="14">
        <f t="shared" si="1"/>
        <v>0.1</v>
      </c>
      <c r="E26" s="14"/>
      <c r="H26" s="17">
        <f t="shared" si="2"/>
        <v>448303.41455598228</v>
      </c>
      <c r="I26" s="18">
        <f t="shared" si="0"/>
        <v>1.3571977615356445E-4</v>
      </c>
      <c r="L26" s="14">
        <v>0.1</v>
      </c>
    </row>
    <row r="27" spans="1:12" x14ac:dyDescent="0.3">
      <c r="A27" s="11">
        <v>510000</v>
      </c>
      <c r="B27" s="12">
        <v>0.99983519315719604</v>
      </c>
      <c r="C27" s="12">
        <v>1.6857024431228638</v>
      </c>
      <c r="D27" s="14">
        <f t="shared" si="1"/>
        <v>0.1</v>
      </c>
      <c r="E27" s="14"/>
      <c r="H27" s="17">
        <f t="shared" si="2"/>
        <v>662868.36482192343</v>
      </c>
      <c r="I27" s="18">
        <f t="shared" si="0"/>
        <v>1.3589859008789063E-4</v>
      </c>
      <c r="L27" s="14">
        <v>0.1</v>
      </c>
    </row>
    <row r="28" spans="1:12" x14ac:dyDescent="0.3">
      <c r="A28" s="11">
        <v>1010000</v>
      </c>
      <c r="B28" s="12">
        <v>0.99997109174728394</v>
      </c>
      <c r="C28" s="12">
        <v>1.7673847675323486</v>
      </c>
      <c r="D28" s="14">
        <f t="shared" si="1"/>
        <v>0.1</v>
      </c>
      <c r="E28" s="14"/>
      <c r="H28" s="17">
        <f>C28*A28</f>
        <v>1785058.6152076721</v>
      </c>
      <c r="I28" s="18">
        <f>1-B28</f>
        <v>2.8908252716064453E-5</v>
      </c>
      <c r="L28" s="14">
        <v>0.1</v>
      </c>
    </row>
    <row r="29" spans="1:12" x14ac:dyDescent="0.3">
      <c r="A29" s="13"/>
      <c r="B29" s="13"/>
      <c r="C29" s="13"/>
      <c r="D29" s="13"/>
      <c r="E29" s="13"/>
      <c r="H29" s="13"/>
      <c r="L29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20" zoomScaleNormal="120" zoomScalePageLayoutView="120" workbookViewId="0">
      <selection activeCell="A5" sqref="A5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1943</v>
      </c>
      <c r="C1" s="8" t="s">
        <v>24</v>
      </c>
      <c r="D1" s="10">
        <f>1000*[1]TD1!$C$50</f>
        <v>15276623.830476714</v>
      </c>
      <c r="E1" s="8" t="s">
        <v>30</v>
      </c>
      <c r="F1" s="21">
        <f>(SUMPRODUCT(D4:D28,H4:H28,I4:I28)/(D2*B2))/((1-SUMPRODUCT(D4:D28,H4:H28,I4:I28)/B2)/(1-D2))</f>
        <v>0.84142544499086458</v>
      </c>
      <c r="G1" s="19"/>
      <c r="H1" s="16"/>
    </row>
    <row r="2" spans="1:12" x14ac:dyDescent="0.3">
      <c r="A2" s="8" t="s">
        <v>12</v>
      </c>
      <c r="B2" s="11">
        <f>[1]TD2!$M$50</f>
        <v>19550.707395629834</v>
      </c>
      <c r="C2" s="8" t="s">
        <v>15</v>
      </c>
      <c r="D2" s="14">
        <f>[1]TD1!$F$50</f>
        <v>0.27897249297428051</v>
      </c>
      <c r="E2" s="18" t="s">
        <v>26</v>
      </c>
      <c r="I2" s="8"/>
      <c r="L2" s="14">
        <f>D2</f>
        <v>0.27897249297428051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(D2-SUMPRODUCT(D5:D28,I5:I28))/I4</f>
        <v>0.3066376221368271</v>
      </c>
      <c r="E4" s="14"/>
      <c r="F4" s="8"/>
      <c r="G4" s="8"/>
      <c r="H4" s="17">
        <f>((1-B4)*B2-(1-B5)*C5*A5)/(B5-B4)</f>
        <v>15905.072948751058</v>
      </c>
      <c r="I4" s="18">
        <f t="shared" ref="I4:I27" si="0">B5-B4</f>
        <v>0.86611765623092651</v>
      </c>
      <c r="L4" s="14"/>
    </row>
    <row r="5" spans="1:12" x14ac:dyDescent="0.3">
      <c r="A5" s="11">
        <v>20000</v>
      </c>
      <c r="B5" s="12">
        <v>0.86611765623092651</v>
      </c>
      <c r="C5" s="8">
        <v>2.1567604541778564</v>
      </c>
      <c r="D5" s="14">
        <f t="shared" ref="D5:D28" si="1">L5*D$2/L$2</f>
        <v>0.1</v>
      </c>
      <c r="E5" s="14"/>
      <c r="F5" s="8"/>
      <c r="G5" s="8"/>
      <c r="H5" s="17">
        <f t="shared" ref="H5:H27" si="2">((1-B5)*C5*A5-(1-B6)*C6*A6)/(B6-B5)</f>
        <v>24813.204454761264</v>
      </c>
      <c r="I5" s="18">
        <f t="shared" si="0"/>
        <v>6.5216302871704102E-2</v>
      </c>
      <c r="L5" s="14">
        <v>0.1</v>
      </c>
    </row>
    <row r="6" spans="1:12" x14ac:dyDescent="0.3">
      <c r="A6" s="11">
        <v>30000</v>
      </c>
      <c r="B6" s="12">
        <v>0.93133395910263062</v>
      </c>
      <c r="C6" s="8">
        <v>2.0178909301757813</v>
      </c>
      <c r="D6" s="14">
        <f t="shared" si="1"/>
        <v>0.1</v>
      </c>
      <c r="E6" s="14"/>
      <c r="F6" s="8"/>
      <c r="G6" s="8"/>
      <c r="H6" s="17">
        <f t="shared" si="2"/>
        <v>34883.658978992862</v>
      </c>
      <c r="I6" s="18">
        <f t="shared" si="0"/>
        <v>2.8558552265167236E-2</v>
      </c>
      <c r="L6" s="14">
        <v>0.1</v>
      </c>
    </row>
    <row r="7" spans="1:12" x14ac:dyDescent="0.3">
      <c r="A7" s="11">
        <v>40000</v>
      </c>
      <c r="B7" s="12">
        <v>0.95989251136779785</v>
      </c>
      <c r="C7" s="8">
        <v>1.9700751304626465</v>
      </c>
      <c r="D7" s="14">
        <f t="shared" si="1"/>
        <v>0.1</v>
      </c>
      <c r="E7" s="14"/>
      <c r="H7" s="17">
        <f t="shared" si="2"/>
        <v>44985.288632541611</v>
      </c>
      <c r="I7" s="18">
        <f t="shared" si="0"/>
        <v>1.4246523380279541E-2</v>
      </c>
      <c r="L7" s="14">
        <v>0.1</v>
      </c>
    </row>
    <row r="8" spans="1:12" x14ac:dyDescent="0.3">
      <c r="A8" s="11">
        <v>50000</v>
      </c>
      <c r="B8" s="12">
        <v>0.97413903474807739</v>
      </c>
      <c r="C8" s="8">
        <v>1.9486563205718994</v>
      </c>
      <c r="D8" s="14">
        <f t="shared" si="1"/>
        <v>0.1</v>
      </c>
      <c r="E8" s="14"/>
      <c r="H8" s="17">
        <f t="shared" si="2"/>
        <v>55063.129742486235</v>
      </c>
      <c r="I8" s="18">
        <f t="shared" si="0"/>
        <v>7.7826380729675293E-3</v>
      </c>
      <c r="L8" s="14">
        <v>0.1</v>
      </c>
    </row>
    <row r="9" spans="1:12" x14ac:dyDescent="0.3">
      <c r="A9" s="11">
        <v>60000</v>
      </c>
      <c r="B9" s="12">
        <v>0.98192167282104492</v>
      </c>
      <c r="C9" s="12">
        <v>1.9278795719146729</v>
      </c>
      <c r="D9" s="14">
        <f t="shared" si="1"/>
        <v>0.1</v>
      </c>
      <c r="E9" s="14"/>
      <c r="H9" s="17">
        <f t="shared" si="2"/>
        <v>65083.476158578669</v>
      </c>
      <c r="I9" s="18">
        <f t="shared" si="0"/>
        <v>4.612267017364502E-3</v>
      </c>
      <c r="L9" s="14">
        <v>0.1</v>
      </c>
    </row>
    <row r="10" spans="1:12" x14ac:dyDescent="0.3">
      <c r="A10" s="11">
        <v>70000</v>
      </c>
      <c r="B10" s="12">
        <v>0.98653393983840942</v>
      </c>
      <c r="C10" s="12">
        <v>1.9000020027160645</v>
      </c>
      <c r="D10" s="14">
        <f t="shared" si="1"/>
        <v>0.1</v>
      </c>
      <c r="E10" s="14"/>
      <c r="H10" s="17">
        <f t="shared" si="2"/>
        <v>75209.186799536052</v>
      </c>
      <c r="I10" s="18">
        <f t="shared" si="0"/>
        <v>3.0356645584106445E-3</v>
      </c>
      <c r="L10" s="14">
        <v>0.1</v>
      </c>
    </row>
    <row r="11" spans="1:12" x14ac:dyDescent="0.3">
      <c r="A11" s="11">
        <v>80000</v>
      </c>
      <c r="B11" s="12">
        <v>0.98956960439682007</v>
      </c>
      <c r="C11" s="12">
        <v>1.8727453947067261</v>
      </c>
      <c r="D11" s="14">
        <f t="shared" si="1"/>
        <v>0.1</v>
      </c>
      <c r="E11" s="14"/>
      <c r="H11" s="17">
        <f t="shared" si="2"/>
        <v>85195.150339765969</v>
      </c>
      <c r="I11" s="18">
        <f t="shared" si="0"/>
        <v>2.0677447319030762E-3</v>
      </c>
      <c r="L11" s="14">
        <v>0.1</v>
      </c>
    </row>
    <row r="12" spans="1:12" x14ac:dyDescent="0.3">
      <c r="A12" s="11">
        <v>90000</v>
      </c>
      <c r="B12" s="12">
        <v>0.99163734912872314</v>
      </c>
      <c r="C12" s="12">
        <v>1.8422071933746338</v>
      </c>
      <c r="D12" s="14">
        <f t="shared" si="1"/>
        <v>0.1</v>
      </c>
      <c r="E12" s="14"/>
      <c r="H12" s="17">
        <f t="shared" si="2"/>
        <v>95269.208059950412</v>
      </c>
      <c r="I12" s="18">
        <f t="shared" si="0"/>
        <v>1.5484094619750977E-3</v>
      </c>
      <c r="L12" s="14">
        <v>0.1</v>
      </c>
    </row>
    <row r="13" spans="1:12" x14ac:dyDescent="0.3">
      <c r="A13" s="11">
        <v>100000</v>
      </c>
      <c r="B13" s="12">
        <v>0.99318575859069824</v>
      </c>
      <c r="C13" s="12">
        <v>1.8182514905929565</v>
      </c>
      <c r="D13" s="14">
        <f t="shared" si="1"/>
        <v>0.1</v>
      </c>
      <c r="E13" s="14"/>
      <c r="H13" s="17">
        <f t="shared" si="2"/>
        <v>109609.51901030344</v>
      </c>
      <c r="I13" s="18">
        <f t="shared" si="0"/>
        <v>2.0946860313415527E-3</v>
      </c>
      <c r="L13" s="14">
        <v>0.1</v>
      </c>
    </row>
    <row r="14" spans="1:12" x14ac:dyDescent="0.3">
      <c r="A14" s="11">
        <v>120000</v>
      </c>
      <c r="B14" s="12">
        <v>0.99528044462203979</v>
      </c>
      <c r="C14" s="12">
        <v>1.7823058366775513</v>
      </c>
      <c r="D14" s="14">
        <f t="shared" si="1"/>
        <v>0.1</v>
      </c>
      <c r="E14" s="14"/>
      <c r="H14" s="17">
        <f t="shared" si="2"/>
        <v>129736.86986289332</v>
      </c>
      <c r="I14" s="18">
        <f t="shared" si="0"/>
        <v>1.2780427932739258E-3</v>
      </c>
      <c r="L14" s="14">
        <v>0.1</v>
      </c>
    </row>
    <row r="15" spans="1:12" x14ac:dyDescent="0.3">
      <c r="A15" s="11">
        <v>140000</v>
      </c>
      <c r="B15" s="12">
        <v>0.99655848741531372</v>
      </c>
      <c r="C15" s="12">
        <v>1.7508780956268311</v>
      </c>
      <c r="D15" s="14">
        <f t="shared" si="1"/>
        <v>0.1</v>
      </c>
      <c r="E15" s="14"/>
      <c r="H15" s="17">
        <f t="shared" si="2"/>
        <v>149851.16322534694</v>
      </c>
      <c r="I15" s="18">
        <f t="shared" si="0"/>
        <v>8.5097551345825195E-4</v>
      </c>
      <c r="L15" s="14">
        <v>0.1</v>
      </c>
    </row>
    <row r="16" spans="1:12" x14ac:dyDescent="0.3">
      <c r="A16" s="11">
        <v>160000</v>
      </c>
      <c r="B16" s="12">
        <v>0.99740946292877197</v>
      </c>
      <c r="C16" s="12">
        <v>1.7276195287704468</v>
      </c>
      <c r="D16" s="14">
        <f t="shared" si="1"/>
        <v>0.1</v>
      </c>
      <c r="E16" s="14"/>
      <c r="H16" s="17">
        <f t="shared" si="2"/>
        <v>169941.51170948124</v>
      </c>
      <c r="I16" s="18">
        <f t="shared" si="0"/>
        <v>5.9473514556884766E-4</v>
      </c>
      <c r="L16" s="14">
        <v>0.1</v>
      </c>
    </row>
    <row r="17" spans="1:12" x14ac:dyDescent="0.3">
      <c r="A17" s="11">
        <v>180000</v>
      </c>
      <c r="B17" s="12">
        <v>0.99800419807434082</v>
      </c>
      <c r="C17" s="12">
        <v>1.7119373083114624</v>
      </c>
      <c r="D17" s="14">
        <f t="shared" si="1"/>
        <v>0.1</v>
      </c>
      <c r="E17" s="14"/>
      <c r="H17" s="17">
        <f t="shared" si="2"/>
        <v>189898.63394200802</v>
      </c>
      <c r="I17" s="18">
        <f t="shared" si="0"/>
        <v>4.1961669921875E-4</v>
      </c>
      <c r="L17" s="14">
        <v>0.1</v>
      </c>
    </row>
    <row r="18" spans="1:12" x14ac:dyDescent="0.3">
      <c r="A18" s="11">
        <v>200000</v>
      </c>
      <c r="B18" s="12">
        <v>0.99842381477355957</v>
      </c>
      <c r="C18" s="12">
        <v>1.6981480121612549</v>
      </c>
      <c r="D18" s="14">
        <f t="shared" si="1"/>
        <v>0.1</v>
      </c>
      <c r="E18" s="14"/>
      <c r="H18" s="17">
        <f t="shared" si="2"/>
        <v>212302.96627781566</v>
      </c>
      <c r="I18" s="18">
        <f t="shared" si="0"/>
        <v>3.7246942520141602E-4</v>
      </c>
      <c r="L18" s="14">
        <v>0.1</v>
      </c>
    </row>
    <row r="19" spans="1:12" x14ac:dyDescent="0.3">
      <c r="A19" s="11">
        <v>225000</v>
      </c>
      <c r="B19" s="12">
        <v>0.99879628419876099</v>
      </c>
      <c r="C19" s="12">
        <v>1.6845718622207642</v>
      </c>
      <c r="D19" s="14">
        <f t="shared" si="1"/>
        <v>0.1</v>
      </c>
      <c r="E19" s="14"/>
      <c r="H19" s="17">
        <f t="shared" si="2"/>
        <v>237425.58436242369</v>
      </c>
      <c r="I19" s="18">
        <f t="shared" si="0"/>
        <v>2.7132034301757813E-4</v>
      </c>
      <c r="L19" s="14">
        <v>0.1</v>
      </c>
    </row>
    <row r="20" spans="1:12" x14ac:dyDescent="0.3">
      <c r="A20" s="11">
        <v>250000</v>
      </c>
      <c r="B20" s="12">
        <v>0.99906760454177856</v>
      </c>
      <c r="C20" s="12">
        <v>1.6809365749359131</v>
      </c>
      <c r="D20" s="14">
        <f t="shared" si="1"/>
        <v>0.1</v>
      </c>
      <c r="E20" s="14"/>
      <c r="H20" s="17">
        <f t="shared" si="2"/>
        <v>262304.15258026123</v>
      </c>
      <c r="I20" s="18">
        <f t="shared" si="0"/>
        <v>1.862645149230957E-4</v>
      </c>
      <c r="L20" s="14">
        <v>0.1</v>
      </c>
    </row>
    <row r="21" spans="1:12" x14ac:dyDescent="0.3">
      <c r="A21" s="11">
        <v>275000</v>
      </c>
      <c r="B21" s="12">
        <v>0.99925386905670166</v>
      </c>
      <c r="C21" s="12">
        <v>1.6714904308319092</v>
      </c>
      <c r="D21" s="14">
        <f t="shared" si="1"/>
        <v>0.1</v>
      </c>
      <c r="E21" s="14"/>
      <c r="H21" s="17">
        <f t="shared" si="2"/>
        <v>287272.80246511311</v>
      </c>
      <c r="I21" s="18">
        <f t="shared" si="0"/>
        <v>1.5425682067871094E-4</v>
      </c>
      <c r="L21" s="14">
        <v>0.1</v>
      </c>
    </row>
    <row r="22" spans="1:12" x14ac:dyDescent="0.3">
      <c r="A22" s="11">
        <v>300000</v>
      </c>
      <c r="B22" s="12">
        <v>0.99940812587738037</v>
      </c>
      <c r="C22" s="12">
        <v>1.6819604635238647</v>
      </c>
      <c r="D22" s="14">
        <f t="shared" si="1"/>
        <v>0.1</v>
      </c>
      <c r="E22" s="14"/>
      <c r="H22" s="17">
        <f t="shared" si="2"/>
        <v>311727.05082171556</v>
      </c>
      <c r="I22" s="18">
        <f t="shared" si="0"/>
        <v>1.1044740676879883E-4</v>
      </c>
      <c r="L22" s="14">
        <v>0.1</v>
      </c>
    </row>
    <row r="23" spans="1:12" x14ac:dyDescent="0.3">
      <c r="A23" s="11">
        <v>325000</v>
      </c>
      <c r="B23" s="12">
        <v>0.99951857328414917</v>
      </c>
      <c r="C23" s="12">
        <v>1.6887191534042358</v>
      </c>
      <c r="D23" s="14">
        <f t="shared" si="1"/>
        <v>0.1</v>
      </c>
      <c r="E23" s="14"/>
      <c r="H23" s="17">
        <f t="shared" si="2"/>
        <v>337217.1966248001</v>
      </c>
      <c r="I23" s="18">
        <f t="shared" si="0"/>
        <v>8.1002712249755859E-5</v>
      </c>
      <c r="L23" s="14">
        <v>0.1</v>
      </c>
    </row>
    <row r="24" spans="1:12" x14ac:dyDescent="0.3">
      <c r="A24" s="11">
        <v>350000</v>
      </c>
      <c r="B24" s="12">
        <v>0.99959957599639893</v>
      </c>
      <c r="C24" s="12">
        <v>1.6904060840606689</v>
      </c>
      <c r="D24" s="14">
        <f t="shared" si="1"/>
        <v>0.1</v>
      </c>
      <c r="E24" s="14"/>
      <c r="H24" s="17">
        <f t="shared" si="2"/>
        <v>362172.44643871096</v>
      </c>
      <c r="I24" s="18">
        <f t="shared" si="0"/>
        <v>6.5267086029052734E-5</v>
      </c>
      <c r="L24" s="14">
        <v>0.1</v>
      </c>
    </row>
    <row r="25" spans="1:12" x14ac:dyDescent="0.3">
      <c r="A25" s="11">
        <v>375000</v>
      </c>
      <c r="B25" s="12">
        <v>0.99966484308242798</v>
      </c>
      <c r="C25" s="12">
        <v>1.6968749761581421</v>
      </c>
      <c r="D25" s="14">
        <f t="shared" si="1"/>
        <v>0.1</v>
      </c>
      <c r="E25" s="14"/>
      <c r="H25" s="17">
        <f t="shared" si="2"/>
        <v>387404.89290790429</v>
      </c>
      <c r="I25" s="18">
        <f t="shared" si="0"/>
        <v>5.2988529205322266E-5</v>
      </c>
      <c r="L25" s="14">
        <v>0.1</v>
      </c>
    </row>
    <row r="26" spans="1:12" x14ac:dyDescent="0.3">
      <c r="A26" s="11">
        <v>400000</v>
      </c>
      <c r="B26" s="12">
        <v>0.9997178316116333</v>
      </c>
      <c r="C26" s="12">
        <v>1.707683801651001</v>
      </c>
      <c r="D26" s="14">
        <f t="shared" si="1"/>
        <v>0.1</v>
      </c>
      <c r="E26" s="14"/>
      <c r="H26" s="17">
        <f t="shared" si="2"/>
        <v>452383.46233608096</v>
      </c>
      <c r="I26" s="18">
        <f t="shared" si="0"/>
        <v>1.3726949691772461E-4</v>
      </c>
      <c r="L26" s="14">
        <v>0.1</v>
      </c>
    </row>
    <row r="27" spans="1:12" x14ac:dyDescent="0.3">
      <c r="A27" s="11">
        <v>520000</v>
      </c>
      <c r="B27" s="12">
        <v>0.99985510110855103</v>
      </c>
      <c r="C27" s="12">
        <v>1.7338788509368896</v>
      </c>
      <c r="D27" s="14">
        <f t="shared" si="1"/>
        <v>0.1</v>
      </c>
      <c r="E27" s="14"/>
      <c r="H27" s="17">
        <f t="shared" si="2"/>
        <v>676942.36960703018</v>
      </c>
      <c r="I27" s="18">
        <f t="shared" si="0"/>
        <v>1.1682510375976563E-4</v>
      </c>
      <c r="L27" s="14">
        <v>0.1</v>
      </c>
    </row>
    <row r="28" spans="1:12" x14ac:dyDescent="0.3">
      <c r="A28" s="11">
        <v>1020000</v>
      </c>
      <c r="B28" s="12">
        <v>0.99997192621231079</v>
      </c>
      <c r="C28" s="12">
        <v>1.8005576133728027</v>
      </c>
      <c r="D28" s="14">
        <f t="shared" si="1"/>
        <v>0.1</v>
      </c>
      <c r="E28" s="14"/>
      <c r="H28" s="17">
        <f>C28*A28</f>
        <v>1836568.7656402588</v>
      </c>
      <c r="I28" s="18">
        <f>1-B28</f>
        <v>2.8073787689208984E-5</v>
      </c>
      <c r="L28" s="14">
        <v>0.1</v>
      </c>
    </row>
    <row r="29" spans="1:12" x14ac:dyDescent="0.3">
      <c r="A29" s="13"/>
      <c r="B29" s="13"/>
      <c r="C29" s="13"/>
      <c r="D29" s="13"/>
      <c r="E29" s="13"/>
      <c r="H29" s="13"/>
      <c r="L29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120" zoomScaleNormal="120" zoomScalePageLayoutView="120" workbookViewId="0">
      <selection activeCell="H5" sqref="H5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1944</v>
      </c>
      <c r="C1" s="8" t="s">
        <v>24</v>
      </c>
      <c r="D1" s="10">
        <f>1000*[1]TD1!$C$51</f>
        <v>15088562.585508101</v>
      </c>
      <c r="E1" s="8" t="s">
        <v>30</v>
      </c>
      <c r="F1" s="21">
        <f>(SUMPRODUCT(D4:D27,H4:H27,I4:I27)/(D2*B2))/((1-SUMPRODUCT(D4:D27,H4:H27,I4:I27)/B2)/(1-D2))</f>
        <v>0.87029836481603595</v>
      </c>
      <c r="G1" s="19"/>
      <c r="H1" s="16"/>
    </row>
    <row r="2" spans="1:12" x14ac:dyDescent="0.3">
      <c r="A2" s="8" t="s">
        <v>12</v>
      </c>
      <c r="B2" s="11">
        <f>[1]TD2!$M$51</f>
        <v>24123.090021425607</v>
      </c>
      <c r="C2" s="8" t="s">
        <v>15</v>
      </c>
      <c r="D2" s="14">
        <f>[1]TD1!$F$51</f>
        <v>0.27050782375518878</v>
      </c>
      <c r="E2" s="18" t="s">
        <v>26</v>
      </c>
      <c r="I2" s="8"/>
      <c r="L2" s="14">
        <f>D2</f>
        <v>0.27050782375518878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(D2-SUMPRODUCT(D5:D27,I5:I27))/I4</f>
        <v>0.29000952415569381</v>
      </c>
      <c r="E4" s="14"/>
      <c r="F4" s="8"/>
      <c r="G4" s="8"/>
      <c r="H4" s="17">
        <f>((1-B4)*B2-(1-B5)*C5*A5)/(B5-B4)</f>
        <v>20370.374643107585</v>
      </c>
      <c r="I4" s="18">
        <f t="shared" ref="I4:I26" si="0">B5-B4</f>
        <v>0.89736461639404297</v>
      </c>
      <c r="L4" s="14"/>
    </row>
    <row r="5" spans="1:12" x14ac:dyDescent="0.3">
      <c r="A5" s="11">
        <v>30000</v>
      </c>
      <c r="B5" s="12">
        <v>0.89736461639404297</v>
      </c>
      <c r="C5" s="8">
        <v>1.8977979421615601</v>
      </c>
      <c r="D5" s="14">
        <f t="shared" ref="D5:D27" si="1">L5*D$2/L$2</f>
        <v>0.1</v>
      </c>
      <c r="E5" s="14"/>
      <c r="F5" s="8"/>
      <c r="G5" s="8"/>
      <c r="H5" s="17">
        <f t="shared" ref="H5:H26" si="2">((1-B5)*C5*A5-(1-B6)*C6*A6)/(B6-B5)</f>
        <v>34951.74503681127</v>
      </c>
      <c r="I5" s="18">
        <f t="shared" si="0"/>
        <v>4.2242646217346191E-2</v>
      </c>
      <c r="L5" s="14">
        <v>0.1</v>
      </c>
    </row>
    <row r="6" spans="1:12" x14ac:dyDescent="0.3">
      <c r="A6" s="11">
        <v>40000</v>
      </c>
      <c r="B6" s="12">
        <v>0.93960726261138916</v>
      </c>
      <c r="C6" s="8">
        <v>1.8077431917190552</v>
      </c>
      <c r="D6" s="14">
        <f t="shared" si="1"/>
        <v>0.1</v>
      </c>
      <c r="E6" s="14"/>
      <c r="H6" s="17">
        <f t="shared" si="2"/>
        <v>45001.331997164561</v>
      </c>
      <c r="I6" s="18">
        <f t="shared" si="0"/>
        <v>2.196955680847168E-2</v>
      </c>
      <c r="L6" s="14">
        <v>0.1</v>
      </c>
    </row>
    <row r="7" spans="1:12" x14ac:dyDescent="0.3">
      <c r="A7" s="11">
        <v>50000</v>
      </c>
      <c r="B7" s="12">
        <v>0.96157681941986084</v>
      </c>
      <c r="C7" s="8">
        <v>1.7584817409515381</v>
      </c>
      <c r="D7" s="14">
        <f t="shared" si="1"/>
        <v>0.1</v>
      </c>
      <c r="E7" s="14"/>
      <c r="H7" s="17">
        <f t="shared" si="2"/>
        <v>55066.087058295976</v>
      </c>
      <c r="I7" s="18">
        <f t="shared" si="0"/>
        <v>1.2650370597839355E-2</v>
      </c>
      <c r="L7" s="14">
        <v>0.1</v>
      </c>
    </row>
    <row r="8" spans="1:12" x14ac:dyDescent="0.3">
      <c r="A8" s="11">
        <v>60000</v>
      </c>
      <c r="B8" s="12">
        <v>0.9742271900177002</v>
      </c>
      <c r="C8" s="12">
        <v>1.7342027425765991</v>
      </c>
      <c r="D8" s="14">
        <f t="shared" si="1"/>
        <v>0.1</v>
      </c>
      <c r="E8" s="14"/>
      <c r="H8" s="17">
        <f t="shared" si="2"/>
        <v>65081.931880465447</v>
      </c>
      <c r="I8" s="18">
        <f t="shared" si="0"/>
        <v>7.6986551284790039E-3</v>
      </c>
      <c r="L8" s="14">
        <v>0.1</v>
      </c>
    </row>
    <row r="9" spans="1:12" x14ac:dyDescent="0.3">
      <c r="A9" s="11">
        <v>70000</v>
      </c>
      <c r="B9" s="12">
        <v>0.9819258451461792</v>
      </c>
      <c r="C9" s="12">
        <v>1.7235924005508423</v>
      </c>
      <c r="D9" s="14">
        <f t="shared" si="1"/>
        <v>0.1</v>
      </c>
      <c r="E9" s="14"/>
      <c r="H9" s="17">
        <f t="shared" si="2"/>
        <v>75154.318596081444</v>
      </c>
      <c r="I9" s="18">
        <f t="shared" si="0"/>
        <v>4.826664924621582E-3</v>
      </c>
      <c r="L9" s="14">
        <v>0.1</v>
      </c>
    </row>
    <row r="10" spans="1:12" x14ac:dyDescent="0.3">
      <c r="A10" s="11">
        <v>80000</v>
      </c>
      <c r="B10" s="12">
        <v>0.98675251007080078</v>
      </c>
      <c r="C10" s="12">
        <v>1.715351939201355</v>
      </c>
      <c r="D10" s="14">
        <f t="shared" si="1"/>
        <v>0.1</v>
      </c>
      <c r="E10" s="14"/>
      <c r="H10" s="17">
        <f t="shared" si="2"/>
        <v>85142.195456343587</v>
      </c>
      <c r="I10" s="18">
        <f t="shared" si="0"/>
        <v>3.1510591506958008E-3</v>
      </c>
      <c r="L10" s="14">
        <v>0.1</v>
      </c>
    </row>
    <row r="11" spans="1:12" x14ac:dyDescent="0.3">
      <c r="A11" s="11">
        <v>90000</v>
      </c>
      <c r="B11" s="12">
        <v>0.98990356922149658</v>
      </c>
      <c r="C11" s="12">
        <v>1.7053776979446411</v>
      </c>
      <c r="D11" s="14">
        <f t="shared" si="1"/>
        <v>0.1</v>
      </c>
      <c r="E11" s="14"/>
      <c r="H11" s="17">
        <f t="shared" si="2"/>
        <v>95219.294608402954</v>
      </c>
      <c r="I11" s="18">
        <f t="shared" si="0"/>
        <v>2.1633505821228027E-3</v>
      </c>
      <c r="L11" s="14">
        <v>0.1</v>
      </c>
    </row>
    <row r="12" spans="1:12" x14ac:dyDescent="0.3">
      <c r="A12" s="11">
        <v>100000</v>
      </c>
      <c r="B12" s="12">
        <v>0.99206691980361938</v>
      </c>
      <c r="C12" s="12">
        <v>1.6937277317047119</v>
      </c>
      <c r="D12" s="14">
        <f t="shared" si="1"/>
        <v>0.1</v>
      </c>
      <c r="E12" s="14"/>
      <c r="H12" s="17">
        <f t="shared" si="2"/>
        <v>109536.58300483537</v>
      </c>
      <c r="I12" s="18">
        <f t="shared" si="0"/>
        <v>2.6875734329223633E-3</v>
      </c>
      <c r="L12" s="14">
        <v>0.1</v>
      </c>
    </row>
    <row r="13" spans="1:12" x14ac:dyDescent="0.3">
      <c r="A13" s="11">
        <v>120000</v>
      </c>
      <c r="B13" s="12">
        <v>0.99475449323654175</v>
      </c>
      <c r="C13" s="12">
        <v>1.6669189929962158</v>
      </c>
      <c r="D13" s="14">
        <f t="shared" si="1"/>
        <v>0.1</v>
      </c>
      <c r="E13" s="14"/>
      <c r="H13" s="17">
        <f t="shared" si="2"/>
        <v>129756.523681194</v>
      </c>
      <c r="I13" s="18">
        <f t="shared" si="0"/>
        <v>1.5751123428344727E-3</v>
      </c>
      <c r="L13" s="14">
        <v>0.1</v>
      </c>
    </row>
    <row r="14" spans="1:12" x14ac:dyDescent="0.3">
      <c r="A14" s="11">
        <v>140000</v>
      </c>
      <c r="B14" s="12">
        <v>0.99632960557937622</v>
      </c>
      <c r="C14" s="12">
        <v>1.6441967487335205</v>
      </c>
      <c r="D14" s="14">
        <f t="shared" si="1"/>
        <v>0.1</v>
      </c>
      <c r="E14" s="14"/>
      <c r="H14" s="17">
        <f t="shared" si="2"/>
        <v>149421.58347163297</v>
      </c>
      <c r="I14" s="18">
        <f t="shared" si="0"/>
        <v>9.9503993988037109E-4</v>
      </c>
      <c r="L14" s="14">
        <v>0.1</v>
      </c>
    </row>
    <row r="15" spans="1:12" x14ac:dyDescent="0.3">
      <c r="A15" s="11">
        <v>160000</v>
      </c>
      <c r="B15" s="12">
        <v>0.99732464551925659</v>
      </c>
      <c r="C15" s="12">
        <v>1.626416802406311</v>
      </c>
      <c r="D15" s="14">
        <f t="shared" si="1"/>
        <v>0.1</v>
      </c>
      <c r="E15" s="14"/>
      <c r="H15" s="17">
        <f t="shared" si="2"/>
        <v>169702.76866960275</v>
      </c>
      <c r="I15" s="18">
        <f t="shared" si="0"/>
        <v>6.663203239440918E-4</v>
      </c>
      <c r="L15" s="14">
        <v>0.1</v>
      </c>
    </row>
    <row r="16" spans="1:12" x14ac:dyDescent="0.3">
      <c r="A16" s="11">
        <v>180000</v>
      </c>
      <c r="B16" s="12">
        <v>0.99799096584320068</v>
      </c>
      <c r="C16" s="12">
        <v>1.6125001907348633</v>
      </c>
      <c r="D16" s="14">
        <f t="shared" si="1"/>
        <v>0.1</v>
      </c>
      <c r="E16" s="14"/>
      <c r="H16" s="17">
        <f t="shared" si="2"/>
        <v>189894.09285390232</v>
      </c>
      <c r="I16" s="18">
        <f t="shared" si="0"/>
        <v>4.5770406723022461E-4</v>
      </c>
      <c r="L16" s="14">
        <v>0.1</v>
      </c>
    </row>
    <row r="17" spans="1:12" x14ac:dyDescent="0.3">
      <c r="A17" s="11">
        <v>200000</v>
      </c>
      <c r="B17" s="12">
        <v>0.99844866991043091</v>
      </c>
      <c r="C17" s="12">
        <v>1.5992951393127441</v>
      </c>
      <c r="D17" s="14">
        <f t="shared" si="1"/>
        <v>0.1</v>
      </c>
      <c r="E17" s="14"/>
      <c r="H17" s="17">
        <f t="shared" si="2"/>
        <v>212240.36104063541</v>
      </c>
      <c r="I17" s="18">
        <f t="shared" si="0"/>
        <v>3.9130449295043945E-4</v>
      </c>
      <c r="L17" s="14">
        <v>0.1</v>
      </c>
    </row>
    <row r="18" spans="1:12" x14ac:dyDescent="0.3">
      <c r="A18" s="11">
        <v>225000</v>
      </c>
      <c r="B18" s="12">
        <v>0.99883997440338135</v>
      </c>
      <c r="C18" s="12">
        <v>1.5829395055770874</v>
      </c>
      <c r="D18" s="14">
        <f t="shared" si="1"/>
        <v>0.1</v>
      </c>
      <c r="E18" s="14"/>
      <c r="H18" s="17">
        <f t="shared" si="2"/>
        <v>237192.14984268392</v>
      </c>
      <c r="I18" s="18">
        <f t="shared" si="0"/>
        <v>2.7757883071899414E-4</v>
      </c>
      <c r="L18" s="14">
        <v>0.1</v>
      </c>
    </row>
    <row r="19" spans="1:12" x14ac:dyDescent="0.3">
      <c r="A19" s="11">
        <v>250000</v>
      </c>
      <c r="B19" s="12">
        <v>0.99911755323410034</v>
      </c>
      <c r="C19" s="12">
        <v>1.5743354558944702</v>
      </c>
      <c r="D19" s="14">
        <f t="shared" si="1"/>
        <v>0.1</v>
      </c>
      <c r="E19" s="14"/>
      <c r="H19" s="17">
        <f t="shared" si="2"/>
        <v>262280.84380345017</v>
      </c>
      <c r="I19" s="18">
        <f t="shared" si="0"/>
        <v>1.9979476928710938E-4</v>
      </c>
      <c r="L19" s="14">
        <v>0.1</v>
      </c>
    </row>
    <row r="20" spans="1:12" x14ac:dyDescent="0.3">
      <c r="A20" s="11">
        <v>275000</v>
      </c>
      <c r="B20" s="12">
        <v>0.99931734800338745</v>
      </c>
      <c r="C20" s="12">
        <v>1.5709559917449951</v>
      </c>
      <c r="D20" s="14">
        <f t="shared" si="1"/>
        <v>0.1</v>
      </c>
      <c r="E20" s="14"/>
      <c r="H20" s="17">
        <f t="shared" si="2"/>
        <v>287391.60450380674</v>
      </c>
      <c r="I20" s="18">
        <f t="shared" si="0"/>
        <v>1.4603137969970703E-4</v>
      </c>
      <c r="L20" s="14">
        <v>0.1</v>
      </c>
    </row>
    <row r="21" spans="1:12" x14ac:dyDescent="0.3">
      <c r="A21" s="11">
        <v>300000</v>
      </c>
      <c r="B21" s="12">
        <v>0.99946337938308716</v>
      </c>
      <c r="C21" s="12">
        <v>1.5712296962738037</v>
      </c>
      <c r="D21" s="14">
        <f t="shared" si="1"/>
        <v>0.1</v>
      </c>
      <c r="E21" s="14"/>
      <c r="H21" s="17">
        <f t="shared" si="2"/>
        <v>312489.52029885841</v>
      </c>
      <c r="I21" s="18">
        <f t="shared" si="0"/>
        <v>1.023411750793457E-4</v>
      </c>
      <c r="L21" s="14">
        <v>0.1</v>
      </c>
    </row>
    <row r="22" spans="1:12" x14ac:dyDescent="0.3">
      <c r="A22" s="11">
        <v>325000</v>
      </c>
      <c r="B22" s="12">
        <v>0.9995657205581665</v>
      </c>
      <c r="C22" s="12">
        <v>1.565569281578064</v>
      </c>
      <c r="D22" s="14">
        <f t="shared" si="1"/>
        <v>0.1</v>
      </c>
      <c r="E22" s="14"/>
      <c r="H22" s="17">
        <f t="shared" si="2"/>
        <v>337366.66103862546</v>
      </c>
      <c r="I22" s="18">
        <f t="shared" si="0"/>
        <v>8.2731246948242188E-5</v>
      </c>
      <c r="L22" s="14">
        <v>0.1</v>
      </c>
    </row>
    <row r="23" spans="1:12" x14ac:dyDescent="0.3">
      <c r="A23" s="11">
        <v>350000</v>
      </c>
      <c r="B23" s="12">
        <v>0.99964845180511475</v>
      </c>
      <c r="C23" s="12">
        <v>1.5690184831619263</v>
      </c>
      <c r="D23" s="14">
        <f t="shared" si="1"/>
        <v>0.1</v>
      </c>
      <c r="E23" s="14"/>
      <c r="H23" s="17">
        <f t="shared" si="2"/>
        <v>362379.95659196097</v>
      </c>
      <c r="I23" s="18">
        <f t="shared" si="0"/>
        <v>6.1511993408203125E-5</v>
      </c>
      <c r="L23" s="14">
        <v>0.1</v>
      </c>
    </row>
    <row r="24" spans="1:12" x14ac:dyDescent="0.3">
      <c r="A24" s="11">
        <v>375000</v>
      </c>
      <c r="B24" s="12">
        <v>0.99970996379852295</v>
      </c>
      <c r="C24" s="12">
        <v>1.5700500011444092</v>
      </c>
      <c r="D24" s="14">
        <f t="shared" si="1"/>
        <v>0.1</v>
      </c>
      <c r="E24" s="14"/>
      <c r="H24" s="17">
        <f t="shared" si="2"/>
        <v>387406.47567963775</v>
      </c>
      <c r="I24" s="18">
        <f t="shared" si="0"/>
        <v>4.9233436584472656E-5</v>
      </c>
      <c r="L24" s="14">
        <v>0.1</v>
      </c>
    </row>
    <row r="25" spans="1:12" x14ac:dyDescent="0.3">
      <c r="A25" s="11">
        <v>400000</v>
      </c>
      <c r="B25" s="12">
        <v>0.99975919723510742</v>
      </c>
      <c r="C25" s="12">
        <v>1.5748459100723267</v>
      </c>
      <c r="D25" s="14">
        <f t="shared" si="1"/>
        <v>0.1</v>
      </c>
      <c r="E25" s="14"/>
      <c r="H25" s="17">
        <f t="shared" si="2"/>
        <v>450508.62381246279</v>
      </c>
      <c r="I25" s="18">
        <f t="shared" si="0"/>
        <v>1.2534856796264648E-4</v>
      </c>
      <c r="L25" s="14">
        <v>0.1</v>
      </c>
    </row>
    <row r="26" spans="1:12" x14ac:dyDescent="0.3">
      <c r="A26" s="11">
        <v>520000</v>
      </c>
      <c r="B26" s="12">
        <v>0.99988454580307007</v>
      </c>
      <c r="C26" s="12">
        <v>1.5860483646392822</v>
      </c>
      <c r="D26" s="14">
        <f t="shared" si="1"/>
        <v>0.1</v>
      </c>
      <c r="E26" s="14"/>
      <c r="H26" s="17">
        <f t="shared" si="2"/>
        <v>672505.72071921441</v>
      </c>
      <c r="I26" s="18">
        <f t="shared" si="0"/>
        <v>9.6082687377929688E-5</v>
      </c>
      <c r="L26" s="14">
        <v>0.1</v>
      </c>
    </row>
    <row r="27" spans="1:12" x14ac:dyDescent="0.3">
      <c r="A27" s="11">
        <v>1020000</v>
      </c>
      <c r="B27" s="12">
        <v>0.999980628490448</v>
      </c>
      <c r="C27" s="12">
        <v>1.5488752126693726</v>
      </c>
      <c r="D27" s="14">
        <f t="shared" si="1"/>
        <v>0.1</v>
      </c>
      <c r="E27" s="14"/>
      <c r="H27" s="17">
        <f>C27*A27</f>
        <v>1579852.71692276</v>
      </c>
      <c r="I27" s="18">
        <f>1-B27</f>
        <v>1.9371509552001953E-5</v>
      </c>
      <c r="L27" s="14">
        <v>0.1</v>
      </c>
    </row>
    <row r="28" spans="1:12" x14ac:dyDescent="0.3">
      <c r="A28" s="13"/>
      <c r="B28" s="13"/>
      <c r="C28" s="13"/>
      <c r="D28" s="13"/>
      <c r="E28" s="13"/>
      <c r="H28" s="13"/>
      <c r="L28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4"/>
  <sheetViews>
    <sheetView topLeftCell="C1" workbookViewId="0">
      <selection activeCell="O5" sqref="O5:O13"/>
    </sheetView>
  </sheetViews>
  <sheetFormatPr baseColWidth="10" defaultRowHeight="15.6" x14ac:dyDescent="0.3"/>
  <cols>
    <col min="1" max="1" width="14.5" bestFit="1" customWidth="1"/>
    <col min="2" max="2" width="28.5" bestFit="1" customWidth="1"/>
    <col min="3" max="3" width="14.19921875" bestFit="1" customWidth="1"/>
    <col min="4" max="4" width="3.796875" bestFit="1" customWidth="1"/>
    <col min="5" max="5" width="22" bestFit="1" customWidth="1"/>
    <col min="7" max="7" width="10.796875" style="2"/>
    <col min="8" max="8" width="15.19921875" customWidth="1"/>
    <col min="12" max="12" width="14.69921875" customWidth="1"/>
  </cols>
  <sheetData>
    <row r="1" spans="1:15" x14ac:dyDescent="0.3">
      <c r="A1" s="78" t="s">
        <v>204</v>
      </c>
      <c r="B1" s="78"/>
      <c r="C1" s="78"/>
      <c r="D1" s="78"/>
      <c r="E1" t="s">
        <v>205</v>
      </c>
    </row>
    <row r="2" spans="1:15" x14ac:dyDescent="0.3">
      <c r="A2" s="78" t="s">
        <v>206</v>
      </c>
      <c r="B2" s="78"/>
      <c r="C2" s="78"/>
      <c r="D2" s="78"/>
      <c r="F2" s="78" t="s">
        <v>207</v>
      </c>
      <c r="G2" s="78"/>
      <c r="H2" s="78"/>
      <c r="J2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41000</v>
      </c>
      <c r="M3" t="s">
        <v>7</v>
      </c>
      <c r="N3" t="s">
        <v>8</v>
      </c>
      <c r="O3" t="s">
        <v>14</v>
      </c>
    </row>
    <row r="4" spans="1:15" x14ac:dyDescent="0.3">
      <c r="A4" s="53">
        <v>41000</v>
      </c>
      <c r="B4" s="53">
        <v>401169</v>
      </c>
      <c r="C4" s="53">
        <v>19564291000</v>
      </c>
      <c r="D4" s="54">
        <v>1.5281934644152972</v>
      </c>
      <c r="F4" s="53">
        <v>41000</v>
      </c>
      <c r="G4" s="55">
        <v>401169</v>
      </c>
      <c r="H4" s="53">
        <v>19564291000</v>
      </c>
      <c r="J4" s="53">
        <v>41000</v>
      </c>
      <c r="K4" s="2">
        <v>4997328.087783427</v>
      </c>
      <c r="L4" s="2">
        <v>243710707786.16623</v>
      </c>
      <c r="M4">
        <v>0.4834187122090835</v>
      </c>
      <c r="N4">
        <v>1.6521996286011753</v>
      </c>
      <c r="O4">
        <f>(K19/K4)</f>
        <v>0.10648293990155076</v>
      </c>
    </row>
    <row r="5" spans="1:15" x14ac:dyDescent="0.3">
      <c r="A5" s="53">
        <v>61000</v>
      </c>
      <c r="B5" s="53">
        <v>109561</v>
      </c>
      <c r="C5" s="53">
        <v>7503620000</v>
      </c>
      <c r="D5" s="54">
        <v>1.5250949653123338</v>
      </c>
      <c r="F5" s="53">
        <v>61000</v>
      </c>
      <c r="G5" s="55">
        <v>109561</v>
      </c>
      <c r="H5" s="53">
        <v>7503620000</v>
      </c>
      <c r="J5" s="53">
        <v>61000</v>
      </c>
      <c r="K5" s="2">
        <v>1364792.0517927359</v>
      </c>
      <c r="L5" s="2">
        <v>94427836319.918457</v>
      </c>
      <c r="M5">
        <v>0.81352849813459804</v>
      </c>
      <c r="N5">
        <v>1.6610854506639852</v>
      </c>
      <c r="O5">
        <f t="shared" ref="O5:O13" si="0">(K20/K5)</f>
        <v>0.10648293990155075</v>
      </c>
    </row>
    <row r="6" spans="1:15" x14ac:dyDescent="0.3">
      <c r="A6" s="53">
        <v>81000</v>
      </c>
      <c r="B6" s="53">
        <v>33894</v>
      </c>
      <c r="C6" s="53">
        <v>3019049000</v>
      </c>
      <c r="D6" s="54">
        <v>1.5979938480547757</v>
      </c>
      <c r="F6" s="53">
        <v>81000</v>
      </c>
      <c r="G6" s="55">
        <v>33894</v>
      </c>
      <c r="H6" s="53">
        <v>3019049000</v>
      </c>
      <c r="J6" s="53">
        <v>81000</v>
      </c>
      <c r="K6" s="2">
        <v>618057.63482787414</v>
      </c>
      <c r="L6" s="2">
        <v>55353150933.435555</v>
      </c>
      <c r="M6">
        <v>0.90368291748351404</v>
      </c>
      <c r="N6">
        <v>1.6223173971667642</v>
      </c>
      <c r="O6">
        <f t="shared" si="0"/>
        <v>8.077316882933365E-2</v>
      </c>
    </row>
    <row r="7" spans="1:15" x14ac:dyDescent="0.3">
      <c r="A7" s="53">
        <v>101000</v>
      </c>
      <c r="B7" s="53">
        <v>26250</v>
      </c>
      <c r="C7" s="53">
        <v>3181606000</v>
      </c>
      <c r="D7" s="54">
        <v>1.620504493648244</v>
      </c>
      <c r="F7" s="53">
        <v>101000</v>
      </c>
      <c r="G7" s="55">
        <v>26250</v>
      </c>
      <c r="H7" s="53">
        <v>3181606000</v>
      </c>
      <c r="J7" s="53">
        <v>101000</v>
      </c>
      <c r="K7" s="2">
        <v>564723.40246123262</v>
      </c>
      <c r="L7" s="2">
        <v>67817724659.141296</v>
      </c>
      <c r="M7">
        <v>0.94451010952268144</v>
      </c>
      <c r="N7">
        <v>1.6059173294142204</v>
      </c>
      <c r="O7">
        <f t="shared" si="0"/>
        <v>7.1468616005816499E-2</v>
      </c>
    </row>
    <row r="8" spans="1:15" x14ac:dyDescent="0.3">
      <c r="A8" s="53">
        <v>151000</v>
      </c>
      <c r="B8" s="53">
        <v>11461</v>
      </c>
      <c r="C8" s="53">
        <v>2254843000</v>
      </c>
      <c r="D8" s="54">
        <v>1.6222316441747062</v>
      </c>
      <c r="F8" s="53">
        <v>151000</v>
      </c>
      <c r="G8" s="55">
        <v>11461</v>
      </c>
      <c r="H8" s="53">
        <v>2254843000</v>
      </c>
      <c r="J8" s="53">
        <v>151000</v>
      </c>
      <c r="K8" s="2">
        <v>228024.76453980801</v>
      </c>
      <c r="L8" s="2">
        <v>44736313992.094856</v>
      </c>
      <c r="M8">
        <v>0.98181418846625412</v>
      </c>
      <c r="N8">
        <v>1.6461697951245107</v>
      </c>
      <c r="O8">
        <f t="shared" si="0"/>
        <v>8.3376908812380038E-2</v>
      </c>
    </row>
    <row r="9" spans="1:15" x14ac:dyDescent="0.3">
      <c r="A9" s="53">
        <v>301000</v>
      </c>
      <c r="B9" s="53">
        <v>1671</v>
      </c>
      <c r="C9" s="53">
        <v>619575000</v>
      </c>
      <c r="D9" s="54">
        <v>1.6286840875141746</v>
      </c>
      <c r="F9" s="53">
        <v>301000</v>
      </c>
      <c r="G9" s="55">
        <v>1671</v>
      </c>
      <c r="H9" s="53">
        <v>619575000</v>
      </c>
      <c r="J9" s="53">
        <v>301000</v>
      </c>
      <c r="K9" s="2">
        <v>34353</v>
      </c>
      <c r="L9" s="2">
        <v>12720582000</v>
      </c>
      <c r="M9">
        <v>0.99687687894518551</v>
      </c>
      <c r="N9">
        <v>1.665127465931894</v>
      </c>
      <c r="O9">
        <f t="shared" si="0"/>
        <v>9.1403953075422817E-2</v>
      </c>
    </row>
    <row r="10" spans="1:15" x14ac:dyDescent="0.3">
      <c r="A10" s="53">
        <v>501000</v>
      </c>
      <c r="B10" s="53">
        <v>368</v>
      </c>
      <c r="C10" s="53">
        <v>221422000</v>
      </c>
      <c r="D10" s="54">
        <v>1.6630724804686159</v>
      </c>
      <c r="F10" s="53">
        <v>501000</v>
      </c>
      <c r="G10" s="55">
        <v>368</v>
      </c>
      <c r="H10" s="53">
        <v>221422000</v>
      </c>
      <c r="J10" s="53">
        <v>501000</v>
      </c>
      <c r="K10" s="2">
        <v>8192</v>
      </c>
      <c r="L10" s="2">
        <v>4890464000</v>
      </c>
      <c r="M10">
        <v>0.9991461438957141</v>
      </c>
      <c r="N10">
        <v>1.6948637152431945</v>
      </c>
      <c r="O10">
        <f t="shared" si="0"/>
        <v>9.50927734375E-2</v>
      </c>
    </row>
    <row r="11" spans="1:15" x14ac:dyDescent="0.3">
      <c r="A11" s="53">
        <v>751000</v>
      </c>
      <c r="B11" s="53">
        <v>118</v>
      </c>
      <c r="C11" s="53">
        <v>102174000</v>
      </c>
      <c r="D11" s="54">
        <v>1.6395584703261694</v>
      </c>
      <c r="F11" s="53">
        <v>751000</v>
      </c>
      <c r="G11" s="55">
        <v>118</v>
      </c>
      <c r="H11" s="53">
        <v>102174000</v>
      </c>
      <c r="J11" s="53">
        <v>751000</v>
      </c>
      <c r="K11" s="2">
        <v>2395</v>
      </c>
      <c r="L11" s="2">
        <v>2050217000</v>
      </c>
      <c r="M11">
        <v>0.99968728494525072</v>
      </c>
      <c r="N11">
        <v>1.7116589231538628</v>
      </c>
      <c r="O11">
        <f t="shared" si="0"/>
        <v>0.10020876826722339</v>
      </c>
    </row>
    <row r="12" spans="1:15" x14ac:dyDescent="0.3">
      <c r="A12" s="53">
        <v>1001000</v>
      </c>
      <c r="B12" s="53">
        <v>63</v>
      </c>
      <c r="C12" s="53">
        <v>76659000</v>
      </c>
      <c r="D12" s="54">
        <v>1.6788003663003663</v>
      </c>
      <c r="F12" s="53">
        <v>1001000</v>
      </c>
      <c r="G12" s="55">
        <v>63</v>
      </c>
      <c r="H12" s="53">
        <v>76659000</v>
      </c>
      <c r="J12" s="53">
        <v>1001000</v>
      </c>
      <c r="K12" s="2">
        <v>1477</v>
      </c>
      <c r="L12" s="2">
        <v>1782037000</v>
      </c>
      <c r="M12">
        <v>0.99984549207582196</v>
      </c>
      <c r="N12">
        <v>1.7234287730226165</v>
      </c>
      <c r="O12">
        <f t="shared" si="0"/>
        <v>9.4786729857819899E-2</v>
      </c>
    </row>
    <row r="13" spans="1:15" x14ac:dyDescent="0.3">
      <c r="A13" s="53">
        <v>1500000</v>
      </c>
      <c r="B13" s="53">
        <v>33</v>
      </c>
      <c r="C13" s="53">
        <v>84667000</v>
      </c>
      <c r="D13" s="54">
        <v>1.7104444444444444</v>
      </c>
      <c r="F13" s="53">
        <v>1500000</v>
      </c>
      <c r="G13" s="55">
        <v>33</v>
      </c>
      <c r="H13" s="53">
        <v>84667000</v>
      </c>
      <c r="J13" s="53">
        <v>1500000</v>
      </c>
      <c r="K13" s="2">
        <v>862</v>
      </c>
      <c r="L13" s="2">
        <v>2253094000</v>
      </c>
      <c r="M13">
        <v>0.99994305864444577</v>
      </c>
      <c r="N13">
        <v>1.7425320959010053</v>
      </c>
      <c r="O13">
        <f t="shared" si="0"/>
        <v>9.2807424593967514E-2</v>
      </c>
    </row>
    <row r="14" spans="1:15" x14ac:dyDescent="0.3">
      <c r="A14" s="51" t="s">
        <v>56</v>
      </c>
      <c r="B14" s="51" t="s">
        <v>60</v>
      </c>
      <c r="C14" s="51" t="s">
        <v>61</v>
      </c>
      <c r="D14" s="52" t="s">
        <v>59</v>
      </c>
      <c r="E14">
        <v>61500</v>
      </c>
    </row>
    <row r="15" spans="1:15" x14ac:dyDescent="0.3">
      <c r="A15" s="53">
        <v>41000</v>
      </c>
      <c r="B15" s="53"/>
      <c r="C15" s="53"/>
      <c r="D15" s="54"/>
      <c r="F15" s="53">
        <v>41000</v>
      </c>
      <c r="G15" s="2">
        <v>462394.86889284721</v>
      </c>
      <c r="H15">
        <v>22550166568.021233</v>
      </c>
      <c r="K15" s="5">
        <v>15138382.140876664</v>
      </c>
    </row>
    <row r="16" spans="1:15" x14ac:dyDescent="0.3">
      <c r="A16" s="53">
        <v>61500</v>
      </c>
      <c r="B16" s="53">
        <v>123125</v>
      </c>
      <c r="C16" s="53">
        <v>8650962000</v>
      </c>
      <c r="D16" s="54">
        <v>1.7196069082299947</v>
      </c>
      <c r="F16" s="53">
        <v>61000</v>
      </c>
      <c r="G16" s="2">
        <v>126282.05128205128</v>
      </c>
      <c r="H16">
        <v>8843542128.2051277</v>
      </c>
    </row>
    <row r="17" spans="1:14" x14ac:dyDescent="0.3">
      <c r="A17" s="53">
        <v>81000</v>
      </c>
      <c r="B17" s="53">
        <v>78228</v>
      </c>
      <c r="C17" s="53">
        <v>7029155000</v>
      </c>
      <c r="D17" s="54">
        <v>1.5921578361810829</v>
      </c>
      <c r="F17" s="53">
        <v>81000</v>
      </c>
      <c r="G17" s="55">
        <v>78228</v>
      </c>
      <c r="H17" s="53">
        <v>7029155000</v>
      </c>
      <c r="J17" t="s">
        <v>208</v>
      </c>
    </row>
    <row r="18" spans="1:14" x14ac:dyDescent="0.3">
      <c r="A18" s="53">
        <v>101000</v>
      </c>
      <c r="B18" s="53">
        <v>75626</v>
      </c>
      <c r="C18" s="53">
        <v>9052851000</v>
      </c>
      <c r="D18" s="54">
        <v>1.5520841588206209</v>
      </c>
      <c r="F18" s="53">
        <v>101000</v>
      </c>
      <c r="G18" s="55">
        <v>75626</v>
      </c>
      <c r="H18" s="53">
        <v>9052851000</v>
      </c>
      <c r="M18" t="s">
        <v>7</v>
      </c>
      <c r="N18" t="s">
        <v>8</v>
      </c>
    </row>
    <row r="19" spans="1:14" x14ac:dyDescent="0.3">
      <c r="A19" s="53">
        <v>151000</v>
      </c>
      <c r="B19" s="53">
        <v>29464</v>
      </c>
      <c r="C19" s="53">
        <v>5729636000</v>
      </c>
      <c r="D19" s="54">
        <v>1.576932608756257</v>
      </c>
      <c r="F19" s="53">
        <v>151000</v>
      </c>
      <c r="G19" s="55">
        <v>29464</v>
      </c>
      <c r="H19" s="53">
        <v>5729636000</v>
      </c>
      <c r="J19" s="53">
        <v>41000</v>
      </c>
      <c r="K19" s="2">
        <f>G4+G26+G48</f>
        <v>532130.18643977423</v>
      </c>
      <c r="L19" s="56">
        <f>H4+H26+H48</f>
        <v>25951032650.558735</v>
      </c>
      <c r="M19">
        <f>1-SUM(K19:K$28)/K$30</f>
        <v>0.67320559857298301</v>
      </c>
      <c r="N19">
        <f>SUM(L19:L$28)/(J19*SUM(K19:K$28))</f>
        <v>1.5799266522990063</v>
      </c>
    </row>
    <row r="20" spans="1:14" x14ac:dyDescent="0.3">
      <c r="A20" s="53">
        <v>301000</v>
      </c>
      <c r="B20" s="53">
        <v>3635</v>
      </c>
      <c r="C20" s="53">
        <v>1334043000</v>
      </c>
      <c r="D20" s="54">
        <v>1.6489890821000199</v>
      </c>
      <c r="F20" s="53">
        <v>301000</v>
      </c>
      <c r="G20" s="55">
        <v>3635</v>
      </c>
      <c r="H20" s="53">
        <v>1334043000</v>
      </c>
      <c r="J20" s="53">
        <v>61000</v>
      </c>
      <c r="K20" s="2">
        <f t="shared" ref="K20:L28" si="1">G5+G27+G49</f>
        <v>145327.07002916004</v>
      </c>
      <c r="L20" s="56">
        <f t="shared" si="1"/>
        <v>9977282547.9110088</v>
      </c>
      <c r="M20">
        <f>1-SUM(K20:K$28)/K$30</f>
        <v>0.89301398058991022</v>
      </c>
      <c r="N20">
        <f>SUM(L20:L$28)/(J20*SUM(K20:K$28))</f>
        <v>1.601112969997706</v>
      </c>
    </row>
    <row r="21" spans="1:14" x14ac:dyDescent="0.3">
      <c r="A21" s="53">
        <v>501000</v>
      </c>
      <c r="B21" s="53">
        <v>884</v>
      </c>
      <c r="C21" s="53">
        <v>526447000</v>
      </c>
      <c r="D21" s="54">
        <v>1.6879391291710784</v>
      </c>
      <c r="F21" s="53">
        <v>501000</v>
      </c>
      <c r="G21" s="55">
        <v>884</v>
      </c>
      <c r="H21" s="53">
        <v>526447000</v>
      </c>
      <c r="J21" s="53">
        <v>81000</v>
      </c>
      <c r="K21" s="2">
        <f t="shared" si="1"/>
        <v>49922.473684210527</v>
      </c>
      <c r="L21" s="56">
        <f t="shared" si="1"/>
        <v>4454618368.4210529</v>
      </c>
      <c r="M21">
        <f>1-SUM(K21:K$28)/K$30</f>
        <v>0.953044606441251</v>
      </c>
      <c r="N21">
        <f>SUM(L21:L$28)/(J21*SUM(K21:K$28))</f>
        <v>1.6637164166098997</v>
      </c>
    </row>
    <row r="22" spans="1:14" x14ac:dyDescent="0.3">
      <c r="A22" s="53">
        <v>751000</v>
      </c>
      <c r="B22" s="53">
        <v>234</v>
      </c>
      <c r="C22" s="53">
        <v>200370000</v>
      </c>
      <c r="D22" s="54">
        <v>1.7633285489477233</v>
      </c>
      <c r="F22" s="53">
        <v>751000</v>
      </c>
      <c r="G22" s="55">
        <v>234</v>
      </c>
      <c r="H22" s="53">
        <v>200370000</v>
      </c>
      <c r="J22" s="53">
        <v>101000</v>
      </c>
      <c r="K22" s="2">
        <f t="shared" si="1"/>
        <v>40360</v>
      </c>
      <c r="L22" s="56">
        <f t="shared" si="1"/>
        <v>4885737000</v>
      </c>
      <c r="M22">
        <f>1-SUM(K22:K$28)/K$30</f>
        <v>0.97366621079004112</v>
      </c>
      <c r="N22">
        <f>SUM(L22:L$28)/(J22*SUM(K22:K$28))</f>
        <v>1.6872786775156001</v>
      </c>
    </row>
    <row r="23" spans="1:14" x14ac:dyDescent="0.3">
      <c r="A23" s="53">
        <v>1001000</v>
      </c>
      <c r="B23" s="53">
        <v>143</v>
      </c>
      <c r="C23" s="53">
        <v>170158000</v>
      </c>
      <c r="D23" s="54">
        <v>1.8027498816972503</v>
      </c>
      <c r="F23" s="53">
        <v>1001000</v>
      </c>
      <c r="G23" s="55">
        <v>143</v>
      </c>
      <c r="H23" s="53">
        <v>170158000</v>
      </c>
      <c r="J23" s="53">
        <v>151000</v>
      </c>
      <c r="K23" s="2">
        <f t="shared" si="1"/>
        <v>19012</v>
      </c>
      <c r="L23" s="56">
        <f t="shared" si="1"/>
        <v>3764382000</v>
      </c>
      <c r="M23">
        <f>1-SUM(K23:K$28)/K$30</f>
        <v>0.99033781958855316</v>
      </c>
      <c r="N23">
        <f>SUM(L23:L$28)/(J23*SUM(K23:K$28))</f>
        <v>1.6926188002913896</v>
      </c>
    </row>
    <row r="24" spans="1:14" x14ac:dyDescent="0.3">
      <c r="A24" s="53">
        <v>1500000</v>
      </c>
      <c r="B24" s="53">
        <v>85</v>
      </c>
      <c r="C24" s="53">
        <v>241280000</v>
      </c>
      <c r="D24" s="54">
        <v>1.8923921568627451</v>
      </c>
      <c r="F24" s="53">
        <v>1500000</v>
      </c>
      <c r="G24" s="55">
        <v>85</v>
      </c>
      <c r="H24" s="53">
        <v>241280000</v>
      </c>
      <c r="J24" s="53">
        <v>301000</v>
      </c>
      <c r="K24" s="2">
        <f t="shared" si="1"/>
        <v>3140</v>
      </c>
      <c r="L24" s="56">
        <f t="shared" si="1"/>
        <v>1166201000</v>
      </c>
      <c r="M24">
        <f>1-SUM(K24:K$28)/K$30</f>
        <v>0.99819115522971547</v>
      </c>
      <c r="N24">
        <f>SUM(L24:L$28)/(J24*SUM(K24:K$28))</f>
        <v>1.6797301223978229</v>
      </c>
    </row>
    <row r="25" spans="1:14" x14ac:dyDescent="0.3">
      <c r="A25" s="51" t="s">
        <v>56</v>
      </c>
      <c r="B25" s="51" t="s">
        <v>62</v>
      </c>
      <c r="C25" s="51" t="s">
        <v>63</v>
      </c>
      <c r="D25" s="52" t="s">
        <v>59</v>
      </c>
      <c r="E25">
        <v>61500</v>
      </c>
      <c r="J25" s="53">
        <v>501000</v>
      </c>
      <c r="K25" s="2">
        <f t="shared" si="1"/>
        <v>779</v>
      </c>
      <c r="L25" s="56">
        <f t="shared" si="1"/>
        <v>467002000</v>
      </c>
      <c r="M25">
        <f>1-SUM(K25:K$28)/K$30</f>
        <v>0.99948820308965913</v>
      </c>
      <c r="N25">
        <f>SUM(L25:L$28)/(J25*SUM(K25:K$28))</f>
        <v>1.6880138029026692</v>
      </c>
    </row>
    <row r="26" spans="1:14" x14ac:dyDescent="0.3">
      <c r="A26" s="53">
        <v>41000</v>
      </c>
      <c r="B26" s="53"/>
      <c r="C26" s="53"/>
      <c r="D26" s="54"/>
      <c r="F26" s="53">
        <v>41000</v>
      </c>
      <c r="G26" s="2">
        <v>107189.23328275853</v>
      </c>
      <c r="H26">
        <v>5227426226.8788795</v>
      </c>
      <c r="J26" s="53">
        <v>751000</v>
      </c>
      <c r="K26" s="2">
        <f t="shared" si="1"/>
        <v>240</v>
      </c>
      <c r="L26" s="56">
        <f t="shared" si="1"/>
        <v>208714000</v>
      </c>
      <c r="M26">
        <f>1-SUM(K26:K$28)/K$30</f>
        <v>0.99980998661924392</v>
      </c>
      <c r="N26">
        <f>SUM(L26:L$28)/(J26*SUM(K26:K$28))</f>
        <v>1.6812771377294042</v>
      </c>
    </row>
    <row r="27" spans="1:14" x14ac:dyDescent="0.3">
      <c r="A27" s="53">
        <v>61500</v>
      </c>
      <c r="B27" s="53">
        <v>28542</v>
      </c>
      <c r="C27" s="53">
        <v>1980003000</v>
      </c>
      <c r="D27" s="54">
        <v>1.8026589074533923</v>
      </c>
      <c r="F27" s="53">
        <v>61000</v>
      </c>
      <c r="G27" s="2">
        <v>29273.846153846152</v>
      </c>
      <c r="H27">
        <v>2024645615.3846154</v>
      </c>
      <c r="J27" s="53">
        <v>1001000</v>
      </c>
      <c r="K27" s="2">
        <f t="shared" si="1"/>
        <v>140</v>
      </c>
      <c r="L27" s="56">
        <f t="shared" si="1"/>
        <v>171422000</v>
      </c>
      <c r="M27">
        <f>1-SUM(K27:K$28)/K$30</f>
        <v>0.99990912403529053</v>
      </c>
      <c r="N27">
        <f>SUM(L27:L$28)/(J27*SUM(K27:K$28))</f>
        <v>1.6896739624012351</v>
      </c>
    </row>
    <row r="28" spans="1:14" x14ac:dyDescent="0.3">
      <c r="A28" s="53">
        <v>81000</v>
      </c>
      <c r="B28" s="53">
        <v>13119</v>
      </c>
      <c r="C28" s="53">
        <v>1175581000</v>
      </c>
      <c r="D28" s="54">
        <v>1.8103669093135994</v>
      </c>
      <c r="F28" s="53">
        <v>81000</v>
      </c>
      <c r="G28" s="55">
        <v>13119</v>
      </c>
      <c r="H28" s="53">
        <v>1175581000</v>
      </c>
      <c r="J28" s="53">
        <v>1500000</v>
      </c>
      <c r="K28" s="2">
        <f t="shared" si="1"/>
        <v>80</v>
      </c>
      <c r="L28" s="56">
        <f t="shared" si="1"/>
        <v>200678000</v>
      </c>
      <c r="M28">
        <f>1-SUM(K28:K$28)/K$30</f>
        <v>0.99996695419465109</v>
      </c>
      <c r="N28">
        <f>SUM(L28:L$28)/(J28*SUM(K28:K$28))</f>
        <v>1.6723166666666667</v>
      </c>
    </row>
    <row r="29" spans="1:14" x14ac:dyDescent="0.3">
      <c r="A29" s="53">
        <v>101000</v>
      </c>
      <c r="B29" s="53">
        <v>11749</v>
      </c>
      <c r="C29" s="53">
        <v>1419520000</v>
      </c>
      <c r="D29" s="54">
        <v>1.8225823633256584</v>
      </c>
      <c r="F29" s="53">
        <v>101000</v>
      </c>
      <c r="G29" s="55">
        <v>11749</v>
      </c>
      <c r="H29" s="53">
        <v>1419520000</v>
      </c>
    </row>
    <row r="30" spans="1:14" x14ac:dyDescent="0.3">
      <c r="A30" s="53">
        <v>151000</v>
      </c>
      <c r="B30" s="53">
        <v>6360</v>
      </c>
      <c r="C30" s="53">
        <v>1275258000</v>
      </c>
      <c r="D30" s="54">
        <v>1.8168625646849519</v>
      </c>
      <c r="F30" s="53">
        <v>151000</v>
      </c>
      <c r="G30" s="55">
        <v>6360</v>
      </c>
      <c r="H30" s="53">
        <v>1275258000</v>
      </c>
      <c r="K30" s="2">
        <f>(2*J31-K31)/2</f>
        <v>2420882.1408766638</v>
      </c>
    </row>
    <row r="31" spans="1:14" x14ac:dyDescent="0.3">
      <c r="A31" s="53">
        <v>301000</v>
      </c>
      <c r="B31" s="53">
        <v>1288</v>
      </c>
      <c r="C31" s="53">
        <v>481095000</v>
      </c>
      <c r="D31" s="54">
        <v>1.7439360793087433</v>
      </c>
      <c r="F31" s="53">
        <v>301000</v>
      </c>
      <c r="G31" s="55">
        <v>1288</v>
      </c>
      <c r="H31" s="53">
        <v>481095000</v>
      </c>
      <c r="J31" s="5">
        <v>15138382.140876664</v>
      </c>
      <c r="K31">
        <v>25435000</v>
      </c>
    </row>
    <row r="32" spans="1:14" x14ac:dyDescent="0.3">
      <c r="A32" s="53">
        <v>501000</v>
      </c>
      <c r="B32" s="53">
        <v>370</v>
      </c>
      <c r="C32" s="53">
        <v>221120000</v>
      </c>
      <c r="D32" s="54">
        <v>1.7119821789867364</v>
      </c>
      <c r="F32" s="53">
        <v>501000</v>
      </c>
      <c r="G32" s="55">
        <v>370</v>
      </c>
      <c r="H32" s="53">
        <v>221120000</v>
      </c>
    </row>
    <row r="33" spans="1:8" x14ac:dyDescent="0.3">
      <c r="A33" s="53">
        <v>751000</v>
      </c>
      <c r="B33" s="53">
        <v>109</v>
      </c>
      <c r="C33" s="53">
        <v>95841000</v>
      </c>
      <c r="D33" s="54">
        <v>1.7353035458894313</v>
      </c>
      <c r="F33" s="53">
        <v>751000</v>
      </c>
      <c r="G33" s="55">
        <v>109</v>
      </c>
      <c r="H33" s="53">
        <v>95841000</v>
      </c>
    </row>
    <row r="34" spans="1:8" x14ac:dyDescent="0.3">
      <c r="A34" s="53">
        <v>1001000</v>
      </c>
      <c r="B34" s="53">
        <v>66</v>
      </c>
      <c r="C34" s="53">
        <v>81261000</v>
      </c>
      <c r="D34" s="54">
        <v>1.7333414249302099</v>
      </c>
      <c r="F34" s="53">
        <v>1001000</v>
      </c>
      <c r="G34" s="55">
        <v>66</v>
      </c>
      <c r="H34" s="53">
        <v>81261000</v>
      </c>
    </row>
    <row r="35" spans="1:8" x14ac:dyDescent="0.3">
      <c r="A35" s="53">
        <v>1500000</v>
      </c>
      <c r="B35" s="53">
        <v>41</v>
      </c>
      <c r="C35" s="53">
        <v>104392000</v>
      </c>
      <c r="D35" s="54">
        <v>1.6974308943089429</v>
      </c>
      <c r="F35" s="53">
        <v>1500000</v>
      </c>
      <c r="G35" s="55">
        <v>41</v>
      </c>
      <c r="H35" s="53">
        <v>104392000</v>
      </c>
    </row>
    <row r="36" spans="1:8" x14ac:dyDescent="0.3">
      <c r="A36" s="51" t="s">
        <v>56</v>
      </c>
      <c r="B36" s="51" t="s">
        <v>64</v>
      </c>
      <c r="C36" s="51" t="s">
        <v>65</v>
      </c>
      <c r="D36" s="52" t="s">
        <v>59</v>
      </c>
      <c r="E36">
        <v>82000</v>
      </c>
    </row>
    <row r="37" spans="1:8" x14ac:dyDescent="0.3">
      <c r="A37" s="53">
        <v>41000</v>
      </c>
      <c r="B37" s="53"/>
      <c r="C37" s="53"/>
      <c r="D37" s="54"/>
      <c r="F37" s="53">
        <v>41000</v>
      </c>
      <c r="G37" s="2">
        <v>818833.69906656805</v>
      </c>
      <c r="H37">
        <v>39933047591.276405</v>
      </c>
    </row>
    <row r="38" spans="1:8" x14ac:dyDescent="0.3">
      <c r="A38" s="53">
        <v>61000</v>
      </c>
      <c r="B38" s="53"/>
      <c r="C38" s="53"/>
      <c r="D38" s="54"/>
      <c r="F38" s="53">
        <v>61000</v>
      </c>
      <c r="G38" s="2">
        <v>223627.04721310036</v>
      </c>
      <c r="H38">
        <v>15466553941.765703</v>
      </c>
    </row>
    <row r="39" spans="1:8" x14ac:dyDescent="0.3">
      <c r="A39" s="53">
        <v>82000</v>
      </c>
      <c r="B39" s="53">
        <v>95207</v>
      </c>
      <c r="C39" s="53">
        <v>8568260000</v>
      </c>
      <c r="D39" s="54">
        <v>1.6784179529132064</v>
      </c>
      <c r="F39" s="53">
        <v>81000</v>
      </c>
      <c r="G39" s="2">
        <v>100217.89473684211</v>
      </c>
      <c r="H39">
        <v>8974142473.6842098</v>
      </c>
    </row>
    <row r="40" spans="1:8" x14ac:dyDescent="0.3">
      <c r="A40" s="53">
        <v>101000</v>
      </c>
      <c r="B40" s="53">
        <v>91796</v>
      </c>
      <c r="C40" s="53">
        <v>11016916000</v>
      </c>
      <c r="D40" s="54">
        <v>1.677609981989109</v>
      </c>
      <c r="F40" s="53">
        <v>101000</v>
      </c>
      <c r="G40" s="55">
        <v>91796</v>
      </c>
      <c r="H40" s="53">
        <v>11016916000</v>
      </c>
    </row>
    <row r="41" spans="1:8" x14ac:dyDescent="0.3">
      <c r="A41" s="53">
        <v>151000</v>
      </c>
      <c r="B41" s="53">
        <v>40912</v>
      </c>
      <c r="C41" s="53">
        <v>8030876000</v>
      </c>
      <c r="D41" s="54">
        <v>1.7137897800928039</v>
      </c>
      <c r="F41" s="53">
        <v>151000</v>
      </c>
      <c r="G41" s="55">
        <v>40912</v>
      </c>
      <c r="H41" s="53">
        <v>8030876000</v>
      </c>
    </row>
    <row r="42" spans="1:8" x14ac:dyDescent="0.3">
      <c r="A42" s="53">
        <v>301000</v>
      </c>
      <c r="B42" s="53">
        <v>6858</v>
      </c>
      <c r="C42" s="53">
        <v>2514557000</v>
      </c>
      <c r="D42" s="54">
        <v>1.720412770834147</v>
      </c>
      <c r="F42" s="53">
        <v>301000</v>
      </c>
      <c r="G42" s="55">
        <v>6858</v>
      </c>
      <c r="H42" s="53">
        <v>2514557000</v>
      </c>
    </row>
    <row r="43" spans="1:8" x14ac:dyDescent="0.3">
      <c r="A43" s="53">
        <v>501000</v>
      </c>
      <c r="B43" s="53">
        <v>1851</v>
      </c>
      <c r="C43" s="53">
        <v>1110339000</v>
      </c>
      <c r="D43" s="54">
        <v>1.7211623265097711</v>
      </c>
      <c r="F43" s="53">
        <v>501000</v>
      </c>
      <c r="G43" s="55">
        <v>1851</v>
      </c>
      <c r="H43" s="53">
        <v>1110339000</v>
      </c>
    </row>
    <row r="44" spans="1:8" x14ac:dyDescent="0.3">
      <c r="A44" s="53">
        <v>751000</v>
      </c>
      <c r="B44" s="53">
        <v>570</v>
      </c>
      <c r="C44" s="53">
        <v>485937000</v>
      </c>
      <c r="D44" s="54">
        <v>1.7063139282796937</v>
      </c>
      <c r="F44" s="53">
        <v>751000</v>
      </c>
      <c r="G44" s="55">
        <v>570</v>
      </c>
      <c r="H44" s="53">
        <v>485937000</v>
      </c>
    </row>
    <row r="45" spans="1:8" x14ac:dyDescent="0.3">
      <c r="A45" s="53">
        <v>1001000</v>
      </c>
      <c r="B45" s="53">
        <v>368</v>
      </c>
      <c r="C45" s="53">
        <v>450414000</v>
      </c>
      <c r="D45" s="54">
        <v>1.6948314843051686</v>
      </c>
      <c r="F45" s="53">
        <v>1001000</v>
      </c>
      <c r="G45" s="55">
        <v>368</v>
      </c>
      <c r="H45" s="53">
        <v>450414000</v>
      </c>
    </row>
    <row r="46" spans="1:8" x14ac:dyDescent="0.3">
      <c r="A46" s="53">
        <v>1500000</v>
      </c>
      <c r="B46" s="53">
        <v>221</v>
      </c>
      <c r="C46" s="53">
        <v>548840000</v>
      </c>
      <c r="D46" s="54">
        <v>1.6556259426847661</v>
      </c>
      <c r="F46" s="53">
        <v>1500000</v>
      </c>
      <c r="G46" s="55">
        <v>221</v>
      </c>
      <c r="H46" s="53">
        <v>548840000</v>
      </c>
    </row>
    <row r="47" spans="1:8" x14ac:dyDescent="0.3">
      <c r="A47" s="51" t="s">
        <v>56</v>
      </c>
      <c r="B47" s="51" t="s">
        <v>66</v>
      </c>
      <c r="C47" s="51" t="s">
        <v>67</v>
      </c>
      <c r="D47" s="52" t="s">
        <v>59</v>
      </c>
      <c r="E47">
        <v>82000</v>
      </c>
    </row>
    <row r="48" spans="1:8" x14ac:dyDescent="0.3">
      <c r="A48" s="53">
        <v>41000</v>
      </c>
      <c r="B48" s="53"/>
      <c r="C48" s="53"/>
      <c r="D48" s="54"/>
      <c r="F48" s="53">
        <v>41000</v>
      </c>
      <c r="G48" s="2">
        <v>23771.953157015705</v>
      </c>
      <c r="H48">
        <v>1159315423.6798553</v>
      </c>
    </row>
    <row r="49" spans="1:8" x14ac:dyDescent="0.3">
      <c r="A49" s="53">
        <v>61000</v>
      </c>
      <c r="B49" s="53"/>
      <c r="C49" s="53"/>
      <c r="D49" s="54"/>
      <c r="F49" s="53">
        <v>61000</v>
      </c>
      <c r="G49" s="2">
        <v>6492.223875313889</v>
      </c>
      <c r="H49">
        <v>449016932.52639413</v>
      </c>
    </row>
    <row r="50" spans="1:8" x14ac:dyDescent="0.3">
      <c r="A50" s="53">
        <v>82000</v>
      </c>
      <c r="B50" s="53">
        <v>2764</v>
      </c>
      <c r="C50" s="53">
        <v>248205000</v>
      </c>
      <c r="D50" s="54">
        <v>1.6579052909895726</v>
      </c>
      <c r="F50" s="53">
        <v>81000</v>
      </c>
      <c r="G50" s="2">
        <v>2909.4736842105262</v>
      </c>
      <c r="H50">
        <v>259988368.42105263</v>
      </c>
    </row>
    <row r="51" spans="1:8" x14ac:dyDescent="0.3">
      <c r="A51" s="53">
        <v>101000</v>
      </c>
      <c r="B51" s="53">
        <v>2361</v>
      </c>
      <c r="C51" s="53">
        <v>284611000</v>
      </c>
      <c r="D51" s="54">
        <v>1.6780226129868507</v>
      </c>
      <c r="F51" s="53">
        <v>101000</v>
      </c>
      <c r="G51" s="55">
        <v>2361</v>
      </c>
      <c r="H51" s="53">
        <v>284611000</v>
      </c>
    </row>
    <row r="52" spans="1:8" x14ac:dyDescent="0.3">
      <c r="A52" s="53">
        <v>151000</v>
      </c>
      <c r="B52" s="53">
        <v>1191</v>
      </c>
      <c r="C52" s="53">
        <v>234281000</v>
      </c>
      <c r="D52" s="54">
        <v>1.6526093082384472</v>
      </c>
      <c r="F52" s="53">
        <v>151000</v>
      </c>
      <c r="G52" s="55">
        <v>1191</v>
      </c>
      <c r="H52" s="53">
        <v>234281000</v>
      </c>
    </row>
    <row r="53" spans="1:8" x14ac:dyDescent="0.3">
      <c r="A53" s="53">
        <v>301000</v>
      </c>
      <c r="B53" s="53">
        <v>181</v>
      </c>
      <c r="C53" s="53">
        <v>65531000</v>
      </c>
      <c r="D53" s="54">
        <v>1.6586378737541527</v>
      </c>
      <c r="F53" s="53">
        <v>301000</v>
      </c>
      <c r="G53" s="55">
        <v>181</v>
      </c>
      <c r="H53" s="53">
        <v>65531000</v>
      </c>
    </row>
    <row r="54" spans="1:8" x14ac:dyDescent="0.3">
      <c r="A54" s="53">
        <v>501000</v>
      </c>
      <c r="B54" s="53">
        <v>41</v>
      </c>
      <c r="C54" s="53">
        <v>24460000</v>
      </c>
      <c r="D54" s="54">
        <v>1.6946388912316215</v>
      </c>
      <c r="F54" s="53">
        <v>501000</v>
      </c>
      <c r="G54" s="55">
        <v>41</v>
      </c>
      <c r="H54" s="53">
        <v>24460000</v>
      </c>
    </row>
    <row r="55" spans="1:8" x14ac:dyDescent="0.3">
      <c r="A55" s="53">
        <v>751000</v>
      </c>
      <c r="B55" s="53">
        <v>13</v>
      </c>
      <c r="C55" s="53">
        <v>10699000</v>
      </c>
      <c r="D55" s="54">
        <v>1.5898801597869507</v>
      </c>
      <c r="F55" s="53">
        <v>751000</v>
      </c>
      <c r="G55" s="55">
        <v>13</v>
      </c>
      <c r="H55" s="53">
        <v>10699000</v>
      </c>
    </row>
    <row r="56" spans="1:8" x14ac:dyDescent="0.3">
      <c r="A56" s="53">
        <v>1001000</v>
      </c>
      <c r="B56" s="53">
        <v>11</v>
      </c>
      <c r="C56" s="53">
        <v>13502000</v>
      </c>
      <c r="D56" s="54">
        <v>1.476229652700241</v>
      </c>
      <c r="F56" s="53">
        <v>1001000</v>
      </c>
      <c r="G56" s="55">
        <v>11</v>
      </c>
      <c r="H56" s="53">
        <v>13502000</v>
      </c>
    </row>
    <row r="57" spans="1:8" x14ac:dyDescent="0.3">
      <c r="A57" s="53">
        <v>1500000</v>
      </c>
      <c r="B57" s="53">
        <v>6</v>
      </c>
      <c r="C57" s="53">
        <v>11619000</v>
      </c>
      <c r="D57" s="54">
        <v>1.2909999999999999</v>
      </c>
      <c r="F57" s="53">
        <v>1500000</v>
      </c>
      <c r="G57" s="55">
        <v>6</v>
      </c>
      <c r="H57" s="53">
        <v>11619000</v>
      </c>
    </row>
    <row r="58" spans="1:8" x14ac:dyDescent="0.3">
      <c r="A58" s="51" t="s">
        <v>56</v>
      </c>
      <c r="B58" s="51" t="s">
        <v>68</v>
      </c>
      <c r="C58" s="51" t="s">
        <v>69</v>
      </c>
      <c r="D58" s="52" t="s">
        <v>59</v>
      </c>
      <c r="E58">
        <v>102500</v>
      </c>
    </row>
    <row r="59" spans="1:8" x14ac:dyDescent="0.3">
      <c r="A59" s="53">
        <v>41000</v>
      </c>
      <c r="B59" s="53"/>
      <c r="C59" s="53"/>
      <c r="D59" s="54"/>
      <c r="F59" s="53">
        <v>41000</v>
      </c>
      <c r="G59" s="2">
        <v>1282459.4697927837</v>
      </c>
      <c r="H59">
        <v>62543243029.076843</v>
      </c>
    </row>
    <row r="60" spans="1:8" x14ac:dyDescent="0.3">
      <c r="A60" s="53">
        <v>61000</v>
      </c>
      <c r="B60" s="53"/>
      <c r="C60" s="53"/>
      <c r="D60" s="54"/>
      <c r="F60" s="53">
        <v>61000</v>
      </c>
      <c r="G60" s="2">
        <v>350245.26314338145</v>
      </c>
      <c r="H60">
        <v>24223757022.078552</v>
      </c>
    </row>
    <row r="61" spans="1:8" x14ac:dyDescent="0.3">
      <c r="A61" s="53">
        <v>82000</v>
      </c>
      <c r="B61" s="53"/>
      <c r="C61" s="53"/>
      <c r="D61" s="54"/>
      <c r="F61" s="53">
        <v>81000</v>
      </c>
      <c r="G61" s="2">
        <v>156961.5274682423</v>
      </c>
      <c r="H61">
        <v>14055325289.818487</v>
      </c>
    </row>
    <row r="62" spans="1:8" x14ac:dyDescent="0.3">
      <c r="A62" s="53">
        <v>102500</v>
      </c>
      <c r="B62" s="53">
        <v>139458</v>
      </c>
      <c r="C62" s="53">
        <v>16828692000</v>
      </c>
      <c r="D62" s="54">
        <v>1.5461172673091497</v>
      </c>
      <c r="F62" s="53">
        <v>101000</v>
      </c>
      <c r="G62" s="2">
        <v>143771.13402061857</v>
      </c>
      <c r="H62">
        <v>17264318536.082474</v>
      </c>
    </row>
    <row r="63" spans="1:8" x14ac:dyDescent="0.3">
      <c r="A63" s="53">
        <v>151000</v>
      </c>
      <c r="B63" s="53">
        <v>55841</v>
      </c>
      <c r="C63" s="53">
        <v>10838661000</v>
      </c>
      <c r="D63" s="54">
        <v>1.5811447850152607</v>
      </c>
      <c r="F63" s="53">
        <v>151000</v>
      </c>
      <c r="G63" s="55">
        <v>55841</v>
      </c>
      <c r="H63" s="53">
        <v>10838661000</v>
      </c>
    </row>
    <row r="64" spans="1:8" x14ac:dyDescent="0.3">
      <c r="A64" s="53">
        <v>301000</v>
      </c>
      <c r="B64" s="53">
        <v>7354</v>
      </c>
      <c r="C64" s="53">
        <v>2698879000</v>
      </c>
      <c r="D64" s="54">
        <v>1.6355148994961719</v>
      </c>
      <c r="F64" s="53">
        <v>301000</v>
      </c>
      <c r="G64" s="55">
        <v>7354</v>
      </c>
      <c r="H64" s="53">
        <v>2698879000</v>
      </c>
    </row>
    <row r="65" spans="1:8" x14ac:dyDescent="0.3">
      <c r="A65" s="53">
        <v>501000</v>
      </c>
      <c r="B65" s="53">
        <v>1551</v>
      </c>
      <c r="C65" s="53">
        <v>925437000</v>
      </c>
      <c r="D65" s="54">
        <v>1.7239145248398808</v>
      </c>
      <c r="F65" s="53">
        <v>501000</v>
      </c>
      <c r="G65" s="55">
        <v>1551</v>
      </c>
      <c r="H65" s="53">
        <v>925437000</v>
      </c>
    </row>
    <row r="66" spans="1:8" x14ac:dyDescent="0.3">
      <c r="A66" s="53">
        <v>751000</v>
      </c>
      <c r="B66" s="53">
        <v>486</v>
      </c>
      <c r="C66" s="53">
        <v>417658000</v>
      </c>
      <c r="D66" s="54">
        <v>1.7429892759474823</v>
      </c>
      <c r="F66" s="53">
        <v>751000</v>
      </c>
      <c r="G66" s="55">
        <v>486</v>
      </c>
      <c r="H66" s="53">
        <v>417658000</v>
      </c>
    </row>
    <row r="67" spans="1:8" x14ac:dyDescent="0.3">
      <c r="A67" s="53">
        <v>1001000</v>
      </c>
      <c r="B67" s="53">
        <v>278</v>
      </c>
      <c r="C67" s="53">
        <v>336076000</v>
      </c>
      <c r="D67" s="54">
        <v>1.7993222993222993</v>
      </c>
      <c r="F67" s="53">
        <v>1001000</v>
      </c>
      <c r="G67" s="55">
        <v>278</v>
      </c>
      <c r="H67" s="53">
        <v>336076000</v>
      </c>
    </row>
    <row r="68" spans="1:8" x14ac:dyDescent="0.3">
      <c r="A68" s="53">
        <v>1500000</v>
      </c>
      <c r="B68" s="53">
        <v>166</v>
      </c>
      <c r="C68" s="53">
        <v>463622000</v>
      </c>
      <c r="D68" s="54">
        <v>1.8619357429718875</v>
      </c>
      <c r="F68" s="53">
        <v>1500000</v>
      </c>
      <c r="G68" s="55">
        <v>166</v>
      </c>
      <c r="H68" s="53">
        <v>463622000</v>
      </c>
    </row>
    <row r="69" spans="1:8" x14ac:dyDescent="0.3">
      <c r="A69" s="51" t="s">
        <v>56</v>
      </c>
      <c r="B69" s="51" t="s">
        <v>70</v>
      </c>
      <c r="C69" s="51" t="s">
        <v>71</v>
      </c>
      <c r="D69" s="52" t="s">
        <v>59</v>
      </c>
      <c r="E69">
        <v>123000</v>
      </c>
    </row>
    <row r="70" spans="1:8" x14ac:dyDescent="0.3">
      <c r="A70" s="53">
        <v>41000</v>
      </c>
      <c r="B70" s="53"/>
      <c r="C70" s="53"/>
      <c r="D70" s="54"/>
      <c r="F70" s="53">
        <v>41000</v>
      </c>
      <c r="G70" s="2">
        <v>904893.99490169378</v>
      </c>
      <c r="H70">
        <v>44130053519.612061</v>
      </c>
    </row>
    <row r="71" spans="1:8" x14ac:dyDescent="0.3">
      <c r="A71" s="53">
        <v>61000</v>
      </c>
      <c r="B71" s="53"/>
      <c r="C71" s="53"/>
      <c r="D71" s="54"/>
      <c r="F71" s="53">
        <v>61000</v>
      </c>
      <c r="G71" s="2">
        <v>247130.48858566958</v>
      </c>
      <c r="H71">
        <v>17092105270.803123</v>
      </c>
    </row>
    <row r="72" spans="1:8" x14ac:dyDescent="0.3">
      <c r="A72" s="53">
        <v>82000</v>
      </c>
      <c r="B72" s="53"/>
      <c r="C72" s="53"/>
      <c r="D72" s="54"/>
      <c r="F72" s="53">
        <v>81000</v>
      </c>
      <c r="G72" s="2">
        <v>110750.90245117772</v>
      </c>
      <c r="H72">
        <v>9917334427.1080074</v>
      </c>
    </row>
    <row r="73" spans="1:8" x14ac:dyDescent="0.3">
      <c r="A73" s="53">
        <v>123000</v>
      </c>
      <c r="B73" s="53">
        <v>37092</v>
      </c>
      <c r="C73" s="53">
        <v>5008997000</v>
      </c>
      <c r="D73" s="54">
        <v>1.6014666104602202</v>
      </c>
      <c r="F73" s="53">
        <v>101000</v>
      </c>
      <c r="G73" s="2">
        <v>101443.85758755023</v>
      </c>
      <c r="H73">
        <v>12181576523.346386</v>
      </c>
    </row>
    <row r="74" spans="1:8" x14ac:dyDescent="0.3">
      <c r="A74" s="53">
        <v>151000</v>
      </c>
      <c r="B74" s="53">
        <v>39401</v>
      </c>
      <c r="C74" s="53">
        <v>7726733000</v>
      </c>
      <c r="D74" s="54">
        <v>1.6263983491486678</v>
      </c>
      <c r="F74" s="53">
        <v>151000</v>
      </c>
      <c r="G74" s="55">
        <v>39401</v>
      </c>
      <c r="H74" s="53">
        <v>7726733000</v>
      </c>
    </row>
    <row r="75" spans="1:8" x14ac:dyDescent="0.3">
      <c r="A75" s="53">
        <v>301000</v>
      </c>
      <c r="B75" s="53">
        <v>5830</v>
      </c>
      <c r="C75" s="53">
        <v>2163859000</v>
      </c>
      <c r="D75" s="54">
        <v>1.6394354060316005</v>
      </c>
      <c r="F75" s="53">
        <v>301000</v>
      </c>
      <c r="G75" s="55">
        <v>5830</v>
      </c>
      <c r="H75" s="53">
        <v>2163859000</v>
      </c>
    </row>
    <row r="76" spans="1:8" x14ac:dyDescent="0.3">
      <c r="A76" s="53">
        <v>501000</v>
      </c>
      <c r="B76" s="53">
        <v>1300</v>
      </c>
      <c r="C76" s="53">
        <v>776617000</v>
      </c>
      <c r="D76" s="54">
        <v>1.6843786628217765</v>
      </c>
      <c r="F76" s="53">
        <v>501000</v>
      </c>
      <c r="G76" s="55">
        <v>1300</v>
      </c>
      <c r="H76" s="53">
        <v>776617000</v>
      </c>
    </row>
    <row r="77" spans="1:8" x14ac:dyDescent="0.3">
      <c r="A77" s="53">
        <v>751000</v>
      </c>
      <c r="B77" s="53">
        <v>362</v>
      </c>
      <c r="C77" s="53">
        <v>307438000</v>
      </c>
      <c r="D77" s="54">
        <v>1.7041513809252062</v>
      </c>
      <c r="F77" s="53">
        <v>751000</v>
      </c>
      <c r="G77" s="55">
        <v>362</v>
      </c>
      <c r="H77" s="53">
        <v>307438000</v>
      </c>
    </row>
    <row r="78" spans="1:8" x14ac:dyDescent="0.3">
      <c r="A78" s="53">
        <v>1001000</v>
      </c>
      <c r="B78" s="53">
        <v>238</v>
      </c>
      <c r="C78" s="53">
        <v>284462000</v>
      </c>
      <c r="D78" s="54">
        <v>1.6959662321592617</v>
      </c>
      <c r="F78" s="53">
        <v>1001000</v>
      </c>
      <c r="G78" s="55">
        <v>238</v>
      </c>
      <c r="H78" s="53">
        <v>284462000</v>
      </c>
    </row>
    <row r="79" spans="1:8" x14ac:dyDescent="0.3">
      <c r="A79" s="53">
        <v>1500000</v>
      </c>
      <c r="B79" s="53">
        <v>135</v>
      </c>
      <c r="C79" s="53">
        <v>348766000</v>
      </c>
      <c r="D79" s="54">
        <v>1.7223012345679012</v>
      </c>
      <c r="F79" s="53">
        <v>1500000</v>
      </c>
      <c r="G79" s="55">
        <v>135</v>
      </c>
      <c r="H79" s="53">
        <v>348766000</v>
      </c>
    </row>
    <row r="80" spans="1:8" x14ac:dyDescent="0.3">
      <c r="A80" s="51" t="s">
        <v>56</v>
      </c>
      <c r="B80" s="51" t="s">
        <v>72</v>
      </c>
      <c r="C80" s="51" t="s">
        <v>73</v>
      </c>
      <c r="D80" s="52" t="s">
        <v>59</v>
      </c>
      <c r="E80">
        <v>143500</v>
      </c>
    </row>
    <row r="81" spans="1:8" x14ac:dyDescent="0.3">
      <c r="A81" s="53">
        <v>41000</v>
      </c>
      <c r="B81" s="53"/>
      <c r="C81" s="53"/>
      <c r="D81" s="54"/>
      <c r="F81" s="53">
        <v>41000</v>
      </c>
      <c r="G81" s="2">
        <v>468420.03807047912</v>
      </c>
      <c r="H81">
        <v>22844003238.141361</v>
      </c>
    </row>
    <row r="82" spans="1:8" x14ac:dyDescent="0.3">
      <c r="A82" s="53">
        <v>61000</v>
      </c>
      <c r="B82" s="53"/>
      <c r="C82" s="53"/>
      <c r="D82" s="54"/>
      <c r="F82" s="53">
        <v>61000</v>
      </c>
      <c r="G82" s="2">
        <v>127927.55120919055</v>
      </c>
      <c r="H82">
        <v>8847759678.7721252</v>
      </c>
    </row>
    <row r="83" spans="1:8" x14ac:dyDescent="0.3">
      <c r="A83" s="53">
        <v>82000</v>
      </c>
      <c r="B83" s="53"/>
      <c r="C83" s="53"/>
      <c r="D83" s="54"/>
      <c r="F83" s="53">
        <v>81000</v>
      </c>
      <c r="G83" s="2">
        <v>57330.408019954339</v>
      </c>
      <c r="H83">
        <v>5133726376.876092</v>
      </c>
    </row>
    <row r="84" spans="1:8" x14ac:dyDescent="0.3">
      <c r="A84" s="53">
        <v>143500</v>
      </c>
      <c r="B84" s="53">
        <v>4705</v>
      </c>
      <c r="C84" s="53">
        <v>699997000</v>
      </c>
      <c r="D84" s="54">
        <v>1.6645894755650854</v>
      </c>
      <c r="F84" s="53">
        <v>101000</v>
      </c>
      <c r="G84" s="2">
        <v>52512.599156256809</v>
      </c>
      <c r="H84">
        <v>6305815455.7034817</v>
      </c>
    </row>
    <row r="85" spans="1:8" x14ac:dyDescent="0.3">
      <c r="A85" s="53">
        <v>151000</v>
      </c>
      <c r="B85" s="53">
        <v>20396</v>
      </c>
      <c r="C85" s="53">
        <v>4063724000</v>
      </c>
      <c r="D85" s="54">
        <v>1.6930986751556871</v>
      </c>
      <c r="F85" s="53">
        <v>151000</v>
      </c>
      <c r="G85" s="55">
        <v>20396</v>
      </c>
      <c r="H85" s="53">
        <v>4063724000</v>
      </c>
    </row>
    <row r="86" spans="1:8" x14ac:dyDescent="0.3">
      <c r="A86" s="53">
        <v>301000</v>
      </c>
      <c r="B86" s="53">
        <v>3542</v>
      </c>
      <c r="C86" s="53">
        <v>1303722000</v>
      </c>
      <c r="D86" s="54">
        <v>1.6374135277789763</v>
      </c>
      <c r="F86" s="53">
        <v>301000</v>
      </c>
      <c r="G86" s="55">
        <v>3542</v>
      </c>
      <c r="H86" s="53">
        <v>1303722000</v>
      </c>
    </row>
    <row r="87" spans="1:8" x14ac:dyDescent="0.3">
      <c r="A87" s="53">
        <v>501000</v>
      </c>
      <c r="B87" s="53">
        <v>854</v>
      </c>
      <c r="C87" s="53">
        <v>507129000</v>
      </c>
      <c r="D87" s="54">
        <v>1.6577219891767268</v>
      </c>
      <c r="F87" s="53">
        <v>501000</v>
      </c>
      <c r="G87" s="55">
        <v>854</v>
      </c>
      <c r="H87" s="53">
        <v>507129000</v>
      </c>
    </row>
    <row r="88" spans="1:8" x14ac:dyDescent="0.3">
      <c r="A88" s="53">
        <v>751000</v>
      </c>
      <c r="B88" s="53">
        <v>220</v>
      </c>
      <c r="C88" s="53">
        <v>189414000</v>
      </c>
      <c r="D88" s="54">
        <v>1.6974290689337295</v>
      </c>
      <c r="F88" s="53">
        <v>751000</v>
      </c>
      <c r="G88" s="55">
        <v>220</v>
      </c>
      <c r="H88" s="53">
        <v>189414000</v>
      </c>
    </row>
    <row r="89" spans="1:8" x14ac:dyDescent="0.3">
      <c r="A89" s="53">
        <v>1001000</v>
      </c>
      <c r="B89" s="53">
        <v>157</v>
      </c>
      <c r="C89" s="53">
        <v>187714000</v>
      </c>
      <c r="D89" s="54">
        <v>1.660492698790571</v>
      </c>
      <c r="F89" s="53">
        <v>1001000</v>
      </c>
      <c r="G89" s="55">
        <v>157</v>
      </c>
      <c r="H89" s="53">
        <v>187714000</v>
      </c>
    </row>
    <row r="90" spans="1:8" x14ac:dyDescent="0.3">
      <c r="A90" s="53">
        <v>1500000</v>
      </c>
      <c r="B90" s="53">
        <v>78</v>
      </c>
      <c r="C90" s="53">
        <v>202892000</v>
      </c>
      <c r="D90" s="54">
        <v>1.7341196581196581</v>
      </c>
      <c r="F90" s="53">
        <v>1500000</v>
      </c>
      <c r="G90" s="55">
        <v>78</v>
      </c>
      <c r="H90" s="53">
        <v>202892000</v>
      </c>
    </row>
    <row r="91" spans="1:8" x14ac:dyDescent="0.3">
      <c r="A91" s="51" t="s">
        <v>56</v>
      </c>
      <c r="B91" s="51" t="s">
        <v>74</v>
      </c>
      <c r="C91" s="51" t="s">
        <v>75</v>
      </c>
      <c r="D91" s="52" t="s">
        <v>59</v>
      </c>
      <c r="E91">
        <v>164000</v>
      </c>
    </row>
    <row r="92" spans="1:8" x14ac:dyDescent="0.3">
      <c r="A92" s="53">
        <v>41000</v>
      </c>
      <c r="B92" s="53"/>
      <c r="C92" s="53"/>
      <c r="D92" s="54"/>
      <c r="F92" s="53">
        <v>41000</v>
      </c>
      <c r="G92" s="2">
        <v>257750.04353454657</v>
      </c>
      <c r="H92">
        <v>12570006299.022451</v>
      </c>
    </row>
    <row r="93" spans="1:8" x14ac:dyDescent="0.3">
      <c r="A93" s="53">
        <v>61000</v>
      </c>
      <c r="B93" s="53"/>
      <c r="C93" s="53"/>
      <c r="D93" s="54"/>
      <c r="F93" s="53">
        <v>61000</v>
      </c>
      <c r="G93" s="2">
        <v>70392.658754012547</v>
      </c>
      <c r="H93">
        <v>4868515983.6044254</v>
      </c>
    </row>
    <row r="94" spans="1:8" x14ac:dyDescent="0.3">
      <c r="A94" s="53">
        <v>82000</v>
      </c>
      <c r="B94" s="53"/>
      <c r="C94" s="53"/>
      <c r="D94" s="54"/>
      <c r="F94" s="53">
        <v>81000</v>
      </c>
      <c r="G94" s="2">
        <v>31546.291708326095</v>
      </c>
      <c r="H94">
        <v>2824853954.9778385</v>
      </c>
    </row>
    <row r="95" spans="1:8" x14ac:dyDescent="0.3">
      <c r="A95" s="53">
        <v>101000</v>
      </c>
      <c r="B95" s="53"/>
      <c r="C95" s="53"/>
      <c r="D95" s="54"/>
      <c r="F95" s="53">
        <v>101000</v>
      </c>
      <c r="G95" s="2">
        <v>28895.272658256501</v>
      </c>
      <c r="H95">
        <v>3469800768.8215938</v>
      </c>
    </row>
    <row r="96" spans="1:8" x14ac:dyDescent="0.3">
      <c r="A96" s="53">
        <v>164000</v>
      </c>
      <c r="B96" s="53">
        <v>7873</v>
      </c>
      <c r="C96" s="53">
        <v>1666168000</v>
      </c>
      <c r="D96" s="54">
        <v>1.7085133233306582</v>
      </c>
      <c r="F96" s="53">
        <v>151000</v>
      </c>
      <c r="G96" s="2">
        <v>11222.982495765105</v>
      </c>
      <c r="H96">
        <v>2236080766.798419</v>
      </c>
    </row>
    <row r="97" spans="1:8" x14ac:dyDescent="0.3">
      <c r="A97" s="53">
        <v>301000</v>
      </c>
      <c r="B97" s="53">
        <v>1949</v>
      </c>
      <c r="C97" s="53">
        <v>724201000</v>
      </c>
      <c r="D97" s="54">
        <v>1.6174886671788271</v>
      </c>
      <c r="F97" s="53">
        <v>301000</v>
      </c>
      <c r="G97" s="55">
        <v>1949</v>
      </c>
      <c r="H97" s="53">
        <v>724201000</v>
      </c>
    </row>
    <row r="98" spans="1:8" x14ac:dyDescent="0.3">
      <c r="A98" s="53">
        <v>501000</v>
      </c>
      <c r="B98" s="53">
        <v>418</v>
      </c>
      <c r="C98" s="53">
        <v>249398000</v>
      </c>
      <c r="D98" s="54">
        <v>1.64825100929363</v>
      </c>
      <c r="F98" s="53">
        <v>501000</v>
      </c>
      <c r="G98" s="55">
        <v>418</v>
      </c>
      <c r="H98" s="53">
        <v>249398000</v>
      </c>
    </row>
    <row r="99" spans="1:8" x14ac:dyDescent="0.3">
      <c r="A99" s="53">
        <v>751000</v>
      </c>
      <c r="B99" s="53">
        <v>134</v>
      </c>
      <c r="C99" s="53">
        <v>114181000</v>
      </c>
      <c r="D99" s="54">
        <v>1.6200983722383759</v>
      </c>
      <c r="F99" s="53">
        <v>751000</v>
      </c>
      <c r="G99" s="55">
        <v>134</v>
      </c>
      <c r="H99" s="53">
        <v>114181000</v>
      </c>
    </row>
    <row r="100" spans="1:8" x14ac:dyDescent="0.3">
      <c r="A100" s="53">
        <v>1001000</v>
      </c>
      <c r="B100" s="53">
        <v>70</v>
      </c>
      <c r="C100" s="53">
        <v>82836000</v>
      </c>
      <c r="D100" s="54">
        <v>1.6551826551826552</v>
      </c>
      <c r="F100" s="53">
        <v>1001000</v>
      </c>
      <c r="G100" s="55">
        <v>70</v>
      </c>
      <c r="H100" s="53">
        <v>82836000</v>
      </c>
    </row>
    <row r="101" spans="1:8" x14ac:dyDescent="0.3">
      <c r="A101" s="53">
        <v>1500000</v>
      </c>
      <c r="B101" s="53">
        <v>41</v>
      </c>
      <c r="C101" s="53">
        <v>101073000</v>
      </c>
      <c r="D101" s="54">
        <v>1.6434634146341465</v>
      </c>
      <c r="F101" s="53">
        <v>1500000</v>
      </c>
      <c r="G101" s="55">
        <v>41</v>
      </c>
      <c r="H101" s="53">
        <v>101073000</v>
      </c>
    </row>
    <row r="102" spans="1:8" x14ac:dyDescent="0.3">
      <c r="A102" s="51" t="s">
        <v>56</v>
      </c>
      <c r="B102" s="51" t="s">
        <v>76</v>
      </c>
      <c r="C102" s="51" t="s">
        <v>77</v>
      </c>
      <c r="D102" s="52" t="s">
        <v>59</v>
      </c>
      <c r="E102">
        <v>184500</v>
      </c>
    </row>
    <row r="103" spans="1:8" x14ac:dyDescent="0.3">
      <c r="A103" s="53">
        <v>41000</v>
      </c>
      <c r="B103" s="53"/>
      <c r="C103" s="53"/>
      <c r="D103" s="54"/>
      <c r="F103" s="53">
        <v>41000</v>
      </c>
      <c r="G103" s="2">
        <v>133966.54392021327</v>
      </c>
      <c r="H103">
        <v>6533307532.5345011</v>
      </c>
    </row>
    <row r="104" spans="1:8" x14ac:dyDescent="0.3">
      <c r="A104" s="53">
        <v>61000</v>
      </c>
      <c r="B104" s="53"/>
      <c r="C104" s="53"/>
      <c r="D104" s="54"/>
      <c r="F104" s="53">
        <v>61000</v>
      </c>
      <c r="G104" s="2">
        <v>36586.846237975733</v>
      </c>
      <c r="H104">
        <v>2530429292.6584315</v>
      </c>
    </row>
    <row r="105" spans="1:8" x14ac:dyDescent="0.3">
      <c r="A105" s="53">
        <v>82000</v>
      </c>
      <c r="B105" s="53"/>
      <c r="C105" s="53"/>
      <c r="D105" s="54"/>
      <c r="F105" s="53">
        <v>81000</v>
      </c>
      <c r="G105" s="2">
        <v>16396.302463075594</v>
      </c>
      <c r="H105">
        <v>1468228351.1506159</v>
      </c>
    </row>
    <row r="106" spans="1:8" x14ac:dyDescent="0.3">
      <c r="A106" s="53">
        <v>101000</v>
      </c>
      <c r="B106" s="53"/>
      <c r="C106" s="53"/>
      <c r="D106" s="54"/>
      <c r="F106" s="53">
        <v>101000</v>
      </c>
      <c r="G106" s="2">
        <v>15018.425450391911</v>
      </c>
      <c r="H106">
        <v>1803441856.7553997</v>
      </c>
    </row>
    <row r="107" spans="1:8" x14ac:dyDescent="0.3">
      <c r="A107" s="53">
        <v>184500</v>
      </c>
      <c r="B107" s="53">
        <v>2879</v>
      </c>
      <c r="C107" s="53">
        <v>657986000</v>
      </c>
      <c r="D107" s="54">
        <v>1.7444865669411846</v>
      </c>
      <c r="F107" s="53">
        <v>151000</v>
      </c>
      <c r="G107" s="2">
        <v>5833.1869000564657</v>
      </c>
      <c r="H107">
        <v>1162211296.4426877</v>
      </c>
    </row>
    <row r="108" spans="1:8" x14ac:dyDescent="0.3">
      <c r="A108" s="53">
        <v>301000</v>
      </c>
      <c r="B108" s="53">
        <v>1013</v>
      </c>
      <c r="C108" s="53">
        <v>378747000</v>
      </c>
      <c r="D108" s="54">
        <v>1.6899486643963793</v>
      </c>
      <c r="F108" s="53">
        <v>301000</v>
      </c>
      <c r="G108" s="55">
        <v>1013</v>
      </c>
      <c r="H108" s="53">
        <v>378747000</v>
      </c>
    </row>
    <row r="109" spans="1:8" x14ac:dyDescent="0.3">
      <c r="A109" s="53">
        <v>501000</v>
      </c>
      <c r="B109" s="53">
        <v>277</v>
      </c>
      <c r="C109" s="53">
        <v>162894000</v>
      </c>
      <c r="D109" s="54">
        <v>1.6565786074909006</v>
      </c>
      <c r="F109" s="53">
        <v>501000</v>
      </c>
      <c r="G109" s="55">
        <v>277</v>
      </c>
      <c r="H109" s="53">
        <v>162894000</v>
      </c>
    </row>
    <row r="110" spans="1:8" x14ac:dyDescent="0.3">
      <c r="A110" s="53">
        <v>751000</v>
      </c>
      <c r="B110" s="53">
        <v>77</v>
      </c>
      <c r="C110" s="53">
        <v>65518000</v>
      </c>
      <c r="D110" s="54">
        <v>1.7079299672508728</v>
      </c>
      <c r="F110" s="53">
        <v>751000</v>
      </c>
      <c r="G110" s="55">
        <v>77</v>
      </c>
      <c r="H110" s="53">
        <v>65518000</v>
      </c>
    </row>
    <row r="111" spans="1:8" x14ac:dyDescent="0.3">
      <c r="A111" s="53">
        <v>1001000</v>
      </c>
      <c r="B111" s="53">
        <v>43</v>
      </c>
      <c r="C111" s="53">
        <v>52559000</v>
      </c>
      <c r="D111" s="54">
        <v>1.7491663266311153</v>
      </c>
      <c r="F111" s="53">
        <v>1001000</v>
      </c>
      <c r="G111" s="55">
        <v>43</v>
      </c>
      <c r="H111" s="53">
        <v>52559000</v>
      </c>
    </row>
    <row r="112" spans="1:8" x14ac:dyDescent="0.3">
      <c r="A112" s="53">
        <v>1500000</v>
      </c>
      <c r="B112" s="53">
        <v>28</v>
      </c>
      <c r="C112" s="53">
        <v>71756000</v>
      </c>
      <c r="D112" s="54">
        <v>1.7084761904761907</v>
      </c>
      <c r="F112" s="53">
        <v>1500000</v>
      </c>
      <c r="G112" s="55">
        <v>28</v>
      </c>
      <c r="H112" s="53">
        <v>71756000</v>
      </c>
    </row>
    <row r="113" spans="1:8" x14ac:dyDescent="0.3">
      <c r="A113" s="51" t="s">
        <v>56</v>
      </c>
      <c r="B113" s="51" t="s">
        <v>78</v>
      </c>
      <c r="C113" s="51" t="s">
        <v>79</v>
      </c>
      <c r="D113" s="52" t="s">
        <v>59</v>
      </c>
      <c r="E113">
        <v>205000</v>
      </c>
    </row>
    <row r="114" spans="1:8" x14ac:dyDescent="0.3">
      <c r="A114" s="53">
        <v>41000</v>
      </c>
      <c r="B114" s="53"/>
      <c r="C114" s="53"/>
      <c r="D114" s="54"/>
      <c r="F114" s="53">
        <v>41000</v>
      </c>
      <c r="G114" s="2">
        <v>76967.945273014906</v>
      </c>
      <c r="H114">
        <v>3753588335.5726342</v>
      </c>
    </row>
    <row r="115" spans="1:8" x14ac:dyDescent="0.3">
      <c r="A115" s="53">
        <v>61000</v>
      </c>
      <c r="B115" s="53"/>
      <c r="C115" s="53"/>
      <c r="D115" s="54"/>
      <c r="F115" s="53">
        <v>61000</v>
      </c>
      <c r="G115" s="2">
        <v>21020.280859330574</v>
      </c>
      <c r="H115">
        <v>1453810314.2420599</v>
      </c>
    </row>
    <row r="116" spans="1:8" x14ac:dyDescent="0.3">
      <c r="A116" s="53">
        <v>82000</v>
      </c>
      <c r="B116" s="53"/>
      <c r="C116" s="53"/>
      <c r="D116" s="54"/>
      <c r="F116" s="53">
        <v>81000</v>
      </c>
      <c r="G116" s="2">
        <v>9420.1856204442192</v>
      </c>
      <c r="H116">
        <v>843542843.40538836</v>
      </c>
    </row>
    <row r="117" spans="1:8" x14ac:dyDescent="0.3">
      <c r="A117" s="53">
        <v>101000</v>
      </c>
      <c r="B117" s="53"/>
      <c r="C117" s="53"/>
      <c r="D117" s="54"/>
      <c r="F117" s="53">
        <v>101000</v>
      </c>
      <c r="G117" s="2">
        <v>8628.5524305311865</v>
      </c>
      <c r="H117">
        <v>1036133426.0924408</v>
      </c>
    </row>
    <row r="118" spans="1:8" x14ac:dyDescent="0.3">
      <c r="A118" s="53">
        <v>205000</v>
      </c>
      <c r="B118" s="53">
        <v>947</v>
      </c>
      <c r="C118" s="53">
        <v>231403000</v>
      </c>
      <c r="D118" s="54">
        <v>1.904887832832483</v>
      </c>
      <c r="F118" s="53">
        <v>151000</v>
      </c>
      <c r="G118" s="2">
        <v>3351.3472614342181</v>
      </c>
      <c r="H118">
        <v>667726529.64426875</v>
      </c>
    </row>
    <row r="119" spans="1:8" x14ac:dyDescent="0.3">
      <c r="A119" s="53">
        <v>301000</v>
      </c>
      <c r="B119" s="53">
        <v>582</v>
      </c>
      <c r="C119" s="53">
        <v>267731000</v>
      </c>
      <c r="D119" s="54">
        <v>1.8735501544559072</v>
      </c>
      <c r="F119" s="53">
        <v>301000</v>
      </c>
      <c r="G119" s="55">
        <v>582</v>
      </c>
      <c r="H119" s="53">
        <v>267731000</v>
      </c>
    </row>
    <row r="120" spans="1:8" x14ac:dyDescent="0.3">
      <c r="A120" s="53">
        <v>501000</v>
      </c>
      <c r="B120" s="53">
        <v>142</v>
      </c>
      <c r="C120" s="53">
        <v>84105000</v>
      </c>
      <c r="D120" s="54">
        <v>1.684519849190508</v>
      </c>
      <c r="F120" s="53">
        <v>501000</v>
      </c>
      <c r="G120" s="55">
        <v>142</v>
      </c>
      <c r="H120" s="53">
        <v>84105000</v>
      </c>
    </row>
    <row r="121" spans="1:8" x14ac:dyDescent="0.3">
      <c r="A121" s="53">
        <v>751000</v>
      </c>
      <c r="B121" s="53">
        <v>41</v>
      </c>
      <c r="C121" s="53">
        <v>35929000</v>
      </c>
      <c r="D121" s="54">
        <v>1.7667794292294956</v>
      </c>
      <c r="F121" s="53">
        <v>751000</v>
      </c>
      <c r="G121" s="55">
        <v>41</v>
      </c>
      <c r="H121" s="53">
        <v>35929000</v>
      </c>
    </row>
    <row r="122" spans="1:8" x14ac:dyDescent="0.3">
      <c r="A122" s="53">
        <v>1001000</v>
      </c>
      <c r="B122" s="53">
        <v>17</v>
      </c>
      <c r="C122" s="53">
        <v>20094000</v>
      </c>
      <c r="D122" s="54">
        <v>1.8847213392667939</v>
      </c>
      <c r="F122" s="53">
        <v>1001000</v>
      </c>
      <c r="G122" s="55">
        <v>17</v>
      </c>
      <c r="H122" s="53">
        <v>20094000</v>
      </c>
    </row>
    <row r="123" spans="1:8" x14ac:dyDescent="0.3">
      <c r="A123" s="53">
        <v>1500000</v>
      </c>
      <c r="B123" s="53">
        <v>16</v>
      </c>
      <c r="C123" s="53">
        <v>42164000</v>
      </c>
      <c r="D123" s="54">
        <v>1.7568333333333332</v>
      </c>
      <c r="F123" s="53">
        <v>1500000</v>
      </c>
      <c r="G123" s="55">
        <v>16</v>
      </c>
      <c r="H123" s="53">
        <v>42164000</v>
      </c>
    </row>
    <row r="124" spans="1:8" x14ac:dyDescent="0.3">
      <c r="A124" s="51" t="s">
        <v>56</v>
      </c>
      <c r="B124" s="51" t="s">
        <v>80</v>
      </c>
      <c r="C124" s="51" t="s">
        <v>81</v>
      </c>
      <c r="D124" s="52" t="s">
        <v>59</v>
      </c>
      <c r="E124">
        <v>225500</v>
      </c>
    </row>
    <row r="125" spans="1:8" x14ac:dyDescent="0.3">
      <c r="A125" s="53">
        <v>41000</v>
      </c>
      <c r="B125" s="53"/>
      <c r="C125" s="53"/>
      <c r="D125" s="54"/>
      <c r="F125" s="53">
        <v>41000</v>
      </c>
      <c r="G125" s="2">
        <v>40467.682566224335</v>
      </c>
      <c r="H125">
        <v>1973536135.1979833</v>
      </c>
    </row>
    <row r="126" spans="1:8" x14ac:dyDescent="0.3">
      <c r="A126" s="53">
        <v>61000</v>
      </c>
      <c r="B126" s="53"/>
      <c r="C126" s="53"/>
      <c r="D126" s="54"/>
      <c r="F126" s="53">
        <v>61000</v>
      </c>
      <c r="G126" s="2">
        <v>11051.900245627416</v>
      </c>
      <c r="H126">
        <v>764374495.11695933</v>
      </c>
    </row>
    <row r="127" spans="1:8" x14ac:dyDescent="0.3">
      <c r="A127" s="53">
        <v>82000</v>
      </c>
      <c r="B127" s="53"/>
      <c r="C127" s="53"/>
      <c r="D127" s="54"/>
      <c r="F127" s="53">
        <v>81000</v>
      </c>
      <c r="G127" s="2">
        <v>4952.8810994088162</v>
      </c>
      <c r="H127">
        <v>443512216.63582271</v>
      </c>
    </row>
    <row r="128" spans="1:8" x14ac:dyDescent="0.3">
      <c r="A128" s="53">
        <v>101000</v>
      </c>
      <c r="B128" s="53"/>
      <c r="C128" s="53"/>
      <c r="D128" s="54"/>
      <c r="F128" s="53">
        <v>101000</v>
      </c>
      <c r="G128" s="2">
        <v>4536.6615871864997</v>
      </c>
      <c r="H128">
        <v>544771182.7908709</v>
      </c>
    </row>
    <row r="129" spans="1:8" x14ac:dyDescent="0.3">
      <c r="A129" s="53">
        <v>225500</v>
      </c>
      <c r="B129" s="53">
        <v>342</v>
      </c>
      <c r="C129" s="53">
        <v>89040000</v>
      </c>
      <c r="D129" s="54">
        <v>1.79421592349349</v>
      </c>
      <c r="F129" s="53">
        <v>151000</v>
      </c>
      <c r="G129" s="2">
        <v>1762.0485601355167</v>
      </c>
      <c r="H129">
        <v>351072711.46245062</v>
      </c>
    </row>
    <row r="130" spans="1:8" x14ac:dyDescent="0.3">
      <c r="A130" s="53">
        <v>301000</v>
      </c>
      <c r="B130" s="53">
        <v>306</v>
      </c>
      <c r="C130" s="53">
        <v>114048000</v>
      </c>
      <c r="D130" s="54">
        <v>1.7108222405553448</v>
      </c>
      <c r="F130" s="53">
        <v>301000</v>
      </c>
      <c r="G130" s="55">
        <v>306</v>
      </c>
      <c r="H130" s="53">
        <v>114048000</v>
      </c>
    </row>
    <row r="131" spans="1:8" x14ac:dyDescent="0.3">
      <c r="A131" s="53">
        <v>501000</v>
      </c>
      <c r="B131" s="53">
        <v>97</v>
      </c>
      <c r="C131" s="53">
        <v>58192000</v>
      </c>
      <c r="D131" s="54">
        <v>1.6440593989326311</v>
      </c>
      <c r="F131" s="53">
        <v>501000</v>
      </c>
      <c r="G131" s="55">
        <v>97</v>
      </c>
      <c r="H131" s="53">
        <v>58192000</v>
      </c>
    </row>
    <row r="132" spans="1:8" x14ac:dyDescent="0.3">
      <c r="A132" s="53">
        <v>751000</v>
      </c>
      <c r="B132" s="53">
        <v>20</v>
      </c>
      <c r="C132" s="53">
        <v>15901000</v>
      </c>
      <c r="D132" s="54">
        <v>1.7536012589274905</v>
      </c>
      <c r="F132" s="53">
        <v>751000</v>
      </c>
      <c r="G132" s="55">
        <v>20</v>
      </c>
      <c r="H132" s="53">
        <v>15901000</v>
      </c>
    </row>
    <row r="133" spans="1:8" x14ac:dyDescent="0.3">
      <c r="A133" s="53">
        <v>1001000</v>
      </c>
      <c r="B133" s="53">
        <v>16</v>
      </c>
      <c r="C133" s="53">
        <v>18013000</v>
      </c>
      <c r="D133" s="54">
        <v>1.750124875124875</v>
      </c>
      <c r="F133" s="53">
        <v>1001000</v>
      </c>
      <c r="G133" s="55">
        <v>16</v>
      </c>
      <c r="H133" s="53">
        <v>18013000</v>
      </c>
    </row>
    <row r="134" spans="1:8" x14ac:dyDescent="0.3">
      <c r="A134" s="53">
        <v>1500000</v>
      </c>
      <c r="B134" s="53">
        <v>8</v>
      </c>
      <c r="C134" s="53">
        <v>24032000</v>
      </c>
      <c r="D134" s="54">
        <v>2.0026666666666668</v>
      </c>
      <c r="F134" s="53">
        <v>1500000</v>
      </c>
      <c r="G134" s="55">
        <v>8</v>
      </c>
      <c r="H134" s="53">
        <v>24032000</v>
      </c>
    </row>
    <row r="135" spans="1:8" x14ac:dyDescent="0.3">
      <c r="A135" s="51" t="s">
        <v>56</v>
      </c>
      <c r="B135" s="51" t="s">
        <v>82</v>
      </c>
      <c r="C135" s="51" t="s">
        <v>83</v>
      </c>
      <c r="D135" s="52" t="s">
        <v>59</v>
      </c>
      <c r="E135">
        <v>246000</v>
      </c>
    </row>
    <row r="136" spans="1:8" x14ac:dyDescent="0.3">
      <c r="A136" s="53">
        <v>41000</v>
      </c>
      <c r="B136" s="53"/>
      <c r="C136" s="53"/>
      <c r="D136" s="54"/>
      <c r="F136" s="53">
        <v>41000</v>
      </c>
      <c r="G136" s="2">
        <v>19043.615325282044</v>
      </c>
      <c r="H136">
        <v>928722887.15199232</v>
      </c>
    </row>
    <row r="137" spans="1:8" x14ac:dyDescent="0.3">
      <c r="A137" s="53">
        <v>61000</v>
      </c>
      <c r="B137" s="53"/>
      <c r="C137" s="53"/>
      <c r="D137" s="54"/>
      <c r="F137" s="53">
        <v>61000</v>
      </c>
      <c r="G137" s="2">
        <v>5200.8942332364322</v>
      </c>
      <c r="H137">
        <v>359705644.76092213</v>
      </c>
    </row>
    <row r="138" spans="1:8" x14ac:dyDescent="0.3">
      <c r="A138" s="53">
        <v>82000</v>
      </c>
      <c r="B138" s="53"/>
      <c r="C138" s="53"/>
      <c r="D138" s="54"/>
      <c r="F138" s="53">
        <v>81000</v>
      </c>
      <c r="G138" s="2">
        <v>2330.7675761923847</v>
      </c>
      <c r="H138">
        <v>208711631.35803428</v>
      </c>
    </row>
    <row r="139" spans="1:8" x14ac:dyDescent="0.3">
      <c r="A139" s="53">
        <v>101000</v>
      </c>
      <c r="B139" s="53"/>
      <c r="C139" s="53"/>
      <c r="D139" s="54"/>
      <c r="F139" s="53">
        <v>101000</v>
      </c>
      <c r="G139" s="2">
        <v>2134.8995704407062</v>
      </c>
      <c r="H139">
        <v>256362909.5486452</v>
      </c>
    </row>
    <row r="140" spans="1:8" x14ac:dyDescent="0.3">
      <c r="A140" s="53">
        <v>246000</v>
      </c>
      <c r="B140" s="53">
        <v>109</v>
      </c>
      <c r="C140" s="53">
        <v>29370000</v>
      </c>
      <c r="D140" s="54">
        <v>1.7128191186370463</v>
      </c>
      <c r="F140" s="53">
        <v>151000</v>
      </c>
      <c r="G140" s="2">
        <v>829.19932241671381</v>
      </c>
      <c r="H140">
        <v>165210687.74703559</v>
      </c>
    </row>
    <row r="141" spans="1:8" x14ac:dyDescent="0.3">
      <c r="A141" s="53">
        <v>301000</v>
      </c>
      <c r="B141" s="53">
        <v>144</v>
      </c>
      <c r="C141" s="53">
        <v>54594000</v>
      </c>
      <c r="D141" s="54">
        <v>1.6681792399319342</v>
      </c>
      <c r="F141" s="53">
        <v>301000</v>
      </c>
      <c r="G141" s="55">
        <v>144</v>
      </c>
      <c r="H141" s="53">
        <v>54594000</v>
      </c>
    </row>
    <row r="142" spans="1:8" x14ac:dyDescent="0.3">
      <c r="A142" s="53">
        <v>501000</v>
      </c>
      <c r="B142" s="53">
        <v>39</v>
      </c>
      <c r="C142" s="53">
        <v>22904000</v>
      </c>
      <c r="D142" s="54">
        <v>1.5817872451817676</v>
      </c>
      <c r="F142" s="53">
        <v>501000</v>
      </c>
      <c r="G142" s="55">
        <v>39</v>
      </c>
      <c r="H142" s="53">
        <v>22904000</v>
      </c>
    </row>
    <row r="143" spans="1:8" x14ac:dyDescent="0.3">
      <c r="A143" s="53">
        <v>751000</v>
      </c>
      <c r="B143" s="53">
        <v>11</v>
      </c>
      <c r="C143" s="53">
        <v>9157000</v>
      </c>
      <c r="D143" s="54">
        <v>1.5395835855223339</v>
      </c>
      <c r="F143" s="53">
        <v>751000</v>
      </c>
      <c r="G143" s="55">
        <v>11</v>
      </c>
      <c r="H143" s="53">
        <v>9157000</v>
      </c>
    </row>
    <row r="144" spans="1:8" x14ac:dyDescent="0.3">
      <c r="A144" s="53">
        <v>1001000</v>
      </c>
      <c r="B144" s="53">
        <v>7</v>
      </c>
      <c r="C144" s="53">
        <v>8289000</v>
      </c>
      <c r="D144" s="54">
        <v>1.4785214785214784</v>
      </c>
      <c r="F144" s="53">
        <v>1001000</v>
      </c>
      <c r="G144" s="55">
        <v>7</v>
      </c>
      <c r="H144" s="53">
        <v>8289000</v>
      </c>
    </row>
    <row r="145" spans="1:8" x14ac:dyDescent="0.3">
      <c r="A145" s="53">
        <v>1500000</v>
      </c>
      <c r="B145" s="53">
        <v>4</v>
      </c>
      <c r="C145" s="53">
        <v>7991000</v>
      </c>
      <c r="D145" s="54">
        <v>1.3318333333333334</v>
      </c>
      <c r="F145" s="53">
        <v>1500000</v>
      </c>
      <c r="G145" s="55">
        <v>4</v>
      </c>
      <c r="H145" s="53">
        <v>7991000</v>
      </c>
    </row>
    <row r="146" spans="1:8" x14ac:dyDescent="0.3">
      <c r="A146" s="53"/>
      <c r="B146" s="53"/>
      <c r="C146" s="53"/>
      <c r="D146" s="54"/>
    </row>
    <row r="147" spans="1:8" x14ac:dyDescent="0.3">
      <c r="A147" s="53"/>
      <c r="B147" s="53"/>
      <c r="C147" s="53"/>
      <c r="D147" s="54"/>
    </row>
    <row r="148" spans="1:8" x14ac:dyDescent="0.3">
      <c r="A148" s="53"/>
      <c r="B148" s="53"/>
      <c r="C148" s="53"/>
      <c r="D148" s="54"/>
    </row>
    <row r="149" spans="1:8" x14ac:dyDescent="0.3">
      <c r="A149" s="53"/>
      <c r="B149" s="53"/>
      <c r="C149" s="53"/>
      <c r="D149" s="54"/>
    </row>
    <row r="150" spans="1:8" x14ac:dyDescent="0.3">
      <c r="A150" s="53"/>
      <c r="B150" s="53"/>
      <c r="C150" s="53"/>
      <c r="D150" s="54"/>
    </row>
    <row r="151" spans="1:8" x14ac:dyDescent="0.3">
      <c r="A151" s="53"/>
      <c r="B151" s="53"/>
      <c r="C151" s="53"/>
      <c r="D151" s="54"/>
    </row>
    <row r="152" spans="1:8" x14ac:dyDescent="0.3">
      <c r="A152" s="53"/>
      <c r="B152" s="53"/>
      <c r="C152" s="53"/>
      <c r="D152" s="54"/>
    </row>
    <row r="153" spans="1:8" x14ac:dyDescent="0.3">
      <c r="A153" s="53"/>
      <c r="B153" s="53"/>
      <c r="C153" s="53"/>
      <c r="D153" s="54"/>
    </row>
    <row r="154" spans="1:8" x14ac:dyDescent="0.3">
      <c r="A154" s="53"/>
      <c r="B154" s="53"/>
      <c r="C154" s="53"/>
      <c r="D154" s="54"/>
    </row>
    <row r="155" spans="1:8" x14ac:dyDescent="0.3">
      <c r="A155" s="53"/>
      <c r="B155" s="53"/>
      <c r="C155" s="53"/>
      <c r="D155" s="54"/>
    </row>
    <row r="156" spans="1:8" x14ac:dyDescent="0.3">
      <c r="A156" s="53"/>
      <c r="B156" s="53"/>
      <c r="C156" s="53"/>
      <c r="D156" s="54"/>
    </row>
    <row r="157" spans="1:8" x14ac:dyDescent="0.3">
      <c r="A157" s="53"/>
      <c r="B157" s="53"/>
      <c r="C157" s="53"/>
      <c r="D157" s="54"/>
    </row>
    <row r="158" spans="1:8" x14ac:dyDescent="0.3">
      <c r="A158" s="53"/>
      <c r="B158" s="53"/>
      <c r="C158" s="53"/>
      <c r="D158" s="54"/>
    </row>
    <row r="159" spans="1:8" x14ac:dyDescent="0.3">
      <c r="A159" s="53"/>
      <c r="B159" s="53"/>
      <c r="C159" s="53"/>
      <c r="D159" s="54"/>
    </row>
    <row r="160" spans="1:8" x14ac:dyDescent="0.3">
      <c r="A160" s="53"/>
      <c r="B160" s="53"/>
      <c r="C160" s="53"/>
      <c r="D160" s="54"/>
    </row>
    <row r="161" spans="1:4" x14ac:dyDescent="0.3">
      <c r="A161" s="53"/>
      <c r="B161" s="53"/>
      <c r="C161" s="53"/>
      <c r="D161" s="54"/>
    </row>
    <row r="162" spans="1:4" x14ac:dyDescent="0.3">
      <c r="A162" s="53"/>
      <c r="B162" s="53"/>
      <c r="C162" s="53"/>
      <c r="D162" s="54"/>
    </row>
    <row r="163" spans="1:4" x14ac:dyDescent="0.3">
      <c r="A163" s="53"/>
      <c r="B163" s="53"/>
      <c r="C163" s="53"/>
      <c r="D163" s="54"/>
    </row>
    <row r="164" spans="1:4" x14ac:dyDescent="0.3">
      <c r="A164" s="53"/>
      <c r="B164" s="53"/>
      <c r="C164" s="53"/>
      <c r="D164" s="54"/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topLeftCell="C1" workbookViewId="0">
      <selection activeCell="O5" sqref="O5:O13"/>
    </sheetView>
  </sheetViews>
  <sheetFormatPr baseColWidth="10" defaultRowHeight="15.6" x14ac:dyDescent="0.3"/>
  <cols>
    <col min="1" max="1" width="14.5" bestFit="1" customWidth="1"/>
    <col min="2" max="2" width="28.5" bestFit="1" customWidth="1"/>
    <col min="3" max="3" width="14.19921875" bestFit="1" customWidth="1"/>
    <col min="4" max="4" width="3.796875" bestFit="1" customWidth="1"/>
    <col min="5" max="5" width="22" bestFit="1" customWidth="1"/>
    <col min="8" max="8" width="12.296875" bestFit="1" customWidth="1"/>
    <col min="12" max="12" width="15.19921875" customWidth="1"/>
  </cols>
  <sheetData>
    <row r="1" spans="1:15" x14ac:dyDescent="0.3">
      <c r="A1" s="78" t="s">
        <v>209</v>
      </c>
      <c r="B1" s="78"/>
      <c r="C1" s="78"/>
      <c r="D1" s="78"/>
      <c r="E1" t="s">
        <v>205</v>
      </c>
      <c r="G1" s="2"/>
    </row>
    <row r="2" spans="1:15" x14ac:dyDescent="0.3">
      <c r="A2" s="78" t="s">
        <v>206</v>
      </c>
      <c r="B2" s="78"/>
      <c r="C2" s="78"/>
      <c r="D2" s="78"/>
      <c r="F2" s="78" t="s">
        <v>207</v>
      </c>
      <c r="G2" s="78"/>
      <c r="H2" s="78"/>
      <c r="J2" t="s">
        <v>2</v>
      </c>
    </row>
    <row r="3" spans="1:15" x14ac:dyDescent="0.3">
      <c r="A3" s="57" t="s">
        <v>56</v>
      </c>
      <c r="B3" s="57" t="s">
        <v>57</v>
      </c>
      <c r="C3" s="57" t="s">
        <v>58</v>
      </c>
      <c r="D3" s="58" t="s">
        <v>59</v>
      </c>
      <c r="E3">
        <v>41000</v>
      </c>
      <c r="M3" t="s">
        <v>7</v>
      </c>
      <c r="N3" t="s">
        <v>8</v>
      </c>
      <c r="O3" t="s">
        <v>14</v>
      </c>
    </row>
    <row r="4" spans="1:15" x14ac:dyDescent="0.3">
      <c r="A4" s="53">
        <v>41000</v>
      </c>
      <c r="B4" s="53">
        <v>673978</v>
      </c>
      <c r="C4" s="53">
        <v>34318423000</v>
      </c>
      <c r="D4" s="54">
        <v>1.83</v>
      </c>
      <c r="F4" s="53">
        <v>41000</v>
      </c>
      <c r="G4" s="53">
        <v>673978</v>
      </c>
      <c r="H4" s="53">
        <v>34318423000</v>
      </c>
      <c r="J4" s="53">
        <v>41000</v>
      </c>
      <c r="K4" s="56">
        <v>2324205.2767992518</v>
      </c>
      <c r="L4" s="56">
        <v>118346681684.01463</v>
      </c>
      <c r="M4">
        <v>0.53394434069762498</v>
      </c>
      <c r="N4">
        <v>2.5650889510848436</v>
      </c>
      <c r="O4">
        <f>(G4+G26+G48)/K4</f>
        <v>0.33799291322034031</v>
      </c>
    </row>
    <row r="5" spans="1:15" x14ac:dyDescent="0.3">
      <c r="A5" s="53">
        <v>61000</v>
      </c>
      <c r="B5" s="53">
        <v>493426</v>
      </c>
      <c r="C5" s="53">
        <v>34205772000</v>
      </c>
      <c r="D5" s="54">
        <v>1.53</v>
      </c>
      <c r="F5" s="53">
        <v>61000</v>
      </c>
      <c r="G5" s="53">
        <v>493426</v>
      </c>
      <c r="H5" s="53">
        <v>34205772000</v>
      </c>
      <c r="J5" s="53">
        <v>61000</v>
      </c>
      <c r="K5" s="56">
        <v>1701573.8093972614</v>
      </c>
      <c r="L5" s="56">
        <v>119648651507.90192</v>
      </c>
      <c r="M5">
        <v>0.67449989828681289</v>
      </c>
      <c r="N5">
        <v>2.1081036982213504</v>
      </c>
      <c r="O5">
        <f t="shared" ref="O5:O13" si="0">(G5+G27+G49)/K5</f>
        <v>0.33799291322034036</v>
      </c>
    </row>
    <row r="6" spans="1:15" x14ac:dyDescent="0.3">
      <c r="A6" s="53">
        <v>81000</v>
      </c>
      <c r="B6" s="53">
        <v>199267</v>
      </c>
      <c r="C6" s="53">
        <v>17738834000</v>
      </c>
      <c r="D6" s="54">
        <v>1.54</v>
      </c>
      <c r="F6" s="53">
        <v>81000</v>
      </c>
      <c r="G6" s="53">
        <v>199267</v>
      </c>
      <c r="H6" s="53">
        <v>17738834000</v>
      </c>
      <c r="J6" s="53">
        <v>81000</v>
      </c>
      <c r="K6" s="56">
        <v>1179173.0842383543</v>
      </c>
      <c r="L6" s="56">
        <v>105766550814.65671</v>
      </c>
      <c r="M6">
        <v>0.77740202055045138</v>
      </c>
      <c r="N6">
        <v>1.9201838580736013</v>
      </c>
      <c r="O6">
        <f t="shared" si="0"/>
        <v>0.20764988716893287</v>
      </c>
    </row>
    <row r="7" spans="1:15" x14ac:dyDescent="0.3">
      <c r="A7" s="53">
        <v>101000</v>
      </c>
      <c r="B7" s="53">
        <v>121239</v>
      </c>
      <c r="C7" s="53">
        <v>14451578000</v>
      </c>
      <c r="D7" s="54">
        <v>1.63</v>
      </c>
      <c r="F7" s="53">
        <v>101000</v>
      </c>
      <c r="G7" s="53">
        <v>121239</v>
      </c>
      <c r="H7" s="53">
        <v>14451578000</v>
      </c>
      <c r="J7" s="53">
        <v>101000</v>
      </c>
      <c r="K7" s="56">
        <v>1393055.2858612686</v>
      </c>
      <c r="L7" s="56">
        <v>169157350508.00806</v>
      </c>
      <c r="M7">
        <v>0.84871212900073845</v>
      </c>
      <c r="N7">
        <v>1.847213127247413</v>
      </c>
      <c r="O7">
        <f t="shared" si="0"/>
        <v>0.11713605458172063</v>
      </c>
    </row>
    <row r="8" spans="1:15" x14ac:dyDescent="0.3">
      <c r="A8" s="53">
        <v>151000</v>
      </c>
      <c r="B8" s="53">
        <v>47643</v>
      </c>
      <c r="C8" s="53">
        <v>9422164000</v>
      </c>
      <c r="D8" s="54">
        <v>1.71</v>
      </c>
      <c r="F8" s="53">
        <v>151000</v>
      </c>
      <c r="G8" s="53">
        <v>47643</v>
      </c>
      <c r="H8" s="53">
        <v>9422164000</v>
      </c>
      <c r="J8" s="53">
        <v>151000</v>
      </c>
      <c r="K8" s="56">
        <v>887729.88966641773</v>
      </c>
      <c r="L8" s="56">
        <v>176144266013.65582</v>
      </c>
      <c r="M8">
        <v>0.93295669397584335</v>
      </c>
      <c r="N8">
        <v>1.777621342440606</v>
      </c>
      <c r="O8">
        <f t="shared" si="0"/>
        <v>8.1185730973958897E-2</v>
      </c>
    </row>
    <row r="9" spans="1:15" x14ac:dyDescent="0.3">
      <c r="A9" s="53">
        <v>301000</v>
      </c>
      <c r="B9" s="53">
        <v>8127</v>
      </c>
      <c r="C9" s="53">
        <v>2956616000</v>
      </c>
      <c r="D9" s="54">
        <v>1.7</v>
      </c>
      <c r="F9" s="53">
        <v>301000</v>
      </c>
      <c r="G9" s="53">
        <v>8127</v>
      </c>
      <c r="H9" s="53">
        <v>2956616000</v>
      </c>
      <c r="J9" s="53">
        <v>301000</v>
      </c>
      <c r="K9" s="56">
        <v>150071</v>
      </c>
      <c r="L9" s="56">
        <v>55753270000</v>
      </c>
      <c r="M9">
        <v>0.98664187009870463</v>
      </c>
      <c r="N9">
        <v>1.8263921367946305</v>
      </c>
      <c r="O9">
        <f t="shared" si="0"/>
        <v>8.6559028726402837E-2</v>
      </c>
    </row>
    <row r="10" spans="1:15" x14ac:dyDescent="0.3">
      <c r="A10" s="53">
        <v>501000</v>
      </c>
      <c r="B10" s="53">
        <v>2017</v>
      </c>
      <c r="C10" s="53">
        <v>1210419000</v>
      </c>
      <c r="D10" s="54">
        <v>1.74</v>
      </c>
      <c r="F10" s="53">
        <v>501000</v>
      </c>
      <c r="G10" s="53">
        <v>2017</v>
      </c>
      <c r="H10" s="53">
        <v>1210419000</v>
      </c>
      <c r="J10" s="53">
        <v>501000</v>
      </c>
      <c r="K10" s="56">
        <v>41009</v>
      </c>
      <c r="L10" s="56">
        <v>24563352000</v>
      </c>
      <c r="M10">
        <v>0.99571736497582475</v>
      </c>
      <c r="N10">
        <v>1.851179660532924</v>
      </c>
      <c r="O10">
        <f t="shared" si="0"/>
        <v>9.0541100733985219E-2</v>
      </c>
    </row>
    <row r="11" spans="1:15" x14ac:dyDescent="0.3">
      <c r="A11" s="53">
        <v>751000</v>
      </c>
      <c r="B11" s="53">
        <v>604</v>
      </c>
      <c r="C11" s="53">
        <v>516277000</v>
      </c>
      <c r="D11" s="54">
        <v>1.73</v>
      </c>
      <c r="F11" s="53">
        <v>751000</v>
      </c>
      <c r="G11" s="53">
        <v>604</v>
      </c>
      <c r="H11" s="53">
        <v>516277000</v>
      </c>
      <c r="J11" s="53">
        <v>751000</v>
      </c>
      <c r="K11" s="56">
        <v>13775</v>
      </c>
      <c r="L11" s="56">
        <v>11801213000</v>
      </c>
      <c r="M11">
        <v>0.99819737090245819</v>
      </c>
      <c r="N11">
        <v>1.8366653551214234</v>
      </c>
      <c r="O11">
        <f t="shared" si="0"/>
        <v>8.682395644283121E-2</v>
      </c>
    </row>
    <row r="12" spans="1:15" x14ac:dyDescent="0.3">
      <c r="A12" s="53">
        <v>1001000</v>
      </c>
      <c r="B12" s="53">
        <v>402</v>
      </c>
      <c r="C12" s="53">
        <v>484256000</v>
      </c>
      <c r="D12" s="54">
        <v>1.7</v>
      </c>
      <c r="F12" s="53">
        <v>1001000</v>
      </c>
      <c r="G12" s="53">
        <v>402</v>
      </c>
      <c r="H12" s="53">
        <v>484256000</v>
      </c>
      <c r="J12" s="53">
        <v>1001000</v>
      </c>
      <c r="K12" s="56">
        <v>9414</v>
      </c>
      <c r="L12" s="56">
        <v>11374190000</v>
      </c>
      <c r="M12">
        <v>0.99903040954371691</v>
      </c>
      <c r="N12">
        <v>1.8265290500680009</v>
      </c>
      <c r="O12">
        <f t="shared" si="0"/>
        <v>9.0609730189080098E-2</v>
      </c>
    </row>
    <row r="13" spans="1:15" x14ac:dyDescent="0.3">
      <c r="A13" s="53">
        <v>1500000</v>
      </c>
      <c r="B13" s="53">
        <v>272</v>
      </c>
      <c r="C13" s="53">
        <v>663782000</v>
      </c>
      <c r="D13" s="54">
        <v>1.63</v>
      </c>
      <c r="F13" s="53">
        <v>1500000</v>
      </c>
      <c r="G13" s="53">
        <v>272</v>
      </c>
      <c r="H13" s="53">
        <v>663782000</v>
      </c>
      <c r="J13" s="53">
        <v>1500000</v>
      </c>
      <c r="K13" s="56">
        <v>6619</v>
      </c>
      <c r="L13" s="56">
        <v>17939835000</v>
      </c>
      <c r="M13">
        <v>0.99959971812947435</v>
      </c>
      <c r="N13">
        <v>1.8069028554162261</v>
      </c>
      <c r="O13">
        <f t="shared" si="0"/>
        <v>9.1252455053633483E-2</v>
      </c>
    </row>
    <row r="14" spans="1:15" x14ac:dyDescent="0.3">
      <c r="A14" s="57" t="s">
        <v>56</v>
      </c>
      <c r="B14" s="57" t="s">
        <v>60</v>
      </c>
      <c r="C14" s="57" t="s">
        <v>84</v>
      </c>
      <c r="D14" s="58" t="s">
        <v>59</v>
      </c>
      <c r="E14">
        <v>61500</v>
      </c>
    </row>
    <row r="15" spans="1:15" x14ac:dyDescent="0.3">
      <c r="A15" s="53">
        <v>41000</v>
      </c>
      <c r="B15" s="53"/>
      <c r="C15" s="53"/>
      <c r="D15" s="54"/>
      <c r="F15" s="53">
        <v>41000</v>
      </c>
      <c r="G15" s="2">
        <v>213322.30845619747</v>
      </c>
      <c r="H15" s="2">
        <v>10862202055.462139</v>
      </c>
      <c r="K15" s="5">
        <v>16535847.579875706</v>
      </c>
    </row>
    <row r="16" spans="1:15" x14ac:dyDescent="0.3">
      <c r="A16" s="53">
        <v>61500</v>
      </c>
      <c r="B16" s="53">
        <v>152271</v>
      </c>
      <c r="C16" s="53">
        <v>10817949000</v>
      </c>
      <c r="D16" s="54">
        <v>2.1800000000000002</v>
      </c>
      <c r="F16" s="53">
        <v>61000</v>
      </c>
      <c r="G16" s="2">
        <v>156175.38461538462</v>
      </c>
      <c r="H16" s="2">
        <v>11056116461.538462</v>
      </c>
    </row>
    <row r="17" spans="1:8" x14ac:dyDescent="0.3">
      <c r="A17" s="53">
        <v>81000</v>
      </c>
      <c r="B17" s="53">
        <v>129537</v>
      </c>
      <c r="C17" s="53">
        <v>11673673000</v>
      </c>
      <c r="D17" s="54">
        <v>1.91</v>
      </c>
      <c r="F17" s="53">
        <v>81000</v>
      </c>
      <c r="G17" s="55">
        <v>129537</v>
      </c>
      <c r="H17" s="55">
        <v>11673673000</v>
      </c>
    </row>
    <row r="18" spans="1:8" x14ac:dyDescent="0.3">
      <c r="A18" s="53">
        <v>101000</v>
      </c>
      <c r="B18" s="53">
        <v>187477</v>
      </c>
      <c r="C18" s="53">
        <v>23010268000</v>
      </c>
      <c r="D18" s="54">
        <v>1.78</v>
      </c>
      <c r="F18" s="53">
        <v>101000</v>
      </c>
      <c r="G18" s="55">
        <v>187477</v>
      </c>
      <c r="H18" s="55">
        <v>23010268000</v>
      </c>
    </row>
    <row r="19" spans="1:8" x14ac:dyDescent="0.3">
      <c r="A19" s="53">
        <v>151000</v>
      </c>
      <c r="B19" s="53">
        <v>125327</v>
      </c>
      <c r="C19" s="53">
        <v>24583685000</v>
      </c>
      <c r="D19" s="54">
        <v>1.66</v>
      </c>
      <c r="F19" s="53">
        <v>151000</v>
      </c>
      <c r="G19" s="55">
        <v>125327</v>
      </c>
      <c r="H19" s="55">
        <v>24583685000</v>
      </c>
    </row>
    <row r="20" spans="1:8" x14ac:dyDescent="0.3">
      <c r="A20" s="53">
        <v>301000</v>
      </c>
      <c r="B20" s="53">
        <v>17943</v>
      </c>
      <c r="C20" s="53">
        <v>6670258000</v>
      </c>
      <c r="D20" s="54">
        <v>1.74</v>
      </c>
      <c r="F20" s="53">
        <v>301000</v>
      </c>
      <c r="G20" s="55">
        <v>17943</v>
      </c>
      <c r="H20" s="55">
        <v>6670258000</v>
      </c>
    </row>
    <row r="21" spans="1:8" x14ac:dyDescent="0.3">
      <c r="A21" s="53">
        <v>501000</v>
      </c>
      <c r="B21" s="53">
        <v>4184</v>
      </c>
      <c r="C21" s="53">
        <v>2478830000</v>
      </c>
      <c r="D21" s="54">
        <v>1.83</v>
      </c>
      <c r="F21" s="53">
        <v>501000</v>
      </c>
      <c r="G21" s="55">
        <v>4184</v>
      </c>
      <c r="H21" s="55">
        <v>2478830000</v>
      </c>
    </row>
    <row r="22" spans="1:8" x14ac:dyDescent="0.3">
      <c r="A22" s="53">
        <v>751000</v>
      </c>
      <c r="B22" s="53">
        <v>1366</v>
      </c>
      <c r="C22" s="53">
        <v>1178623000</v>
      </c>
      <c r="D22" s="54">
        <v>1.86</v>
      </c>
      <c r="F22" s="53">
        <v>751000</v>
      </c>
      <c r="G22" s="55">
        <v>1366</v>
      </c>
      <c r="H22" s="55">
        <v>1178623000</v>
      </c>
    </row>
    <row r="23" spans="1:8" x14ac:dyDescent="0.3">
      <c r="A23" s="53">
        <v>1001000</v>
      </c>
      <c r="B23" s="53">
        <v>834</v>
      </c>
      <c r="C23" s="53">
        <v>994578000</v>
      </c>
      <c r="D23" s="54">
        <v>1.9</v>
      </c>
      <c r="F23" s="53">
        <v>1001000</v>
      </c>
      <c r="G23" s="55">
        <v>834</v>
      </c>
      <c r="H23" s="55">
        <v>994578000</v>
      </c>
    </row>
    <row r="24" spans="1:8" x14ac:dyDescent="0.3">
      <c r="A24" s="53">
        <v>1500000</v>
      </c>
      <c r="B24" s="53">
        <v>611</v>
      </c>
      <c r="C24" s="53">
        <v>1759392000</v>
      </c>
      <c r="D24" s="54">
        <v>1.92</v>
      </c>
      <c r="F24" s="53">
        <v>1500000</v>
      </c>
      <c r="G24" s="55">
        <v>611</v>
      </c>
      <c r="H24" s="55">
        <v>1759392000</v>
      </c>
    </row>
    <row r="25" spans="1:8" x14ac:dyDescent="0.3">
      <c r="A25" s="57" t="s">
        <v>56</v>
      </c>
      <c r="B25" s="57" t="s">
        <v>85</v>
      </c>
      <c r="C25" s="57" t="s">
        <v>86</v>
      </c>
      <c r="D25" s="58" t="s">
        <v>59</v>
      </c>
      <c r="E25">
        <v>61500</v>
      </c>
      <c r="G25" s="2"/>
      <c r="H25" s="2"/>
    </row>
    <row r="26" spans="1:8" x14ac:dyDescent="0.3">
      <c r="A26" s="53">
        <v>41000</v>
      </c>
      <c r="B26" s="53"/>
      <c r="C26" s="53"/>
      <c r="D26" s="54"/>
      <c r="F26" s="53">
        <v>41000</v>
      </c>
      <c r="G26" s="2">
        <v>91507.902792063906</v>
      </c>
      <c r="H26" s="2">
        <v>4659509532.7457724</v>
      </c>
    </row>
    <row r="27" spans="1:8" x14ac:dyDescent="0.3">
      <c r="A27" s="53">
        <v>61500</v>
      </c>
      <c r="B27" s="53">
        <v>65319</v>
      </c>
      <c r="C27" s="53">
        <v>4570436000</v>
      </c>
      <c r="D27" s="54">
        <v>2.04</v>
      </c>
      <c r="F27" s="53">
        <v>61000</v>
      </c>
      <c r="G27" s="2">
        <v>66993.846153846156</v>
      </c>
      <c r="H27" s="2">
        <v>4672601615.3846159</v>
      </c>
    </row>
    <row r="28" spans="1:8" x14ac:dyDescent="0.3">
      <c r="A28" s="53">
        <v>81000</v>
      </c>
      <c r="B28" s="53">
        <v>37385</v>
      </c>
      <c r="C28" s="53">
        <v>3360927000</v>
      </c>
      <c r="D28" s="54">
        <v>1.99</v>
      </c>
      <c r="F28" s="53">
        <v>81000</v>
      </c>
      <c r="G28" s="55">
        <v>37385</v>
      </c>
      <c r="H28" s="55">
        <v>3360927000</v>
      </c>
    </row>
    <row r="29" spans="1:8" x14ac:dyDescent="0.3">
      <c r="A29" s="53">
        <v>101000</v>
      </c>
      <c r="B29" s="53">
        <v>34139</v>
      </c>
      <c r="C29" s="53">
        <v>4142524000</v>
      </c>
      <c r="D29" s="54">
        <v>2.02</v>
      </c>
      <c r="F29" s="53">
        <v>101000</v>
      </c>
      <c r="G29" s="55">
        <v>34139</v>
      </c>
      <c r="H29" s="55">
        <v>4142524000</v>
      </c>
    </row>
    <row r="30" spans="1:8" x14ac:dyDescent="0.3">
      <c r="A30" s="53">
        <v>151000</v>
      </c>
      <c r="B30" s="53">
        <v>20902</v>
      </c>
      <c r="C30" s="53">
        <v>4205199000</v>
      </c>
      <c r="D30" s="54">
        <v>2.0299999999999998</v>
      </c>
      <c r="F30" s="53">
        <v>151000</v>
      </c>
      <c r="G30" s="55">
        <v>20902</v>
      </c>
      <c r="H30" s="55">
        <v>4205199000</v>
      </c>
    </row>
    <row r="31" spans="1:8" x14ac:dyDescent="0.3">
      <c r="A31" s="53">
        <v>301000</v>
      </c>
      <c r="B31" s="53">
        <v>4272</v>
      </c>
      <c r="C31" s="53">
        <v>1616378000</v>
      </c>
      <c r="D31" s="54">
        <v>2.0499999999999998</v>
      </c>
      <c r="F31" s="53">
        <v>301000</v>
      </c>
      <c r="G31" s="55">
        <v>4272</v>
      </c>
      <c r="H31" s="55">
        <v>1616378000</v>
      </c>
    </row>
    <row r="32" spans="1:8" x14ac:dyDescent="0.3">
      <c r="A32" s="53">
        <v>501000</v>
      </c>
      <c r="B32" s="53">
        <v>1524</v>
      </c>
      <c r="C32" s="53">
        <v>912962000</v>
      </c>
      <c r="D32" s="54">
        <v>1.97</v>
      </c>
      <c r="F32" s="53">
        <v>501000</v>
      </c>
      <c r="G32" s="55">
        <v>1524</v>
      </c>
      <c r="H32" s="55">
        <v>912962000</v>
      </c>
    </row>
    <row r="33" spans="1:8" x14ac:dyDescent="0.3">
      <c r="A33" s="53">
        <v>751000</v>
      </c>
      <c r="B33" s="53">
        <v>529</v>
      </c>
      <c r="C33" s="53">
        <v>457738000</v>
      </c>
      <c r="D33" s="54">
        <v>1.94</v>
      </c>
      <c r="F33" s="53">
        <v>751000</v>
      </c>
      <c r="G33" s="55">
        <v>529</v>
      </c>
      <c r="H33" s="55">
        <v>457738000</v>
      </c>
    </row>
    <row r="34" spans="1:8" x14ac:dyDescent="0.3">
      <c r="A34" s="53">
        <v>1001000</v>
      </c>
      <c r="B34" s="53">
        <v>417</v>
      </c>
      <c r="C34" s="53">
        <v>499880000</v>
      </c>
      <c r="D34" s="54">
        <v>1.89</v>
      </c>
      <c r="F34" s="53">
        <v>1001000</v>
      </c>
      <c r="G34" s="55">
        <v>417</v>
      </c>
      <c r="H34" s="55">
        <v>499880000</v>
      </c>
    </row>
    <row r="35" spans="1:8" x14ac:dyDescent="0.3">
      <c r="A35" s="53">
        <v>1500000</v>
      </c>
      <c r="B35" s="53">
        <v>302</v>
      </c>
      <c r="C35" s="53">
        <v>861205000</v>
      </c>
      <c r="D35" s="54">
        <v>1.9</v>
      </c>
      <c r="F35" s="53">
        <v>1500000</v>
      </c>
      <c r="G35" s="55">
        <v>302</v>
      </c>
      <c r="H35" s="55">
        <v>861205000</v>
      </c>
    </row>
    <row r="36" spans="1:8" x14ac:dyDescent="0.3">
      <c r="A36" s="57" t="s">
        <v>56</v>
      </c>
      <c r="B36" s="57" t="s">
        <v>64</v>
      </c>
      <c r="C36" s="57" t="s">
        <v>65</v>
      </c>
      <c r="D36" s="58" t="s">
        <v>59</v>
      </c>
      <c r="E36">
        <v>82000</v>
      </c>
      <c r="G36" s="2"/>
      <c r="H36" s="2"/>
    </row>
    <row r="37" spans="1:8" x14ac:dyDescent="0.3">
      <c r="A37" s="53">
        <v>41000</v>
      </c>
      <c r="B37" s="53"/>
      <c r="C37" s="53"/>
      <c r="D37" s="54"/>
      <c r="F37" s="53">
        <v>41000</v>
      </c>
      <c r="G37" s="2">
        <v>363406.74657683453</v>
      </c>
      <c r="H37" s="2">
        <v>18504382116.445358</v>
      </c>
    </row>
    <row r="38" spans="1:8" x14ac:dyDescent="0.3">
      <c r="A38" s="53">
        <v>61000</v>
      </c>
      <c r="B38" s="53"/>
      <c r="C38" s="53"/>
      <c r="D38" s="54"/>
      <c r="F38" s="53">
        <v>61000</v>
      </c>
      <c r="G38" s="2">
        <v>266053.69513013947</v>
      </c>
      <c r="H38" s="2">
        <v>18834726391.906097</v>
      </c>
    </row>
    <row r="39" spans="1:8" x14ac:dyDescent="0.3">
      <c r="A39" s="53">
        <v>82000</v>
      </c>
      <c r="B39" s="53">
        <v>209640</v>
      </c>
      <c r="C39" s="53">
        <v>18919912000</v>
      </c>
      <c r="D39" s="54">
        <v>1.93</v>
      </c>
      <c r="F39" s="53">
        <v>81000</v>
      </c>
      <c r="G39" s="2">
        <v>220673.68421052632</v>
      </c>
      <c r="H39" s="2">
        <v>19813640421.052631</v>
      </c>
    </row>
    <row r="40" spans="1:8" x14ac:dyDescent="0.3">
      <c r="A40" s="53">
        <v>101000</v>
      </c>
      <c r="B40" s="53">
        <v>285830</v>
      </c>
      <c r="C40" s="53">
        <v>33953910000</v>
      </c>
      <c r="D40" s="54">
        <v>1.85</v>
      </c>
      <c r="F40" s="53">
        <v>101000</v>
      </c>
      <c r="G40" s="55">
        <v>285830</v>
      </c>
      <c r="H40" s="55">
        <v>33953910000</v>
      </c>
    </row>
    <row r="41" spans="1:8" x14ac:dyDescent="0.3">
      <c r="A41" s="53">
        <v>151000</v>
      </c>
      <c r="B41" s="53">
        <v>171980</v>
      </c>
      <c r="C41" s="53">
        <v>33946739000</v>
      </c>
      <c r="D41" s="54">
        <v>1.83</v>
      </c>
      <c r="F41" s="53">
        <v>151000</v>
      </c>
      <c r="G41" s="55">
        <v>171980</v>
      </c>
      <c r="H41" s="55">
        <v>33946739000</v>
      </c>
    </row>
    <row r="42" spans="1:8" x14ac:dyDescent="0.3">
      <c r="A42" s="53">
        <v>301000</v>
      </c>
      <c r="B42" s="53">
        <v>29101</v>
      </c>
      <c r="C42" s="53">
        <v>10832642000</v>
      </c>
      <c r="D42" s="54">
        <v>1.92</v>
      </c>
      <c r="F42" s="53">
        <v>301000</v>
      </c>
      <c r="G42" s="55">
        <v>29101</v>
      </c>
      <c r="H42" s="55">
        <v>10832642000</v>
      </c>
    </row>
    <row r="43" spans="1:8" x14ac:dyDescent="0.3">
      <c r="A43" s="53">
        <v>501000</v>
      </c>
      <c r="B43" s="53">
        <v>8521</v>
      </c>
      <c r="C43" s="53">
        <v>5125499000</v>
      </c>
      <c r="D43" s="54">
        <v>1.93</v>
      </c>
      <c r="F43" s="53">
        <v>501000</v>
      </c>
      <c r="G43" s="55">
        <v>8521</v>
      </c>
      <c r="H43" s="55">
        <v>5125499000</v>
      </c>
    </row>
    <row r="44" spans="1:8" x14ac:dyDescent="0.3">
      <c r="A44" s="53">
        <v>751000</v>
      </c>
      <c r="B44" s="53">
        <v>3095</v>
      </c>
      <c r="C44" s="53">
        <v>2649035000</v>
      </c>
      <c r="D44" s="54">
        <v>1.88</v>
      </c>
      <c r="F44" s="53">
        <v>751000</v>
      </c>
      <c r="G44" s="55">
        <v>3095</v>
      </c>
      <c r="H44" s="55">
        <v>2649035000</v>
      </c>
    </row>
    <row r="45" spans="1:8" x14ac:dyDescent="0.3">
      <c r="A45" s="53">
        <v>1001000</v>
      </c>
      <c r="B45" s="53">
        <v>2188</v>
      </c>
      <c r="C45" s="53">
        <v>2671837000</v>
      </c>
      <c r="D45" s="54">
        <v>1.86</v>
      </c>
      <c r="F45" s="53">
        <v>1001000</v>
      </c>
      <c r="G45" s="55">
        <v>2188</v>
      </c>
      <c r="H45" s="55">
        <v>2671837000</v>
      </c>
    </row>
    <row r="46" spans="1:8" x14ac:dyDescent="0.3">
      <c r="A46" s="53">
        <v>1500000</v>
      </c>
      <c r="B46" s="53">
        <v>1637</v>
      </c>
      <c r="C46" s="53">
        <v>4464265000</v>
      </c>
      <c r="D46" s="54">
        <v>1.82</v>
      </c>
      <c r="F46" s="53">
        <v>1500000</v>
      </c>
      <c r="G46" s="55">
        <v>1637</v>
      </c>
      <c r="H46" s="55">
        <v>4464265000</v>
      </c>
    </row>
    <row r="47" spans="1:8" x14ac:dyDescent="0.3">
      <c r="A47" s="57" t="s">
        <v>56</v>
      </c>
      <c r="B47" s="57" t="s">
        <v>66</v>
      </c>
      <c r="C47" s="57" t="s">
        <v>67</v>
      </c>
      <c r="D47" s="58" t="s">
        <v>59</v>
      </c>
      <c r="E47">
        <v>82000</v>
      </c>
      <c r="G47" s="2"/>
      <c r="H47" s="2"/>
    </row>
    <row r="48" spans="1:8" x14ac:dyDescent="0.3">
      <c r="A48" s="53">
        <v>41000</v>
      </c>
      <c r="B48" s="53"/>
      <c r="C48" s="53"/>
      <c r="D48" s="54"/>
      <c r="F48" s="53">
        <v>41000</v>
      </c>
      <c r="G48" s="2">
        <v>20079.009635402716</v>
      </c>
      <c r="H48" s="2">
        <v>1022407179.594625</v>
      </c>
    </row>
    <row r="49" spans="1:8" x14ac:dyDescent="0.3">
      <c r="A49" s="53">
        <v>61000</v>
      </c>
      <c r="B49" s="53"/>
      <c r="C49" s="53"/>
      <c r="D49" s="54"/>
      <c r="F49" s="53">
        <v>61000</v>
      </c>
      <c r="G49" s="2">
        <v>14700.042743766444</v>
      </c>
      <c r="H49" s="2">
        <v>1025279893.8130916</v>
      </c>
    </row>
    <row r="50" spans="1:8" x14ac:dyDescent="0.3">
      <c r="A50" s="53">
        <v>82000</v>
      </c>
      <c r="B50" s="53">
        <v>7793</v>
      </c>
      <c r="C50" s="53">
        <v>700984000</v>
      </c>
      <c r="D50" s="54">
        <v>1.72</v>
      </c>
      <c r="F50" s="53">
        <v>81000</v>
      </c>
      <c r="G50" s="2">
        <v>8203.1578947368416</v>
      </c>
      <c r="H50" s="2">
        <v>734206789.47368419</v>
      </c>
    </row>
    <row r="51" spans="1:8" x14ac:dyDescent="0.3">
      <c r="A51" s="53">
        <v>101000</v>
      </c>
      <c r="B51" s="53">
        <v>7799</v>
      </c>
      <c r="C51" s="53">
        <v>940598000</v>
      </c>
      <c r="D51" s="54">
        <v>1.72</v>
      </c>
      <c r="F51" s="53">
        <v>101000</v>
      </c>
      <c r="G51" s="55">
        <v>7799</v>
      </c>
      <c r="H51" s="55">
        <v>940598000</v>
      </c>
    </row>
    <row r="52" spans="1:8" x14ac:dyDescent="0.3">
      <c r="A52" s="53">
        <v>151000</v>
      </c>
      <c r="B52" s="53">
        <v>3526</v>
      </c>
      <c r="C52" s="53">
        <v>697350000</v>
      </c>
      <c r="D52" s="54">
        <v>1.78</v>
      </c>
      <c r="F52" s="53">
        <v>151000</v>
      </c>
      <c r="G52" s="55">
        <v>3526</v>
      </c>
      <c r="H52" s="55">
        <v>697350000</v>
      </c>
    </row>
    <row r="53" spans="1:8" x14ac:dyDescent="0.3">
      <c r="A53" s="53">
        <v>301000</v>
      </c>
      <c r="B53" s="53">
        <v>591</v>
      </c>
      <c r="C53" s="53">
        <v>220414000</v>
      </c>
      <c r="D53" s="54">
        <v>1.83</v>
      </c>
      <c r="F53" s="53">
        <v>301000</v>
      </c>
      <c r="G53" s="55">
        <v>591</v>
      </c>
      <c r="H53" s="55">
        <v>220414000</v>
      </c>
    </row>
    <row r="54" spans="1:8" x14ac:dyDescent="0.3">
      <c r="A54" s="53">
        <v>501000</v>
      </c>
      <c r="B54" s="53">
        <v>172</v>
      </c>
      <c r="C54" s="53">
        <v>103054000</v>
      </c>
      <c r="D54" s="54">
        <v>1.8</v>
      </c>
      <c r="F54" s="53">
        <v>501000</v>
      </c>
      <c r="G54" s="55">
        <v>172</v>
      </c>
      <c r="H54" s="55">
        <v>103054000</v>
      </c>
    </row>
    <row r="55" spans="1:8" x14ac:dyDescent="0.3">
      <c r="A55" s="53">
        <v>751000</v>
      </c>
      <c r="B55" s="53">
        <v>63</v>
      </c>
      <c r="C55" s="53">
        <v>52644000</v>
      </c>
      <c r="D55" s="54">
        <v>1.75</v>
      </c>
      <c r="F55" s="53">
        <v>751000</v>
      </c>
      <c r="G55" s="55">
        <v>63</v>
      </c>
      <c r="H55" s="55">
        <v>52644000</v>
      </c>
    </row>
    <row r="56" spans="1:8" x14ac:dyDescent="0.3">
      <c r="A56" s="53">
        <v>1001000</v>
      </c>
      <c r="B56" s="53">
        <v>34</v>
      </c>
      <c r="C56" s="53">
        <v>41312000</v>
      </c>
      <c r="D56" s="54">
        <v>1.78</v>
      </c>
      <c r="F56" s="53">
        <v>1001000</v>
      </c>
      <c r="G56" s="55">
        <v>34</v>
      </c>
      <c r="H56" s="55">
        <v>41312000</v>
      </c>
    </row>
    <row r="57" spans="1:8" x14ac:dyDescent="0.3">
      <c r="A57" s="53">
        <v>1500000</v>
      </c>
      <c r="B57" s="53">
        <v>30</v>
      </c>
      <c r="C57" s="53">
        <v>72576000</v>
      </c>
      <c r="D57" s="54">
        <v>1.61</v>
      </c>
      <c r="F57" s="53">
        <v>1500000</v>
      </c>
      <c r="G57" s="55">
        <v>30</v>
      </c>
      <c r="H57" s="55">
        <v>72576000</v>
      </c>
    </row>
    <row r="58" spans="1:8" x14ac:dyDescent="0.3">
      <c r="A58" s="57" t="s">
        <v>56</v>
      </c>
      <c r="B58" s="57" t="s">
        <v>68</v>
      </c>
      <c r="C58" s="57" t="s">
        <v>69</v>
      </c>
      <c r="D58" s="58" t="s">
        <v>59</v>
      </c>
      <c r="E58">
        <v>102500</v>
      </c>
      <c r="G58" s="2"/>
      <c r="H58" s="2"/>
    </row>
    <row r="59" spans="1:8" x14ac:dyDescent="0.3">
      <c r="A59" s="53">
        <v>41000</v>
      </c>
      <c r="B59" s="53"/>
      <c r="C59" s="53"/>
      <c r="D59" s="54"/>
      <c r="F59" s="53">
        <v>41000</v>
      </c>
      <c r="G59" s="2">
        <v>460433.44896995736</v>
      </c>
      <c r="H59" s="2">
        <v>23444904529.672943</v>
      </c>
    </row>
    <row r="60" spans="1:8" x14ac:dyDescent="0.3">
      <c r="A60" s="53">
        <v>61000</v>
      </c>
      <c r="B60" s="53"/>
      <c r="C60" s="53"/>
      <c r="D60" s="54"/>
      <c r="F60" s="53">
        <v>61000</v>
      </c>
      <c r="G60" s="2">
        <v>337087.90938495047</v>
      </c>
      <c r="H60" s="2">
        <v>23863448091.482441</v>
      </c>
    </row>
    <row r="61" spans="1:8" x14ac:dyDescent="0.3">
      <c r="A61" s="53">
        <v>82000</v>
      </c>
      <c r="B61" s="53"/>
      <c r="C61" s="53"/>
      <c r="D61" s="54"/>
      <c r="F61" s="53">
        <v>81000</v>
      </c>
      <c r="G61" s="2">
        <v>279591.79755205108</v>
      </c>
      <c r="H61" s="2">
        <v>25103724357.486542</v>
      </c>
    </row>
    <row r="62" spans="1:8" x14ac:dyDescent="0.3">
      <c r="A62" s="53">
        <v>102500</v>
      </c>
      <c r="B62" s="53">
        <v>351280</v>
      </c>
      <c r="C62" s="53">
        <v>43255087000</v>
      </c>
      <c r="D62" s="54">
        <v>1.78</v>
      </c>
      <c r="F62" s="53">
        <v>101000</v>
      </c>
      <c r="G62" s="2">
        <v>362144.32989690721</v>
      </c>
      <c r="H62" s="2">
        <v>44352384319.587631</v>
      </c>
    </row>
    <row r="63" spans="1:8" x14ac:dyDescent="0.3">
      <c r="A63" s="53">
        <v>151000</v>
      </c>
      <c r="B63" s="53">
        <v>248117</v>
      </c>
      <c r="C63" s="53">
        <v>48870727000</v>
      </c>
      <c r="D63" s="54">
        <v>1.68</v>
      </c>
      <c r="F63" s="53">
        <v>151000</v>
      </c>
      <c r="G63" s="55">
        <v>248117</v>
      </c>
      <c r="H63" s="55">
        <v>48870727000</v>
      </c>
    </row>
    <row r="64" spans="1:8" x14ac:dyDescent="0.3">
      <c r="A64" s="53">
        <v>301000</v>
      </c>
      <c r="B64" s="53">
        <v>36051</v>
      </c>
      <c r="C64" s="53">
        <v>13338479000</v>
      </c>
      <c r="D64" s="54">
        <v>1.75</v>
      </c>
      <c r="F64" s="53">
        <v>301000</v>
      </c>
      <c r="G64" s="55">
        <v>36051</v>
      </c>
      <c r="H64" s="55">
        <v>13338479000</v>
      </c>
    </row>
    <row r="65" spans="1:8" x14ac:dyDescent="0.3">
      <c r="A65" s="53">
        <v>501000</v>
      </c>
      <c r="B65" s="53">
        <v>8865</v>
      </c>
      <c r="C65" s="53">
        <v>5310236000</v>
      </c>
      <c r="D65" s="54">
        <v>1.81</v>
      </c>
      <c r="F65" s="53">
        <v>501000</v>
      </c>
      <c r="G65" s="55">
        <v>8865</v>
      </c>
      <c r="H65" s="55">
        <v>5310236000</v>
      </c>
    </row>
    <row r="66" spans="1:8" x14ac:dyDescent="0.3">
      <c r="A66" s="53">
        <v>751000</v>
      </c>
      <c r="B66" s="53">
        <v>2872</v>
      </c>
      <c r="C66" s="53">
        <v>2470426000</v>
      </c>
      <c r="D66" s="54">
        <v>1.81</v>
      </c>
      <c r="F66" s="53">
        <v>751000</v>
      </c>
      <c r="G66" s="55">
        <v>2872</v>
      </c>
      <c r="H66" s="55">
        <v>2470426000</v>
      </c>
    </row>
    <row r="67" spans="1:8" x14ac:dyDescent="0.3">
      <c r="A67" s="53">
        <v>1001000</v>
      </c>
      <c r="B67" s="53">
        <v>1878</v>
      </c>
      <c r="C67" s="53">
        <v>2268523000</v>
      </c>
      <c r="D67" s="54">
        <v>1.81</v>
      </c>
      <c r="F67" s="53">
        <v>1001000</v>
      </c>
      <c r="G67" s="55">
        <v>1878</v>
      </c>
      <c r="H67" s="55">
        <v>2268523000</v>
      </c>
    </row>
    <row r="68" spans="1:8" x14ac:dyDescent="0.3">
      <c r="A68" s="53">
        <v>1500000</v>
      </c>
      <c r="B68" s="53">
        <v>1285</v>
      </c>
      <c r="C68" s="53">
        <v>3457487000</v>
      </c>
      <c r="D68" s="54">
        <v>1.79</v>
      </c>
      <c r="F68" s="53">
        <v>1500000</v>
      </c>
      <c r="G68" s="55">
        <v>1285</v>
      </c>
      <c r="H68" s="55">
        <v>3457487000</v>
      </c>
    </row>
    <row r="69" spans="1:8" x14ac:dyDescent="0.3">
      <c r="A69" s="57" t="s">
        <v>56</v>
      </c>
      <c r="B69" s="57" t="s">
        <v>70</v>
      </c>
      <c r="C69" s="57" t="s">
        <v>71</v>
      </c>
      <c r="D69" s="58" t="s">
        <v>59</v>
      </c>
      <c r="E69">
        <v>123000</v>
      </c>
      <c r="G69" s="2"/>
      <c r="H69" s="2"/>
    </row>
    <row r="70" spans="1:8" x14ac:dyDescent="0.3">
      <c r="A70" s="53">
        <v>41000</v>
      </c>
      <c r="B70" s="53"/>
      <c r="C70" s="53"/>
      <c r="D70" s="54"/>
      <c r="F70" s="53">
        <v>41000</v>
      </c>
      <c r="G70" s="2">
        <f t="shared" ref="G70:G72" si="1">G59*G71/G60</f>
        <v>275021.9389952909</v>
      </c>
      <c r="H70" s="2">
        <f t="shared" ref="H70:H72" si="2">G70*H59/G59</f>
        <v>14003898104.568083</v>
      </c>
    </row>
    <row r="71" spans="1:8" x14ac:dyDescent="0.3">
      <c r="A71" s="53">
        <v>61000</v>
      </c>
      <c r="B71" s="53"/>
      <c r="C71" s="53"/>
      <c r="D71" s="54"/>
      <c r="F71" s="53">
        <v>61000</v>
      </c>
      <c r="G71" s="2">
        <f t="shared" si="1"/>
        <v>201346.29805526353</v>
      </c>
      <c r="H71" s="2">
        <f t="shared" si="2"/>
        <v>14253898755.433817</v>
      </c>
    </row>
    <row r="72" spans="1:8" x14ac:dyDescent="0.3">
      <c r="A72" s="53">
        <v>82000</v>
      </c>
      <c r="B72" s="53"/>
      <c r="C72" s="53"/>
      <c r="D72" s="54"/>
      <c r="F72" s="53">
        <v>81000</v>
      </c>
      <c r="G72" s="2">
        <f t="shared" si="1"/>
        <v>167003.24110240987</v>
      </c>
      <c r="H72" s="2">
        <f t="shared" si="2"/>
        <v>14994729345.238649</v>
      </c>
    </row>
    <row r="73" spans="1:8" x14ac:dyDescent="0.3">
      <c r="A73" s="53">
        <v>123000</v>
      </c>
      <c r="B73" s="53">
        <v>94501</v>
      </c>
      <c r="C73" s="53">
        <v>12789189000</v>
      </c>
      <c r="D73" s="54">
        <v>1.83</v>
      </c>
      <c r="F73" s="53">
        <v>101000</v>
      </c>
      <c r="G73" s="2">
        <f>G62*G74/G63</f>
        <v>216312.77229577716</v>
      </c>
      <c r="H73" s="2">
        <f>G73*H62/G62</f>
        <v>26492164637.311615</v>
      </c>
    </row>
    <row r="74" spans="1:8" x14ac:dyDescent="0.3">
      <c r="A74" s="53">
        <v>151000</v>
      </c>
      <c r="B74" s="53">
        <v>148203</v>
      </c>
      <c r="C74" s="53">
        <v>29630119000</v>
      </c>
      <c r="D74" s="54">
        <v>1.79</v>
      </c>
      <c r="F74" s="53">
        <v>151000</v>
      </c>
      <c r="G74" s="55">
        <v>148203</v>
      </c>
      <c r="H74" s="55">
        <v>29630119000</v>
      </c>
    </row>
    <row r="75" spans="1:8" x14ac:dyDescent="0.3">
      <c r="A75" s="53">
        <v>301000</v>
      </c>
      <c r="B75" s="53">
        <v>26320</v>
      </c>
      <c r="C75" s="53">
        <v>9816027000</v>
      </c>
      <c r="D75" s="54">
        <v>1.8</v>
      </c>
      <c r="F75" s="53">
        <v>301000</v>
      </c>
      <c r="G75" s="55">
        <v>26320</v>
      </c>
      <c r="H75" s="55">
        <v>9816027000</v>
      </c>
    </row>
    <row r="76" spans="1:8" x14ac:dyDescent="0.3">
      <c r="A76" s="53">
        <v>501000</v>
      </c>
      <c r="B76" s="53">
        <v>7074</v>
      </c>
      <c r="C76" s="53">
        <v>4229653000</v>
      </c>
      <c r="D76" s="54">
        <v>1.81</v>
      </c>
      <c r="F76" s="53">
        <v>501000</v>
      </c>
      <c r="G76" s="55">
        <v>7074</v>
      </c>
      <c r="H76" s="55">
        <v>4229653000</v>
      </c>
    </row>
    <row r="77" spans="1:8" x14ac:dyDescent="0.3">
      <c r="A77" s="53">
        <v>751000</v>
      </c>
      <c r="B77" s="53">
        <v>2406</v>
      </c>
      <c r="C77" s="53">
        <v>2057036000</v>
      </c>
      <c r="D77" s="54">
        <v>1.79</v>
      </c>
      <c r="F77" s="53">
        <v>751000</v>
      </c>
      <c r="G77" s="55">
        <v>2406</v>
      </c>
      <c r="H77" s="55">
        <v>2057036000</v>
      </c>
    </row>
    <row r="78" spans="1:8" x14ac:dyDescent="0.3">
      <c r="A78" s="53">
        <v>1001000</v>
      </c>
      <c r="B78" s="53">
        <v>1557</v>
      </c>
      <c r="C78" s="53">
        <v>1864989000</v>
      </c>
      <c r="D78" s="54">
        <v>1.8</v>
      </c>
      <c r="F78" s="53">
        <v>1001000</v>
      </c>
      <c r="G78" s="55">
        <v>1557</v>
      </c>
      <c r="H78" s="55">
        <v>1864989000</v>
      </c>
    </row>
    <row r="79" spans="1:8" x14ac:dyDescent="0.3">
      <c r="A79" s="53">
        <v>1500000</v>
      </c>
      <c r="B79" s="53">
        <v>1031</v>
      </c>
      <c r="C79" s="53">
        <v>2793447000</v>
      </c>
      <c r="D79" s="54">
        <v>1.81</v>
      </c>
      <c r="F79" s="53">
        <v>1500000</v>
      </c>
      <c r="G79" s="55">
        <v>1031</v>
      </c>
      <c r="H79" s="55">
        <v>2793447000</v>
      </c>
    </row>
    <row r="80" spans="1:8" x14ac:dyDescent="0.3">
      <c r="A80" s="57" t="s">
        <v>56</v>
      </c>
      <c r="B80" s="57" t="s">
        <v>72</v>
      </c>
      <c r="C80" s="57" t="s">
        <v>73</v>
      </c>
      <c r="D80" s="58" t="s">
        <v>59</v>
      </c>
      <c r="E80">
        <v>143500</v>
      </c>
      <c r="G80" s="2"/>
      <c r="H80" s="2"/>
    </row>
    <row r="81" spans="1:8" x14ac:dyDescent="0.3">
      <c r="A81" s="53">
        <v>41000</v>
      </c>
      <c r="B81" s="53"/>
      <c r="C81" s="53"/>
      <c r="D81" s="54"/>
      <c r="F81" s="53">
        <v>41000</v>
      </c>
      <c r="G81" s="2">
        <f t="shared" ref="G81:G83" si="3">G70*G82/G71</f>
        <v>120480.18169220774</v>
      </c>
      <c r="H81" s="2">
        <f t="shared" ref="H81:H83" si="4">G81*H70/G70</f>
        <v>6134754900.6496363</v>
      </c>
    </row>
    <row r="82" spans="1:8" x14ac:dyDescent="0.3">
      <c r="A82" s="53">
        <v>61000</v>
      </c>
      <c r="B82" s="53"/>
      <c r="C82" s="53"/>
      <c r="D82" s="54"/>
      <c r="F82" s="53">
        <v>61000</v>
      </c>
      <c r="G82" s="2">
        <f t="shared" si="3"/>
        <v>88204.739815927664</v>
      </c>
      <c r="H82" s="2">
        <f t="shared" si="4"/>
        <v>6244273886.4785805</v>
      </c>
    </row>
    <row r="83" spans="1:8" x14ac:dyDescent="0.3">
      <c r="A83" s="53">
        <v>82000</v>
      </c>
      <c r="B83" s="53"/>
      <c r="C83" s="53"/>
      <c r="D83" s="54"/>
      <c r="F83" s="53">
        <v>81000</v>
      </c>
      <c r="G83" s="2">
        <f t="shared" si="3"/>
        <v>73159.911913610777</v>
      </c>
      <c r="H83" s="2">
        <f t="shared" si="4"/>
        <v>6568813101.0186968</v>
      </c>
    </row>
    <row r="84" spans="1:8" x14ac:dyDescent="0.3">
      <c r="A84" s="53">
        <v>143500</v>
      </c>
      <c r="B84" s="53">
        <v>11944</v>
      </c>
      <c r="C84" s="53">
        <v>1770144000</v>
      </c>
      <c r="D84" s="54">
        <v>1.91</v>
      </c>
      <c r="F84" s="53">
        <v>101000</v>
      </c>
      <c r="G84" s="2">
        <f>G73*G85/G74</f>
        <v>94761.175067515753</v>
      </c>
      <c r="H84" s="2">
        <f>G84*H73/G73</f>
        <v>11605549799.348322</v>
      </c>
    </row>
    <row r="85" spans="1:8" x14ac:dyDescent="0.3">
      <c r="A85" s="53">
        <v>151000</v>
      </c>
      <c r="B85" s="53">
        <v>64924</v>
      </c>
      <c r="C85" s="53">
        <v>13187983000</v>
      </c>
      <c r="D85" s="54">
        <v>1.93</v>
      </c>
      <c r="F85" s="53">
        <v>151000</v>
      </c>
      <c r="G85" s="55">
        <v>64924</v>
      </c>
      <c r="H85" s="55">
        <v>13187983000</v>
      </c>
    </row>
    <row r="86" spans="1:8" x14ac:dyDescent="0.3">
      <c r="A86" s="53">
        <v>301000</v>
      </c>
      <c r="B86" s="53">
        <v>14719</v>
      </c>
      <c r="C86" s="53">
        <v>5414086000</v>
      </c>
      <c r="D86" s="54">
        <v>1.84</v>
      </c>
      <c r="F86" s="53">
        <v>301000</v>
      </c>
      <c r="G86" s="55">
        <v>14719</v>
      </c>
      <c r="H86" s="55">
        <v>5414086000</v>
      </c>
    </row>
    <row r="87" spans="1:8" x14ac:dyDescent="0.3">
      <c r="A87" s="53">
        <v>501000</v>
      </c>
      <c r="B87" s="53">
        <v>4258</v>
      </c>
      <c r="C87" s="53">
        <v>2549177000</v>
      </c>
      <c r="D87" s="54">
        <v>1.85</v>
      </c>
      <c r="F87" s="53">
        <v>501000</v>
      </c>
      <c r="G87" s="55">
        <v>4258</v>
      </c>
      <c r="H87" s="55">
        <v>2549177000</v>
      </c>
    </row>
    <row r="88" spans="1:8" x14ac:dyDescent="0.3">
      <c r="A88" s="53">
        <v>751000</v>
      </c>
      <c r="B88" s="53">
        <v>1379</v>
      </c>
      <c r="C88" s="53">
        <v>1166152000</v>
      </c>
      <c r="D88" s="54">
        <v>1.84</v>
      </c>
      <c r="F88" s="53">
        <v>751000</v>
      </c>
      <c r="G88" s="55">
        <v>1379</v>
      </c>
      <c r="H88" s="55">
        <v>1166152000</v>
      </c>
    </row>
    <row r="89" spans="1:8" x14ac:dyDescent="0.3">
      <c r="A89" s="53">
        <v>1001000</v>
      </c>
      <c r="B89" s="53">
        <v>1030</v>
      </c>
      <c r="C89" s="53">
        <v>1249870000</v>
      </c>
      <c r="D89" s="54">
        <v>1.82</v>
      </c>
      <c r="F89" s="53">
        <v>1001000</v>
      </c>
      <c r="G89" s="55">
        <v>1030</v>
      </c>
      <c r="H89" s="55">
        <v>1249870000</v>
      </c>
    </row>
    <row r="90" spans="1:8" x14ac:dyDescent="0.3">
      <c r="A90" s="53">
        <v>1500000</v>
      </c>
      <c r="B90" s="53">
        <v>649</v>
      </c>
      <c r="C90" s="53">
        <v>1810545000</v>
      </c>
      <c r="D90" s="54">
        <v>1.86</v>
      </c>
      <c r="F90" s="53">
        <v>1500000</v>
      </c>
      <c r="G90" s="55">
        <v>649</v>
      </c>
      <c r="H90" s="55">
        <v>1810545000</v>
      </c>
    </row>
    <row r="91" spans="1:8" x14ac:dyDescent="0.3">
      <c r="A91" s="57" t="s">
        <v>56</v>
      </c>
      <c r="B91" s="57" t="s">
        <v>74</v>
      </c>
      <c r="C91" s="57" t="s">
        <v>75</v>
      </c>
      <c r="D91" s="58" t="s">
        <v>59</v>
      </c>
      <c r="E91">
        <v>164000</v>
      </c>
      <c r="G91" s="2"/>
      <c r="H91" s="2"/>
    </row>
    <row r="92" spans="1:8" x14ac:dyDescent="0.3">
      <c r="A92" s="53">
        <v>41000</v>
      </c>
      <c r="B92" s="53"/>
      <c r="C92" s="53"/>
      <c r="D92" s="54"/>
      <c r="F92" s="53">
        <v>41000</v>
      </c>
      <c r="G92" s="2">
        <v>56053.283798372075</v>
      </c>
      <c r="H92" s="2">
        <v>2854188569.8518043</v>
      </c>
    </row>
    <row r="93" spans="1:8" x14ac:dyDescent="0.3">
      <c r="A93" s="53">
        <v>61000</v>
      </c>
      <c r="B93" s="53"/>
      <c r="C93" s="53"/>
      <c r="D93" s="54"/>
      <c r="F93" s="53">
        <v>61000</v>
      </c>
      <c r="G93" s="2">
        <v>41037.166808850641</v>
      </c>
      <c r="H93" s="2">
        <v>2905142168.2590742</v>
      </c>
    </row>
    <row r="94" spans="1:8" x14ac:dyDescent="0.3">
      <c r="A94" s="53">
        <v>82000</v>
      </c>
      <c r="B94" s="53"/>
      <c r="C94" s="53"/>
      <c r="D94" s="54"/>
      <c r="F94" s="53">
        <v>81000</v>
      </c>
      <c r="G94" s="2">
        <v>34037.575703811846</v>
      </c>
      <c r="H94" s="2">
        <v>3056133712.60113</v>
      </c>
    </row>
    <row r="95" spans="1:8" x14ac:dyDescent="0.3">
      <c r="A95" s="53">
        <v>143500</v>
      </c>
      <c r="B95" s="53"/>
      <c r="C95" s="53"/>
      <c r="D95" s="54"/>
      <c r="F95" s="53">
        <v>101000</v>
      </c>
      <c r="G95" s="2">
        <v>44087.541739408101</v>
      </c>
      <c r="H95" s="2">
        <v>5399470414.1543112</v>
      </c>
    </row>
    <row r="96" spans="1:8" x14ac:dyDescent="0.3">
      <c r="A96" s="53">
        <v>164000</v>
      </c>
      <c r="B96" s="53">
        <v>23455</v>
      </c>
      <c r="C96" s="53">
        <v>5006293000</v>
      </c>
      <c r="D96" s="54">
        <v>1.97</v>
      </c>
      <c r="F96" s="53">
        <v>151000</v>
      </c>
      <c r="G96" s="2">
        <v>30205.825939262177</v>
      </c>
      <c r="H96" s="2">
        <v>6135695874.9915075</v>
      </c>
    </row>
    <row r="97" spans="1:8" x14ac:dyDescent="0.3">
      <c r="A97" s="53">
        <v>301000</v>
      </c>
      <c r="B97" s="53">
        <v>6848</v>
      </c>
      <c r="C97" s="53">
        <v>2573500000</v>
      </c>
      <c r="D97" s="54">
        <v>1.88</v>
      </c>
      <c r="F97" s="53">
        <v>301000</v>
      </c>
      <c r="G97" s="55">
        <v>6848</v>
      </c>
      <c r="H97" s="55">
        <v>2573500000</v>
      </c>
    </row>
    <row r="98" spans="1:8" x14ac:dyDescent="0.3">
      <c r="A98" s="53">
        <v>501000</v>
      </c>
      <c r="B98" s="53">
        <v>2211</v>
      </c>
      <c r="C98" s="53">
        <v>1328635000</v>
      </c>
      <c r="D98" s="54">
        <v>1.82</v>
      </c>
      <c r="F98" s="53">
        <v>501000</v>
      </c>
      <c r="G98" s="55">
        <v>2211</v>
      </c>
      <c r="H98" s="55">
        <v>1328635000</v>
      </c>
    </row>
    <row r="99" spans="1:8" x14ac:dyDescent="0.3">
      <c r="A99" s="53">
        <v>751000</v>
      </c>
      <c r="B99" s="53">
        <v>721</v>
      </c>
      <c r="C99" s="53">
        <v>617810000</v>
      </c>
      <c r="D99" s="54">
        <v>1.79</v>
      </c>
      <c r="F99" s="53">
        <v>751000</v>
      </c>
      <c r="G99" s="55">
        <v>721</v>
      </c>
      <c r="H99" s="55">
        <v>617810000</v>
      </c>
    </row>
    <row r="100" spans="1:8" x14ac:dyDescent="0.3">
      <c r="A100" s="53">
        <v>1001000</v>
      </c>
      <c r="B100" s="53">
        <v>498</v>
      </c>
      <c r="C100" s="53">
        <v>599685000</v>
      </c>
      <c r="D100" s="54">
        <v>1.75</v>
      </c>
      <c r="F100" s="53">
        <v>1001000</v>
      </c>
      <c r="G100" s="55">
        <v>498</v>
      </c>
      <c r="H100" s="55">
        <v>599685000</v>
      </c>
    </row>
    <row r="101" spans="1:8" x14ac:dyDescent="0.3">
      <c r="A101" s="53">
        <v>1500000</v>
      </c>
      <c r="B101" s="53">
        <v>362</v>
      </c>
      <c r="C101" s="53">
        <v>910904000</v>
      </c>
      <c r="D101" s="54">
        <v>1.68</v>
      </c>
      <c r="F101" s="53">
        <v>1500000</v>
      </c>
      <c r="G101" s="55">
        <v>362</v>
      </c>
      <c r="H101" s="55">
        <v>910904000</v>
      </c>
    </row>
    <row r="102" spans="1:8" x14ac:dyDescent="0.3">
      <c r="A102" s="57" t="s">
        <v>56</v>
      </c>
      <c r="B102" s="57" t="s">
        <v>76</v>
      </c>
      <c r="C102" s="57" t="s">
        <v>77</v>
      </c>
      <c r="D102" s="58" t="s">
        <v>59</v>
      </c>
      <c r="E102">
        <v>184500</v>
      </c>
      <c r="G102" s="2"/>
      <c r="H102" s="2"/>
    </row>
    <row r="103" spans="1:8" x14ac:dyDescent="0.3">
      <c r="A103" s="53">
        <v>41000</v>
      </c>
      <c r="B103" s="53"/>
      <c r="C103" s="53"/>
      <c r="D103" s="54"/>
      <c r="F103" s="53">
        <v>41000</v>
      </c>
      <c r="G103" s="2">
        <v>27003.473021441223</v>
      </c>
      <c r="H103" s="2">
        <v>1374995340.5287826</v>
      </c>
    </row>
    <row r="104" spans="1:8" x14ac:dyDescent="0.3">
      <c r="A104" s="53">
        <v>61000</v>
      </c>
      <c r="B104" s="53"/>
      <c r="C104" s="53"/>
      <c r="D104" s="54"/>
      <c r="F104" s="53">
        <v>61000</v>
      </c>
      <c r="G104" s="2">
        <v>19769.511288317506</v>
      </c>
      <c r="H104" s="2">
        <v>1399542057.9857895</v>
      </c>
    </row>
    <row r="105" spans="1:8" x14ac:dyDescent="0.3">
      <c r="A105" s="53">
        <v>82000</v>
      </c>
      <c r="B105" s="53"/>
      <c r="C105" s="53"/>
      <c r="D105" s="54"/>
      <c r="F105" s="53">
        <v>81000</v>
      </c>
      <c r="G105" s="2">
        <v>16397.482804742303</v>
      </c>
      <c r="H105" s="2">
        <v>1472281705.2966018</v>
      </c>
    </row>
    <row r="106" spans="1:8" x14ac:dyDescent="0.3">
      <c r="A106" s="53">
        <v>143500</v>
      </c>
      <c r="B106" s="53"/>
      <c r="C106" s="53"/>
      <c r="D106" s="54"/>
      <c r="F106" s="53">
        <v>101000</v>
      </c>
      <c r="G106" s="2">
        <v>21239.018720547218</v>
      </c>
      <c r="H106" s="2">
        <v>2601175948.6412201</v>
      </c>
    </row>
    <row r="107" spans="1:8" x14ac:dyDescent="0.3">
      <c r="A107" s="53">
        <v>184500</v>
      </c>
      <c r="B107" s="53">
        <v>7206</v>
      </c>
      <c r="C107" s="53">
        <v>1669005000</v>
      </c>
      <c r="D107" s="54">
        <v>2.1</v>
      </c>
      <c r="F107" s="53">
        <v>151000</v>
      </c>
      <c r="G107" s="2">
        <v>14551.550784700048</v>
      </c>
      <c r="H107" s="2">
        <v>2955849984.1701202</v>
      </c>
    </row>
    <row r="108" spans="1:8" x14ac:dyDescent="0.3">
      <c r="A108" s="53">
        <v>301000</v>
      </c>
      <c r="B108" s="53">
        <v>3299</v>
      </c>
      <c r="C108" s="53">
        <v>1255973000</v>
      </c>
      <c r="D108" s="54">
        <v>1.99</v>
      </c>
      <c r="F108" s="53">
        <v>301000</v>
      </c>
      <c r="G108" s="55">
        <v>3299</v>
      </c>
      <c r="H108" s="55">
        <v>1255973000</v>
      </c>
    </row>
    <row r="109" spans="1:8" x14ac:dyDescent="0.3">
      <c r="A109" s="53">
        <v>501000</v>
      </c>
      <c r="B109" s="53">
        <v>1133</v>
      </c>
      <c r="C109" s="53">
        <v>681677000</v>
      </c>
      <c r="D109" s="54">
        <v>1.91</v>
      </c>
      <c r="F109" s="53">
        <v>501000</v>
      </c>
      <c r="G109" s="55">
        <v>1133</v>
      </c>
      <c r="H109" s="55">
        <v>681677000</v>
      </c>
    </row>
    <row r="110" spans="1:8" x14ac:dyDescent="0.3">
      <c r="A110" s="53">
        <v>751000</v>
      </c>
      <c r="B110" s="53">
        <v>389</v>
      </c>
      <c r="C110" s="53">
        <v>333070000</v>
      </c>
      <c r="D110" s="54">
        <v>1.88</v>
      </c>
      <c r="F110" s="53">
        <v>751000</v>
      </c>
      <c r="G110" s="55">
        <v>389</v>
      </c>
      <c r="H110" s="55">
        <v>333070000</v>
      </c>
    </row>
    <row r="111" spans="1:8" x14ac:dyDescent="0.3">
      <c r="A111" s="53">
        <v>1001000</v>
      </c>
      <c r="B111" s="53">
        <v>289</v>
      </c>
      <c r="C111" s="53">
        <v>351057000</v>
      </c>
      <c r="D111" s="54">
        <v>1.84</v>
      </c>
      <c r="F111" s="53">
        <v>1001000</v>
      </c>
      <c r="G111" s="55">
        <v>289</v>
      </c>
      <c r="H111" s="55">
        <v>351057000</v>
      </c>
    </row>
    <row r="112" spans="1:8" x14ac:dyDescent="0.3">
      <c r="A112" s="53">
        <v>1500000</v>
      </c>
      <c r="B112" s="53">
        <v>210</v>
      </c>
      <c r="C112" s="53">
        <v>568424000</v>
      </c>
      <c r="D112" s="54">
        <v>1.8</v>
      </c>
      <c r="F112" s="53">
        <v>1500000</v>
      </c>
      <c r="G112" s="55">
        <v>210</v>
      </c>
      <c r="H112" s="55">
        <v>568424000</v>
      </c>
    </row>
    <row r="113" spans="1:8" x14ac:dyDescent="0.3">
      <c r="A113" s="57" t="s">
        <v>56</v>
      </c>
      <c r="B113" s="57" t="s">
        <v>78</v>
      </c>
      <c r="C113" s="57" t="s">
        <v>79</v>
      </c>
      <c r="D113" s="58" t="s">
        <v>59</v>
      </c>
      <c r="E113">
        <v>205000</v>
      </c>
      <c r="G113" s="2"/>
      <c r="H113" s="2"/>
    </row>
    <row r="114" spans="1:8" x14ac:dyDescent="0.3">
      <c r="A114" s="53">
        <v>41000</v>
      </c>
      <c r="B114" s="53"/>
      <c r="C114" s="53"/>
      <c r="D114" s="54"/>
      <c r="F114" s="53">
        <v>41000</v>
      </c>
      <c r="G114" s="2">
        <v>13906.91138630756</v>
      </c>
      <c r="H114" s="2">
        <v>708128852.24565065</v>
      </c>
    </row>
    <row r="115" spans="1:8" x14ac:dyDescent="0.3">
      <c r="A115" s="53">
        <v>61000</v>
      </c>
      <c r="B115" s="53"/>
      <c r="C115" s="53"/>
      <c r="D115" s="54"/>
      <c r="F115" s="53">
        <v>61000</v>
      </c>
      <c r="G115" s="2">
        <v>10181.388202137448</v>
      </c>
      <c r="H115" s="2">
        <v>720770523.34581876</v>
      </c>
    </row>
    <row r="116" spans="1:8" x14ac:dyDescent="0.3">
      <c r="A116" s="53">
        <v>82000</v>
      </c>
      <c r="B116" s="53"/>
      <c r="C116" s="53"/>
      <c r="D116" s="54"/>
      <c r="F116" s="53">
        <v>81000</v>
      </c>
      <c r="G116" s="2">
        <v>8444.7782010479459</v>
      </c>
      <c r="H116" s="2">
        <v>758231772.4458704</v>
      </c>
    </row>
    <row r="117" spans="1:8" x14ac:dyDescent="0.3">
      <c r="A117" s="53">
        <v>143500</v>
      </c>
      <c r="B117" s="53"/>
      <c r="C117" s="53"/>
      <c r="D117" s="54"/>
      <c r="F117" s="53">
        <v>101000</v>
      </c>
      <c r="G117" s="2">
        <v>10938.191211339717</v>
      </c>
      <c r="H117" s="2">
        <v>1339617440.6612408</v>
      </c>
    </row>
    <row r="118" spans="1:8" x14ac:dyDescent="0.3">
      <c r="A118" s="53">
        <v>205000</v>
      </c>
      <c r="B118" s="53">
        <v>2262</v>
      </c>
      <c r="C118" s="53">
        <v>558586000</v>
      </c>
      <c r="D118" s="54">
        <v>2.12</v>
      </c>
      <c r="F118" s="53">
        <v>151000</v>
      </c>
      <c r="G118" s="2">
        <v>7494.1148175827166</v>
      </c>
      <c r="H118" s="2">
        <v>1522276181.6020112</v>
      </c>
    </row>
    <row r="119" spans="1:8" x14ac:dyDescent="0.3">
      <c r="A119" s="53">
        <v>301000</v>
      </c>
      <c r="B119" s="53">
        <v>1699</v>
      </c>
      <c r="C119" s="53">
        <v>638692000</v>
      </c>
      <c r="D119" s="54">
        <v>1.95</v>
      </c>
      <c r="F119" s="53">
        <v>301000</v>
      </c>
      <c r="G119" s="55">
        <v>1699</v>
      </c>
      <c r="H119" s="55">
        <v>638692000</v>
      </c>
    </row>
    <row r="120" spans="1:8" x14ac:dyDescent="0.3">
      <c r="A120" s="53">
        <v>501000</v>
      </c>
      <c r="B120" s="53">
        <v>615</v>
      </c>
      <c r="C120" s="53">
        <v>370089000</v>
      </c>
      <c r="D120" s="54">
        <v>1.83</v>
      </c>
      <c r="F120" s="53">
        <v>501000</v>
      </c>
      <c r="G120" s="55">
        <v>615</v>
      </c>
      <c r="H120" s="55">
        <v>370089000</v>
      </c>
    </row>
    <row r="121" spans="1:8" x14ac:dyDescent="0.3">
      <c r="A121" s="53">
        <v>751000</v>
      </c>
      <c r="B121" s="53">
        <v>198</v>
      </c>
      <c r="C121" s="53">
        <v>171095000</v>
      </c>
      <c r="D121" s="54">
        <v>1.78</v>
      </c>
      <c r="F121" s="53">
        <v>751000</v>
      </c>
      <c r="G121" s="55">
        <v>198</v>
      </c>
      <c r="H121" s="55">
        <v>171095000</v>
      </c>
    </row>
    <row r="122" spans="1:8" x14ac:dyDescent="0.3">
      <c r="A122" s="53">
        <v>1001000</v>
      </c>
      <c r="B122" s="53">
        <v>168</v>
      </c>
      <c r="C122" s="53">
        <v>204793000</v>
      </c>
      <c r="D122" s="54">
        <v>1.68</v>
      </c>
      <c r="F122" s="53">
        <v>1001000</v>
      </c>
      <c r="G122" s="55">
        <v>168</v>
      </c>
      <c r="H122" s="55">
        <v>204793000</v>
      </c>
    </row>
    <row r="123" spans="1:8" x14ac:dyDescent="0.3">
      <c r="A123" s="53">
        <v>1500000</v>
      </c>
      <c r="B123" s="53">
        <v>102</v>
      </c>
      <c r="C123" s="53">
        <v>248533000</v>
      </c>
      <c r="D123" s="54">
        <v>1.62</v>
      </c>
      <c r="F123" s="53">
        <v>1500000</v>
      </c>
      <c r="G123" s="55">
        <v>102</v>
      </c>
      <c r="H123" s="55">
        <v>248533000</v>
      </c>
    </row>
    <row r="124" spans="1:8" x14ac:dyDescent="0.3">
      <c r="A124" s="57" t="s">
        <v>56</v>
      </c>
      <c r="B124" s="57" t="s">
        <v>80</v>
      </c>
      <c r="C124" s="57" t="s">
        <v>81</v>
      </c>
      <c r="D124" s="58" t="s">
        <v>59</v>
      </c>
      <c r="E124">
        <v>225500</v>
      </c>
      <c r="G124" s="2"/>
      <c r="H124" s="2"/>
    </row>
    <row r="125" spans="1:8" x14ac:dyDescent="0.3">
      <c r="A125" s="53">
        <v>41000</v>
      </c>
      <c r="B125" s="53"/>
      <c r="C125" s="53"/>
      <c r="D125" s="54"/>
      <c r="F125" s="53">
        <v>41000</v>
      </c>
      <c r="G125" s="2">
        <f t="shared" ref="G125:G128" si="5">G114*G126/G115</f>
        <v>5958.9355439858173</v>
      </c>
      <c r="H125" s="2">
        <f t="shared" ref="H125:H128" si="6">G125*H114/G114</f>
        <v>303424252.16882503</v>
      </c>
    </row>
    <row r="126" spans="1:8" x14ac:dyDescent="0.3">
      <c r="A126" s="53">
        <v>61000</v>
      </c>
      <c r="B126" s="53"/>
      <c r="C126" s="53"/>
      <c r="D126" s="54"/>
      <c r="F126" s="53">
        <v>61000</v>
      </c>
      <c r="G126" s="2">
        <f t="shared" si="5"/>
        <v>4362.5960042119259</v>
      </c>
      <c r="H126" s="2">
        <f t="shared" si="6"/>
        <v>308841048.2611866</v>
      </c>
    </row>
    <row r="127" spans="1:8" x14ac:dyDescent="0.3">
      <c r="A127" s="53">
        <v>82000</v>
      </c>
      <c r="B127" s="53"/>
      <c r="C127" s="53"/>
      <c r="D127" s="54"/>
      <c r="F127" s="53">
        <v>81000</v>
      </c>
      <c r="G127" s="2">
        <f t="shared" si="5"/>
        <v>3618.4805946809324</v>
      </c>
      <c r="H127" s="2">
        <f t="shared" si="6"/>
        <v>324892719.44708276</v>
      </c>
    </row>
    <row r="128" spans="1:8" x14ac:dyDescent="0.3">
      <c r="A128" s="53">
        <v>143500</v>
      </c>
      <c r="B128" s="53"/>
      <c r="C128" s="53"/>
      <c r="D128" s="54"/>
      <c r="F128" s="53">
        <v>101000</v>
      </c>
      <c r="G128" s="2">
        <f t="shared" si="5"/>
        <v>4686.8765166894136</v>
      </c>
      <c r="H128" s="2">
        <f t="shared" si="6"/>
        <v>574009121.13089061</v>
      </c>
    </row>
    <row r="129" spans="1:8" x14ac:dyDescent="0.3">
      <c r="A129" s="53">
        <v>225500</v>
      </c>
      <c r="B129" s="53">
        <v>691</v>
      </c>
      <c r="C129" s="53">
        <v>177401000</v>
      </c>
      <c r="D129" s="54">
        <v>2.31</v>
      </c>
      <c r="F129" s="53">
        <v>151000</v>
      </c>
      <c r="G129" s="2">
        <f>G118*G130/G119</f>
        <v>3211.1333650383858</v>
      </c>
      <c r="H129" s="2">
        <f>G129*H118/G118</f>
        <v>652276080.16848981</v>
      </c>
    </row>
    <row r="130" spans="1:8" x14ac:dyDescent="0.3">
      <c r="A130" s="53">
        <v>301000</v>
      </c>
      <c r="B130" s="53">
        <v>728</v>
      </c>
      <c r="C130" s="53">
        <v>279312000</v>
      </c>
      <c r="D130" s="54">
        <v>2.2000000000000002</v>
      </c>
      <c r="F130" s="53">
        <v>301000</v>
      </c>
      <c r="G130" s="55">
        <v>728</v>
      </c>
      <c r="H130" s="55">
        <v>279312000</v>
      </c>
    </row>
    <row r="131" spans="1:8" x14ac:dyDescent="0.3">
      <c r="A131" s="53">
        <v>501000</v>
      </c>
      <c r="B131" s="53">
        <v>282</v>
      </c>
      <c r="C131" s="53">
        <v>170635000</v>
      </c>
      <c r="D131" s="54">
        <v>2.0499999999999998</v>
      </c>
      <c r="F131" s="53">
        <v>501000</v>
      </c>
      <c r="G131" s="55">
        <v>282</v>
      </c>
      <c r="H131" s="55">
        <v>170635000</v>
      </c>
    </row>
    <row r="132" spans="1:8" x14ac:dyDescent="0.3">
      <c r="A132" s="53">
        <v>751000</v>
      </c>
      <c r="B132" s="53">
        <v>110</v>
      </c>
      <c r="C132" s="53">
        <v>94399000</v>
      </c>
      <c r="D132" s="54">
        <v>1.94</v>
      </c>
      <c r="F132" s="53">
        <v>751000</v>
      </c>
      <c r="G132" s="55">
        <v>110</v>
      </c>
      <c r="H132" s="55">
        <v>94399000</v>
      </c>
    </row>
    <row r="133" spans="1:8" x14ac:dyDescent="0.3">
      <c r="A133" s="53">
        <v>1001000</v>
      </c>
      <c r="B133" s="53">
        <v>80</v>
      </c>
      <c r="C133" s="53">
        <v>96137000</v>
      </c>
      <c r="D133" s="54">
        <v>1.85</v>
      </c>
      <c r="F133" s="53">
        <v>1001000</v>
      </c>
      <c r="G133" s="55">
        <v>80</v>
      </c>
      <c r="H133" s="55">
        <v>96137000</v>
      </c>
    </row>
    <row r="134" spans="1:8" x14ac:dyDescent="0.3">
      <c r="A134" s="53">
        <v>1500000</v>
      </c>
      <c r="B134" s="53">
        <v>87</v>
      </c>
      <c r="C134" s="53">
        <v>212485000</v>
      </c>
      <c r="D134" s="54">
        <v>1.63</v>
      </c>
      <c r="F134" s="53">
        <v>1500000</v>
      </c>
      <c r="G134" s="55">
        <v>87</v>
      </c>
      <c r="H134" s="55">
        <v>212485000</v>
      </c>
    </row>
    <row r="135" spans="1:8" x14ac:dyDescent="0.3">
      <c r="A135" s="57" t="s">
        <v>56</v>
      </c>
      <c r="B135" s="57" t="s">
        <v>82</v>
      </c>
      <c r="C135" s="57" t="s">
        <v>83</v>
      </c>
      <c r="D135" s="58" t="s">
        <v>59</v>
      </c>
      <c r="E135">
        <v>246000</v>
      </c>
      <c r="G135" s="2"/>
      <c r="H135" s="2"/>
    </row>
    <row r="136" spans="1:8" x14ac:dyDescent="0.3">
      <c r="A136" s="53">
        <v>41000</v>
      </c>
      <c r="B136" s="53"/>
      <c r="C136" s="53"/>
      <c r="D136" s="54"/>
      <c r="F136" s="53">
        <v>41000</v>
      </c>
      <c r="G136" s="2">
        <v>3053.1359311905362</v>
      </c>
      <c r="H136" s="2">
        <v>155463250.08100516</v>
      </c>
    </row>
    <row r="137" spans="1:8" x14ac:dyDescent="0.3">
      <c r="A137" s="53">
        <v>61000</v>
      </c>
      <c r="B137" s="53"/>
      <c r="C137" s="53"/>
      <c r="D137" s="54"/>
      <c r="F137" s="53">
        <v>61000</v>
      </c>
      <c r="G137" s="2">
        <v>2235.2311944657263</v>
      </c>
      <c r="H137" s="2">
        <v>158238614.01294318</v>
      </c>
    </row>
    <row r="138" spans="1:8" x14ac:dyDescent="0.3">
      <c r="A138" s="53">
        <v>82000</v>
      </c>
      <c r="B138" s="53"/>
      <c r="C138" s="53"/>
      <c r="D138" s="54"/>
      <c r="F138" s="53">
        <v>81000</v>
      </c>
      <c r="G138" s="2">
        <v>1853.9742607362473</v>
      </c>
      <c r="H138" s="2">
        <v>166462890.59582677</v>
      </c>
    </row>
    <row r="139" spans="1:8" x14ac:dyDescent="0.3">
      <c r="A139" s="53">
        <v>143500</v>
      </c>
      <c r="B139" s="53"/>
      <c r="C139" s="53"/>
      <c r="D139" s="54"/>
      <c r="F139" s="53">
        <v>101000</v>
      </c>
      <c r="G139" s="2">
        <v>2401.3804130839994</v>
      </c>
      <c r="H139" s="2">
        <v>294100827.17283273</v>
      </c>
    </row>
    <row r="140" spans="1:8" x14ac:dyDescent="0.3">
      <c r="A140" s="53">
        <v>246000</v>
      </c>
      <c r="B140" s="53">
        <v>236</v>
      </c>
      <c r="C140" s="53">
        <v>65158000</v>
      </c>
      <c r="D140" s="54">
        <v>2.29</v>
      </c>
      <c r="F140" s="53">
        <v>151000</v>
      </c>
      <c r="G140" s="2">
        <v>1645.264759834228</v>
      </c>
      <c r="H140" s="2">
        <v>334201892.72369057</v>
      </c>
    </row>
    <row r="141" spans="1:8" x14ac:dyDescent="0.3">
      <c r="A141" s="53">
        <v>301000</v>
      </c>
      <c r="B141" s="53">
        <v>373</v>
      </c>
      <c r="C141" s="53">
        <v>140893000</v>
      </c>
      <c r="D141" s="54">
        <v>2.2200000000000002</v>
      </c>
      <c r="F141" s="53">
        <v>301000</v>
      </c>
      <c r="G141" s="55">
        <v>373</v>
      </c>
      <c r="H141" s="55">
        <v>140893000</v>
      </c>
    </row>
    <row r="142" spans="1:8" x14ac:dyDescent="0.3">
      <c r="A142" s="53">
        <v>501000</v>
      </c>
      <c r="B142" s="53">
        <v>153</v>
      </c>
      <c r="C142" s="53">
        <v>92486000</v>
      </c>
      <c r="D142" s="54">
        <v>2.12</v>
      </c>
      <c r="F142" s="53">
        <v>501000</v>
      </c>
      <c r="G142" s="55">
        <v>153</v>
      </c>
      <c r="H142" s="55">
        <v>92486000</v>
      </c>
    </row>
    <row r="143" spans="1:8" x14ac:dyDescent="0.3">
      <c r="A143" s="53">
        <v>751000</v>
      </c>
      <c r="B143" s="53">
        <v>43</v>
      </c>
      <c r="C143" s="53">
        <v>36908000</v>
      </c>
      <c r="D143" s="54">
        <v>2.1800000000000002</v>
      </c>
      <c r="F143" s="53">
        <v>751000</v>
      </c>
      <c r="G143" s="55">
        <v>43</v>
      </c>
      <c r="H143" s="55">
        <v>36908000</v>
      </c>
    </row>
    <row r="144" spans="1:8" x14ac:dyDescent="0.3">
      <c r="A144" s="53">
        <v>1001000</v>
      </c>
      <c r="B144" s="53">
        <v>39</v>
      </c>
      <c r="C144" s="53">
        <v>47273000</v>
      </c>
      <c r="D144" s="54">
        <v>2.0499999999999998</v>
      </c>
      <c r="F144" s="53">
        <v>1001000</v>
      </c>
      <c r="G144" s="55">
        <v>39</v>
      </c>
      <c r="H144" s="55">
        <v>47273000</v>
      </c>
    </row>
    <row r="145" spans="1:8" x14ac:dyDescent="0.3">
      <c r="A145" s="53">
        <v>1500000</v>
      </c>
      <c r="B145" s="53">
        <v>41</v>
      </c>
      <c r="C145" s="53">
        <v>116790000</v>
      </c>
      <c r="D145" s="54">
        <v>1.9</v>
      </c>
      <c r="F145" s="53">
        <v>1500000</v>
      </c>
      <c r="G145" s="55">
        <v>41</v>
      </c>
      <c r="H145" s="55">
        <v>116790000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workbookViewId="0">
      <selection activeCell="O5" sqref="O5:O13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3.796875" customWidth="1"/>
  </cols>
  <sheetData>
    <row r="1" spans="1:15" x14ac:dyDescent="0.3">
      <c r="A1" s="78" t="s">
        <v>210</v>
      </c>
      <c r="B1" s="78"/>
      <c r="C1" s="78"/>
      <c r="D1" s="78"/>
      <c r="E1" t="s">
        <v>205</v>
      </c>
      <c r="G1" s="2"/>
    </row>
    <row r="2" spans="1:15" x14ac:dyDescent="0.3">
      <c r="A2" s="78" t="s">
        <v>206</v>
      </c>
      <c r="B2" s="78"/>
      <c r="C2" s="78"/>
      <c r="D2" s="78"/>
      <c r="F2" s="78" t="s">
        <v>207</v>
      </c>
      <c r="G2" s="78"/>
      <c r="H2" s="78"/>
      <c r="J2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101000</v>
      </c>
      <c r="F3" s="53"/>
      <c r="G3" s="55"/>
      <c r="H3" s="55"/>
      <c r="M3" t="s">
        <v>7</v>
      </c>
      <c r="N3" t="s">
        <v>8</v>
      </c>
      <c r="O3" t="s">
        <v>14</v>
      </c>
    </row>
    <row r="4" spans="1:15" x14ac:dyDescent="0.3">
      <c r="A4" s="53">
        <v>101000</v>
      </c>
      <c r="B4" s="53">
        <v>233724</v>
      </c>
      <c r="C4" s="53">
        <v>25717592000</v>
      </c>
      <c r="D4" s="54">
        <v>1.5032368464974477</v>
      </c>
      <c r="F4" s="53">
        <v>101000</v>
      </c>
      <c r="G4" s="55">
        <v>233724</v>
      </c>
      <c r="H4" s="55">
        <v>25717592000</v>
      </c>
      <c r="J4" s="53">
        <v>101000</v>
      </c>
      <c r="K4" s="2">
        <v>3383396.5276891976</v>
      </c>
      <c r="L4" s="2">
        <v>372288731466.71948</v>
      </c>
      <c r="M4">
        <v>0.50433047162001876</v>
      </c>
      <c r="N4">
        <v>1.6006551104934501</v>
      </c>
      <c r="O4">
        <f>(G4+G24+G44)/K4</f>
        <v>9.4594270512325565E-2</v>
      </c>
    </row>
    <row r="5" spans="1:15" x14ac:dyDescent="0.3">
      <c r="A5" s="53">
        <v>121000</v>
      </c>
      <c r="B5" s="53">
        <v>169058</v>
      </c>
      <c r="C5" s="53">
        <v>22576172000</v>
      </c>
      <c r="D5" s="54">
        <v>1.5024600062917006</v>
      </c>
      <c r="F5" s="53">
        <v>121000</v>
      </c>
      <c r="G5" s="55">
        <v>169058</v>
      </c>
      <c r="H5" s="55">
        <v>22576172000</v>
      </c>
      <c r="J5" s="53">
        <v>121000</v>
      </c>
      <c r="K5" s="2">
        <v>2447289.3249220471</v>
      </c>
      <c r="L5" s="2">
        <v>326813429315.40662</v>
      </c>
      <c r="M5">
        <v>0.70756124767052575</v>
      </c>
      <c r="N5">
        <v>1.6326281499507502</v>
      </c>
      <c r="O5">
        <f t="shared" ref="O5:O12" si="0">(G5+G25+G45)/K5</f>
        <v>9.4594270512325537E-2</v>
      </c>
    </row>
    <row r="6" spans="1:15" x14ac:dyDescent="0.3">
      <c r="A6" s="53">
        <v>151000</v>
      </c>
      <c r="B6" s="53">
        <v>134602</v>
      </c>
      <c r="C6" s="53">
        <v>25923179000</v>
      </c>
      <c r="D6" s="54">
        <v>1.5483903898781803</v>
      </c>
      <c r="F6" s="53">
        <v>151000</v>
      </c>
      <c r="G6" s="55">
        <v>134602</v>
      </c>
      <c r="H6" s="55">
        <v>25923179000</v>
      </c>
      <c r="J6" s="53">
        <v>151000</v>
      </c>
      <c r="K6" s="2">
        <v>1948503.1037463911</v>
      </c>
      <c r="L6" s="2">
        <v>396785533959.93475</v>
      </c>
      <c r="M6">
        <v>0.85456279024872339</v>
      </c>
      <c r="N6">
        <v>1.7367118566367976</v>
      </c>
      <c r="O6">
        <f t="shared" si="0"/>
        <v>9.4594270512325537E-2</v>
      </c>
    </row>
    <row r="7" spans="1:15" x14ac:dyDescent="0.3">
      <c r="A7" s="53">
        <v>301000</v>
      </c>
      <c r="B7" s="53">
        <v>16750</v>
      </c>
      <c r="C7" s="53">
        <v>6044187000</v>
      </c>
      <c r="D7" s="54">
        <v>1.6048250522638619</v>
      </c>
      <c r="F7" s="53">
        <v>301000</v>
      </c>
      <c r="G7" s="55">
        <v>16750</v>
      </c>
      <c r="H7" s="55">
        <v>6044187000</v>
      </c>
      <c r="J7" s="53">
        <v>301000</v>
      </c>
      <c r="K7" s="2">
        <v>348920.26299965539</v>
      </c>
      <c r="L7" s="2">
        <v>128737436996.07475</v>
      </c>
      <c r="M7">
        <v>0.97160369712157502</v>
      </c>
      <c r="N7">
        <v>1.6737720116080248</v>
      </c>
      <c r="O7">
        <f t="shared" si="0"/>
        <v>7.5406913240879864E-2</v>
      </c>
    </row>
    <row r="8" spans="1:15" x14ac:dyDescent="0.3">
      <c r="A8" s="53">
        <v>501000</v>
      </c>
      <c r="B8" s="53">
        <v>3466</v>
      </c>
      <c r="C8" s="53">
        <v>2072291000</v>
      </c>
      <c r="D8" s="54">
        <v>1.7059533800952924</v>
      </c>
      <c r="F8" s="53">
        <v>501000</v>
      </c>
      <c r="G8" s="55">
        <v>3466</v>
      </c>
      <c r="H8" s="55">
        <v>2072291000</v>
      </c>
      <c r="J8" s="53">
        <v>501000</v>
      </c>
      <c r="K8" s="2">
        <v>75730.863928112958</v>
      </c>
      <c r="L8" s="2">
        <v>45190592577.984596</v>
      </c>
      <c r="M8">
        <v>0.9925623211695811</v>
      </c>
      <c r="N8">
        <v>1.7640467808414395</v>
      </c>
      <c r="O8">
        <f t="shared" si="0"/>
        <v>8.1644387496611334E-2</v>
      </c>
    </row>
    <row r="9" spans="1:15" x14ac:dyDescent="0.3">
      <c r="A9" s="53">
        <v>751000</v>
      </c>
      <c r="B9" s="53">
        <v>1007</v>
      </c>
      <c r="C9" s="53">
        <v>860401000</v>
      </c>
      <c r="D9" s="54">
        <v>1.7184407078514967</v>
      </c>
      <c r="F9" s="53">
        <v>751000</v>
      </c>
      <c r="G9" s="55">
        <v>1007</v>
      </c>
      <c r="H9" s="55">
        <v>860401000</v>
      </c>
      <c r="J9" s="53">
        <v>751000</v>
      </c>
      <c r="K9" s="2">
        <v>22886</v>
      </c>
      <c r="L9" s="2">
        <v>19565391000</v>
      </c>
      <c r="M9">
        <v>0.99711125361693964</v>
      </c>
      <c r="N9">
        <v>1.7787284480156929</v>
      </c>
      <c r="O9">
        <f t="shared" si="0"/>
        <v>8.4767980424713799E-2</v>
      </c>
    </row>
    <row r="10" spans="1:15" x14ac:dyDescent="0.3">
      <c r="A10" s="53">
        <v>1001000</v>
      </c>
      <c r="B10" s="53">
        <v>632</v>
      </c>
      <c r="C10" s="53">
        <v>758537000</v>
      </c>
      <c r="D10" s="54">
        <v>1.713166060992148</v>
      </c>
      <c r="F10" s="53">
        <v>1001000</v>
      </c>
      <c r="G10" s="55">
        <v>632</v>
      </c>
      <c r="H10" s="55">
        <v>758537000</v>
      </c>
      <c r="J10" s="53">
        <v>1001000</v>
      </c>
      <c r="K10" s="2">
        <v>14813</v>
      </c>
      <c r="L10" s="2">
        <v>17849000000</v>
      </c>
      <c r="M10">
        <v>0.99848594898670429</v>
      </c>
      <c r="N10">
        <v>1.7707083838957203</v>
      </c>
      <c r="O10">
        <f t="shared" si="0"/>
        <v>8.7153176264092358E-2</v>
      </c>
    </row>
    <row r="11" spans="1:15" x14ac:dyDescent="0.3">
      <c r="A11" s="53">
        <v>1501000</v>
      </c>
      <c r="B11" s="53">
        <v>332</v>
      </c>
      <c r="C11" s="53">
        <v>655740000</v>
      </c>
      <c r="D11" s="54">
        <v>1.6802082317330218</v>
      </c>
      <c r="F11" s="53">
        <v>1501000</v>
      </c>
      <c r="G11" s="55">
        <v>332</v>
      </c>
      <c r="H11" s="55">
        <v>655740000</v>
      </c>
      <c r="J11" s="53">
        <v>1501000</v>
      </c>
      <c r="K11" s="2">
        <v>8352</v>
      </c>
      <c r="L11" s="2">
        <v>16636712000</v>
      </c>
      <c r="M11">
        <v>0.99937572275723308</v>
      </c>
      <c r="N11">
        <v>1.7197623086260911</v>
      </c>
      <c r="O11">
        <f t="shared" si="0"/>
        <v>8.441091954022989E-2</v>
      </c>
    </row>
    <row r="12" spans="1:15" x14ac:dyDescent="0.3">
      <c r="A12" s="53">
        <v>3000000</v>
      </c>
      <c r="B12" s="53">
        <v>71</v>
      </c>
      <c r="C12" s="53">
        <v>360623000</v>
      </c>
      <c r="D12" s="54">
        <v>1.6930657276995307</v>
      </c>
      <c r="F12" s="53">
        <v>3000000</v>
      </c>
      <c r="G12" s="55">
        <v>71</v>
      </c>
      <c r="H12" s="55">
        <v>360623000</v>
      </c>
      <c r="J12" s="53">
        <v>3000000</v>
      </c>
      <c r="K12" s="2">
        <v>2041</v>
      </c>
      <c r="L12" s="2">
        <v>10191396000</v>
      </c>
      <c r="M12">
        <v>0.99987740307394524</v>
      </c>
      <c r="N12">
        <v>1.6644448799608036</v>
      </c>
      <c r="O12">
        <f t="shared" si="0"/>
        <v>8.8682018618324351E-2</v>
      </c>
    </row>
    <row r="13" spans="1:15" x14ac:dyDescent="0.3">
      <c r="A13" s="51" t="s">
        <v>56</v>
      </c>
      <c r="B13" s="51" t="s">
        <v>60</v>
      </c>
      <c r="C13" s="51" t="s">
        <v>84</v>
      </c>
      <c r="D13" s="52" t="s">
        <v>59</v>
      </c>
      <c r="E13">
        <v>151500</v>
      </c>
      <c r="G13" s="2"/>
      <c r="H13" s="2"/>
    </row>
    <row r="14" spans="1:15" x14ac:dyDescent="0.3">
      <c r="A14" s="53">
        <v>101000</v>
      </c>
      <c r="B14" s="53"/>
      <c r="C14" s="53"/>
      <c r="D14" s="54"/>
      <c r="F14" s="53">
        <v>101000</v>
      </c>
      <c r="G14" s="2">
        <v>402923.91211667802</v>
      </c>
      <c r="H14" s="2">
        <v>44335339027.4879</v>
      </c>
      <c r="K14" s="56">
        <v>16648052</v>
      </c>
    </row>
    <row r="15" spans="1:15" x14ac:dyDescent="0.3">
      <c r="A15" s="53">
        <v>121000</v>
      </c>
      <c r="B15" s="53"/>
      <c r="C15" s="53"/>
      <c r="D15" s="54"/>
      <c r="F15" s="53">
        <v>121000</v>
      </c>
      <c r="G15" s="2">
        <v>291444.22795528639</v>
      </c>
      <c r="H15" s="2">
        <v>38919749545.870377</v>
      </c>
    </row>
    <row r="16" spans="1:15" x14ac:dyDescent="0.3">
      <c r="A16" s="53">
        <v>151500</v>
      </c>
      <c r="B16" s="53">
        <v>231271</v>
      </c>
      <c r="C16" s="53">
        <v>47355665000</v>
      </c>
      <c r="D16" s="54">
        <v>1.7048248276095781</v>
      </c>
      <c r="F16" s="53">
        <v>151000</v>
      </c>
      <c r="G16" s="2">
        <v>232044.48160535117</v>
      </c>
      <c r="H16" s="2">
        <v>47472460722.408028</v>
      </c>
    </row>
    <row r="17" spans="1:9" x14ac:dyDescent="0.3">
      <c r="A17" s="53">
        <v>301000</v>
      </c>
      <c r="B17" s="53">
        <v>42433</v>
      </c>
      <c r="C17" s="53">
        <v>15653806000</v>
      </c>
      <c r="D17" s="54">
        <v>1.5997723119024918</v>
      </c>
      <c r="F17" s="53">
        <v>301000</v>
      </c>
      <c r="G17" s="55">
        <v>42433</v>
      </c>
      <c r="H17" s="55">
        <v>15653806000</v>
      </c>
    </row>
    <row r="18" spans="1:9" x14ac:dyDescent="0.3">
      <c r="A18" s="53">
        <v>501000</v>
      </c>
      <c r="B18" s="53">
        <v>8415</v>
      </c>
      <c r="C18" s="53">
        <v>4967404000</v>
      </c>
      <c r="D18" s="54">
        <v>1.6944554924591162</v>
      </c>
      <c r="F18" s="53">
        <v>501000</v>
      </c>
      <c r="G18" s="55">
        <v>8415</v>
      </c>
      <c r="H18" s="55">
        <v>4967404000</v>
      </c>
    </row>
    <row r="19" spans="1:9" x14ac:dyDescent="0.3">
      <c r="A19" s="53">
        <v>751000</v>
      </c>
      <c r="B19" s="53">
        <v>2279</v>
      </c>
      <c r="C19" s="53">
        <v>1956264000</v>
      </c>
      <c r="D19" s="54">
        <v>1.7613139661668902</v>
      </c>
      <c r="F19" s="53">
        <v>751000</v>
      </c>
      <c r="G19" s="55">
        <v>2279</v>
      </c>
      <c r="H19" s="55">
        <v>1956264000</v>
      </c>
    </row>
    <row r="20" spans="1:9" x14ac:dyDescent="0.3">
      <c r="A20" s="53">
        <v>1001000</v>
      </c>
      <c r="B20" s="53">
        <v>1338</v>
      </c>
      <c r="C20" s="53">
        <v>1611174000</v>
      </c>
      <c r="D20" s="54">
        <v>1.7783046685380308</v>
      </c>
      <c r="F20" s="53">
        <v>1001000</v>
      </c>
      <c r="G20" s="55">
        <v>1338</v>
      </c>
      <c r="H20" s="55">
        <v>1611174000</v>
      </c>
    </row>
    <row r="21" spans="1:9" x14ac:dyDescent="0.3">
      <c r="A21" s="53">
        <v>1501000</v>
      </c>
      <c r="B21" s="53">
        <v>789</v>
      </c>
      <c r="C21" s="53">
        <v>1544331000</v>
      </c>
      <c r="D21" s="54">
        <v>1.711931116960278</v>
      </c>
      <c r="F21" s="53">
        <v>1501000</v>
      </c>
      <c r="G21" s="55">
        <v>789</v>
      </c>
      <c r="H21" s="55">
        <v>1544331000</v>
      </c>
    </row>
    <row r="22" spans="1:9" x14ac:dyDescent="0.3">
      <c r="A22" s="53">
        <v>3000000</v>
      </c>
      <c r="B22" s="53">
        <v>187</v>
      </c>
      <c r="C22" s="53">
        <v>963607000</v>
      </c>
      <c r="D22" s="54">
        <v>1.7176595365418894</v>
      </c>
      <c r="F22" s="53">
        <v>3000000</v>
      </c>
      <c r="G22" s="55">
        <v>187</v>
      </c>
      <c r="H22" s="55">
        <v>963607000</v>
      </c>
    </row>
    <row r="23" spans="1:9" x14ac:dyDescent="0.3">
      <c r="A23" s="51" t="s">
        <v>56</v>
      </c>
      <c r="B23" s="51" t="s">
        <v>85</v>
      </c>
      <c r="C23" s="51" t="s">
        <v>86</v>
      </c>
      <c r="D23" s="52" t="s">
        <v>59</v>
      </c>
      <c r="E23">
        <v>151500</v>
      </c>
      <c r="G23" s="2"/>
      <c r="H23" s="2"/>
    </row>
    <row r="24" spans="1:9" x14ac:dyDescent="0.3">
      <c r="A24" s="53">
        <v>101000</v>
      </c>
      <c r="B24" s="53"/>
      <c r="C24" s="53"/>
      <c r="D24" s="54"/>
      <c r="F24" s="53">
        <v>101000</v>
      </c>
      <c r="G24" s="2">
        <v>74028.477196664375</v>
      </c>
      <c r="H24" s="2">
        <v>8145651165.1568441</v>
      </c>
    </row>
    <row r="25" spans="1:9" x14ac:dyDescent="0.3">
      <c r="A25" s="53">
        <v>121000</v>
      </c>
      <c r="B25" s="53"/>
      <c r="C25" s="53"/>
      <c r="D25" s="54"/>
      <c r="F25" s="53">
        <v>121000</v>
      </c>
      <c r="G25" s="2">
        <v>53546.517678602482</v>
      </c>
      <c r="H25" s="2">
        <v>7150654764.1233797</v>
      </c>
    </row>
    <row r="26" spans="1:9" x14ac:dyDescent="0.3">
      <c r="A26" s="53">
        <v>151500</v>
      </c>
      <c r="B26" s="53">
        <v>42491</v>
      </c>
      <c r="C26" s="53">
        <v>8501798000</v>
      </c>
      <c r="D26" s="54">
        <v>1.8849367410255955</v>
      </c>
      <c r="F26" s="53">
        <v>151000</v>
      </c>
      <c r="G26" s="2">
        <v>42633.110367892979</v>
      </c>
      <c r="H26" s="2">
        <v>8523256665.5518398</v>
      </c>
    </row>
    <row r="27" spans="1:9" x14ac:dyDescent="0.3">
      <c r="A27" s="53">
        <v>301000</v>
      </c>
      <c r="B27" s="53">
        <v>8199</v>
      </c>
      <c r="C27" s="53">
        <v>3078849000</v>
      </c>
      <c r="D27" s="54">
        <v>1.9110381662401246</v>
      </c>
      <c r="F27" s="53">
        <v>301000</v>
      </c>
      <c r="G27" s="55">
        <v>8199</v>
      </c>
      <c r="H27" s="55">
        <v>3078849000</v>
      </c>
      <c r="I27" s="54"/>
    </row>
    <row r="28" spans="1:9" x14ac:dyDescent="0.3">
      <c r="A28" s="53">
        <v>501000</v>
      </c>
      <c r="B28" s="53">
        <v>2434</v>
      </c>
      <c r="C28" s="53">
        <v>1460469000</v>
      </c>
      <c r="D28" s="54">
        <v>1.9010313857426819</v>
      </c>
      <c r="F28" s="53">
        <v>501000</v>
      </c>
      <c r="G28" s="55">
        <v>2434</v>
      </c>
      <c r="H28" s="55">
        <v>1460469000</v>
      </c>
      <c r="I28" s="54"/>
    </row>
    <row r="29" spans="1:9" x14ac:dyDescent="0.3">
      <c r="A29" s="53">
        <v>751000</v>
      </c>
      <c r="B29" s="53">
        <v>847</v>
      </c>
      <c r="C29" s="53">
        <v>732721000</v>
      </c>
      <c r="D29" s="54">
        <v>1.8670941803168226</v>
      </c>
      <c r="F29" s="53">
        <v>751000</v>
      </c>
      <c r="G29" s="55">
        <v>847</v>
      </c>
      <c r="H29" s="55">
        <v>732721000</v>
      </c>
      <c r="I29" s="54"/>
    </row>
    <row r="30" spans="1:9" x14ac:dyDescent="0.3">
      <c r="A30" s="53">
        <v>1001000</v>
      </c>
      <c r="B30" s="53">
        <v>613</v>
      </c>
      <c r="C30" s="53">
        <v>738069000</v>
      </c>
      <c r="D30" s="54">
        <v>1.8295393285959323</v>
      </c>
      <c r="F30" s="53">
        <v>1001000</v>
      </c>
      <c r="G30" s="55">
        <v>613</v>
      </c>
      <c r="H30" s="55">
        <v>738069000</v>
      </c>
      <c r="I30" s="54"/>
    </row>
    <row r="31" spans="1:9" x14ac:dyDescent="0.3">
      <c r="A31" s="53">
        <v>1501000</v>
      </c>
      <c r="B31" s="53">
        <v>348</v>
      </c>
      <c r="C31" s="53">
        <v>691622000</v>
      </c>
      <c r="D31" s="54">
        <v>1.7932593781625077</v>
      </c>
      <c r="F31" s="53">
        <v>1501000</v>
      </c>
      <c r="G31" s="55">
        <v>348</v>
      </c>
      <c r="H31" s="55">
        <v>691622000</v>
      </c>
      <c r="I31" s="54"/>
    </row>
    <row r="32" spans="1:9" x14ac:dyDescent="0.3">
      <c r="A32" s="53">
        <v>3000000</v>
      </c>
      <c r="B32" s="53">
        <v>99</v>
      </c>
      <c r="C32" s="53">
        <v>511560000</v>
      </c>
      <c r="D32" s="54">
        <v>1.7224242424242424</v>
      </c>
      <c r="F32" s="53">
        <v>3000000</v>
      </c>
      <c r="G32" s="55">
        <v>99</v>
      </c>
      <c r="H32" s="55">
        <v>511560000</v>
      </c>
      <c r="I32" s="54"/>
    </row>
    <row r="33" spans="1:8" x14ac:dyDescent="0.3">
      <c r="A33" s="51" t="s">
        <v>56</v>
      </c>
      <c r="B33" s="51" t="s">
        <v>64</v>
      </c>
      <c r="C33" s="51" t="s">
        <v>65</v>
      </c>
      <c r="D33" s="52" t="s">
        <v>59</v>
      </c>
      <c r="E33">
        <v>202000</v>
      </c>
      <c r="G33" s="2"/>
      <c r="H33" s="2"/>
    </row>
    <row r="34" spans="1:8" x14ac:dyDescent="0.3">
      <c r="A34" s="53">
        <v>101000</v>
      </c>
      <c r="B34" s="53"/>
      <c r="C34" s="53"/>
      <c r="D34" s="54"/>
      <c r="F34" s="53">
        <v>101000</v>
      </c>
      <c r="G34" s="2">
        <v>647300.92534305423</v>
      </c>
      <c r="H34" s="2">
        <v>71225124930.238785</v>
      </c>
    </row>
    <row r="35" spans="1:8" x14ac:dyDescent="0.3">
      <c r="A35" s="53">
        <v>121000</v>
      </c>
      <c r="B35" s="53"/>
      <c r="C35" s="53"/>
      <c r="D35" s="54"/>
      <c r="F35" s="53">
        <v>121000</v>
      </c>
      <c r="G35" s="2">
        <v>468207.79995484446</v>
      </c>
      <c r="H35" s="2">
        <v>62524931227.875404</v>
      </c>
    </row>
    <row r="36" spans="1:8" x14ac:dyDescent="0.3">
      <c r="A36" s="53">
        <v>202000</v>
      </c>
      <c r="B36" s="53">
        <v>167682</v>
      </c>
      <c r="C36" s="53">
        <v>40128448000</v>
      </c>
      <c r="D36" s="54">
        <v>1.701239138852999</v>
      </c>
      <c r="F36" s="53">
        <v>151000</v>
      </c>
      <c r="G36" s="2">
        <v>372781.5678023044</v>
      </c>
      <c r="H36" s="2">
        <v>76264939433.59726</v>
      </c>
    </row>
    <row r="37" spans="1:8" x14ac:dyDescent="0.3">
      <c r="A37" s="53">
        <v>301000</v>
      </c>
      <c r="B37" s="53">
        <v>68169</v>
      </c>
      <c r="C37" s="53">
        <v>25308655000</v>
      </c>
      <c r="D37" s="54">
        <v>1.7523447345150736</v>
      </c>
      <c r="F37" s="53">
        <v>301000</v>
      </c>
      <c r="G37" s="55">
        <v>68169</v>
      </c>
      <c r="H37" s="55">
        <v>25308655000</v>
      </c>
    </row>
    <row r="38" spans="1:8" x14ac:dyDescent="0.3">
      <c r="A38" s="53">
        <v>501000</v>
      </c>
      <c r="B38" s="53">
        <v>16037</v>
      </c>
      <c r="C38" s="53">
        <v>9567596000</v>
      </c>
      <c r="D38" s="54">
        <v>1.8394674967506501</v>
      </c>
      <c r="F38" s="53">
        <v>501000</v>
      </c>
      <c r="G38" s="55">
        <v>16037</v>
      </c>
      <c r="H38" s="55">
        <v>9567596000</v>
      </c>
    </row>
    <row r="39" spans="1:8" x14ac:dyDescent="0.3">
      <c r="A39" s="53">
        <v>751000</v>
      </c>
      <c r="B39" s="53">
        <v>4917</v>
      </c>
      <c r="C39" s="53">
        <v>4193288000</v>
      </c>
      <c r="D39" s="54">
        <v>1.8592116725927199</v>
      </c>
      <c r="F39" s="53">
        <v>751000</v>
      </c>
      <c r="G39" s="55">
        <v>4917</v>
      </c>
      <c r="H39" s="55">
        <v>4193288000</v>
      </c>
    </row>
    <row r="40" spans="1:8" x14ac:dyDescent="0.3">
      <c r="A40" s="53">
        <v>1001000</v>
      </c>
      <c r="B40" s="53">
        <v>3493</v>
      </c>
      <c r="C40" s="53">
        <v>4219695000</v>
      </c>
      <c r="D40" s="54">
        <v>1.8352380051489257</v>
      </c>
      <c r="F40" s="53">
        <v>1001000</v>
      </c>
      <c r="G40" s="55">
        <v>3493</v>
      </c>
      <c r="H40" s="55">
        <v>4219695000</v>
      </c>
    </row>
    <row r="41" spans="1:8" x14ac:dyDescent="0.3">
      <c r="A41" s="53">
        <v>1501000</v>
      </c>
      <c r="B41" s="53">
        <v>2025</v>
      </c>
      <c r="C41" s="53">
        <v>4049273000</v>
      </c>
      <c r="D41" s="54">
        <v>1.7937031209763106</v>
      </c>
      <c r="F41" s="53">
        <v>1501000</v>
      </c>
      <c r="G41" s="55">
        <v>2025</v>
      </c>
      <c r="H41" s="55">
        <v>4049273000</v>
      </c>
    </row>
    <row r="42" spans="1:8" x14ac:dyDescent="0.3">
      <c r="A42" s="53">
        <v>3000000</v>
      </c>
      <c r="B42" s="53">
        <v>544</v>
      </c>
      <c r="C42" s="53">
        <v>2867370000</v>
      </c>
      <c r="D42" s="54">
        <v>1.7569669117647058</v>
      </c>
      <c r="F42" s="53">
        <v>3000000</v>
      </c>
      <c r="G42" s="55">
        <v>544</v>
      </c>
      <c r="H42" s="55">
        <v>2867370000</v>
      </c>
    </row>
    <row r="43" spans="1:8" x14ac:dyDescent="0.3">
      <c r="A43" s="51" t="s">
        <v>56</v>
      </c>
      <c r="B43" s="51" t="s">
        <v>66</v>
      </c>
      <c r="C43" s="51" t="s">
        <v>67</v>
      </c>
      <c r="D43" s="52" t="s">
        <v>59</v>
      </c>
      <c r="E43">
        <v>202000</v>
      </c>
      <c r="G43" s="2"/>
      <c r="H43" s="2"/>
    </row>
    <row r="44" spans="1:8" x14ac:dyDescent="0.3">
      <c r="A44" s="53">
        <v>101000</v>
      </c>
      <c r="B44" s="53"/>
      <c r="C44" s="53"/>
      <c r="D44" s="54"/>
      <c r="F44" s="53">
        <v>101000</v>
      </c>
      <c r="G44" s="2">
        <v>12297.4491940306</v>
      </c>
      <c r="H44" s="2">
        <v>1353137807.8965268</v>
      </c>
    </row>
    <row r="45" spans="1:8" x14ac:dyDescent="0.3">
      <c r="A45" s="53">
        <v>121000</v>
      </c>
      <c r="B45" s="53"/>
      <c r="C45" s="53"/>
      <c r="D45" s="54"/>
      <c r="F45" s="53">
        <v>121000</v>
      </c>
      <c r="G45" s="2">
        <v>8895.0307450001947</v>
      </c>
      <c r="H45" s="2">
        <v>1187851175.5989809</v>
      </c>
    </row>
    <row r="46" spans="1:8" x14ac:dyDescent="0.3">
      <c r="A46" s="53">
        <v>202000</v>
      </c>
      <c r="B46" s="53">
        <v>3120</v>
      </c>
      <c r="C46" s="53">
        <v>763788000</v>
      </c>
      <c r="D46" s="54">
        <v>1.6732322026040025</v>
      </c>
      <c r="F46" s="53">
        <v>151000</v>
      </c>
      <c r="G46" s="2">
        <v>7082.1193219990537</v>
      </c>
      <c r="H46" s="2">
        <v>1415864810.1575322</v>
      </c>
    </row>
    <row r="47" spans="1:8" x14ac:dyDescent="0.3">
      <c r="A47" s="53">
        <v>301000</v>
      </c>
      <c r="B47" s="53">
        <v>1362</v>
      </c>
      <c r="C47" s="53">
        <v>504238000</v>
      </c>
      <c r="D47" s="54">
        <v>1.6556889793719409</v>
      </c>
      <c r="F47" s="53">
        <v>301000</v>
      </c>
      <c r="G47" s="55">
        <v>1362</v>
      </c>
      <c r="H47" s="55">
        <v>504238000</v>
      </c>
    </row>
    <row r="48" spans="1:8" x14ac:dyDescent="0.3">
      <c r="A48" s="53">
        <v>501000</v>
      </c>
      <c r="B48" s="53">
        <v>283</v>
      </c>
      <c r="C48" s="53">
        <v>173387000</v>
      </c>
      <c r="D48" s="54">
        <v>1.7671663325234233</v>
      </c>
      <c r="F48" s="53">
        <v>501000</v>
      </c>
      <c r="G48" s="55">
        <v>283</v>
      </c>
      <c r="H48" s="55">
        <v>173387000</v>
      </c>
    </row>
    <row r="49" spans="1:8" x14ac:dyDescent="0.3">
      <c r="A49" s="53">
        <v>751000</v>
      </c>
      <c r="B49" s="53">
        <v>86</v>
      </c>
      <c r="C49" s="53">
        <v>71455000</v>
      </c>
      <c r="D49" s="54">
        <v>1.7905174053642761</v>
      </c>
      <c r="F49" s="53">
        <v>751000</v>
      </c>
      <c r="G49" s="55">
        <v>86</v>
      </c>
      <c r="H49" s="55">
        <v>71455000</v>
      </c>
    </row>
    <row r="50" spans="1:8" x14ac:dyDescent="0.3">
      <c r="A50" s="53">
        <v>1001000</v>
      </c>
      <c r="B50" s="53">
        <v>46</v>
      </c>
      <c r="C50" s="53">
        <v>55489000</v>
      </c>
      <c r="D50" s="54">
        <v>1.8816671133744305</v>
      </c>
      <c r="F50" s="53">
        <v>1001000</v>
      </c>
      <c r="G50" s="55">
        <v>46</v>
      </c>
      <c r="H50" s="55">
        <v>55489000</v>
      </c>
    </row>
    <row r="51" spans="1:8" x14ac:dyDescent="0.3">
      <c r="A51" s="53">
        <v>1501000</v>
      </c>
      <c r="B51" s="53">
        <v>25</v>
      </c>
      <c r="C51" s="53">
        <v>47790000</v>
      </c>
      <c r="D51" s="54">
        <v>1.8314086905026279</v>
      </c>
      <c r="F51" s="53">
        <v>1501000</v>
      </c>
      <c r="G51" s="55">
        <v>25</v>
      </c>
      <c r="H51" s="55">
        <v>47790000</v>
      </c>
    </row>
    <row r="52" spans="1:8" x14ac:dyDescent="0.3">
      <c r="A52" s="53">
        <v>3000000</v>
      </c>
      <c r="B52" s="53">
        <v>11</v>
      </c>
      <c r="C52" s="53">
        <v>51172000</v>
      </c>
      <c r="D52" s="54">
        <v>1.5506666666666666</v>
      </c>
      <c r="F52" s="53">
        <v>3000000</v>
      </c>
      <c r="G52" s="55">
        <v>11</v>
      </c>
      <c r="H52" s="55">
        <v>51172000</v>
      </c>
    </row>
    <row r="53" spans="1:8" x14ac:dyDescent="0.3">
      <c r="A53" s="51" t="s">
        <v>56</v>
      </c>
      <c r="B53" s="51" t="s">
        <v>68</v>
      </c>
      <c r="C53" s="51" t="s">
        <v>69</v>
      </c>
      <c r="D53" s="52" t="s">
        <v>59</v>
      </c>
      <c r="E53">
        <v>2525000</v>
      </c>
      <c r="G53" s="2"/>
      <c r="H53" s="2"/>
    </row>
    <row r="54" spans="1:8" x14ac:dyDescent="0.3">
      <c r="A54" s="53">
        <v>101000</v>
      </c>
      <c r="B54" s="53"/>
      <c r="C54" s="53"/>
      <c r="D54" s="54"/>
      <c r="F54" s="53">
        <v>101000</v>
      </c>
      <c r="G54" s="2">
        <v>847666.14744787896</v>
      </c>
      <c r="H54" s="2">
        <v>93272116394.877701</v>
      </c>
    </row>
    <row r="55" spans="1:8" x14ac:dyDescent="0.3">
      <c r="A55" s="53">
        <v>121000</v>
      </c>
      <c r="B55" s="53"/>
      <c r="C55" s="53"/>
      <c r="D55" s="54"/>
      <c r="F55" s="53">
        <v>121000</v>
      </c>
      <c r="G55" s="2">
        <v>613136.62078025157</v>
      </c>
      <c r="H55" s="2">
        <v>81878868851.126434</v>
      </c>
    </row>
    <row r="56" spans="1:8" x14ac:dyDescent="0.3">
      <c r="A56" s="53">
        <v>252500</v>
      </c>
      <c r="B56" s="53">
        <v>75653</v>
      </c>
      <c r="C56" s="53">
        <v>20763684000</v>
      </c>
      <c r="D56" s="54">
        <v>1.57185264042166</v>
      </c>
      <c r="F56" s="53">
        <v>151000</v>
      </c>
      <c r="G56" s="2">
        <v>488172.19788630778</v>
      </c>
      <c r="H56" s="2">
        <v>99871952694.585922</v>
      </c>
    </row>
    <row r="57" spans="1:8" x14ac:dyDescent="0.3">
      <c r="A57" s="53">
        <v>301000</v>
      </c>
      <c r="B57" s="53">
        <v>89270</v>
      </c>
      <c r="C57" s="53">
        <v>32699000000</v>
      </c>
      <c r="D57" s="54">
        <v>1.5840463521613026</v>
      </c>
      <c r="F57" s="53">
        <v>301000</v>
      </c>
      <c r="G57" s="55">
        <v>89270</v>
      </c>
      <c r="H57" s="55">
        <v>32699000000</v>
      </c>
    </row>
    <row r="58" spans="1:8" x14ac:dyDescent="0.3">
      <c r="A58" s="53">
        <v>501000</v>
      </c>
      <c r="B58" s="53">
        <v>16854</v>
      </c>
      <c r="C58" s="53">
        <v>10044302000</v>
      </c>
      <c r="D58" s="54">
        <v>1.6905894755071065</v>
      </c>
      <c r="F58" s="53">
        <v>501000</v>
      </c>
      <c r="G58" s="55">
        <v>16854</v>
      </c>
      <c r="H58" s="55">
        <v>10044302000</v>
      </c>
    </row>
    <row r="59" spans="1:8" x14ac:dyDescent="0.3">
      <c r="A59" s="53">
        <v>751000</v>
      </c>
      <c r="B59" s="53">
        <v>4848</v>
      </c>
      <c r="C59" s="53">
        <v>4118573000</v>
      </c>
      <c r="D59" s="54">
        <v>1.7030132310142871</v>
      </c>
      <c r="F59" s="53">
        <v>751000</v>
      </c>
      <c r="G59" s="55">
        <v>4848</v>
      </c>
      <c r="H59" s="55">
        <v>4118573000</v>
      </c>
    </row>
    <row r="60" spans="1:8" x14ac:dyDescent="0.3">
      <c r="A60" s="53">
        <v>1001000</v>
      </c>
      <c r="B60" s="53">
        <v>2997</v>
      </c>
      <c r="C60" s="53">
        <v>3579461000</v>
      </c>
      <c r="D60" s="54">
        <v>1.6981784895250323</v>
      </c>
      <c r="F60" s="53">
        <v>1001000</v>
      </c>
      <c r="G60" s="55">
        <v>2997</v>
      </c>
      <c r="H60" s="55">
        <v>3579461000</v>
      </c>
    </row>
    <row r="61" spans="1:8" x14ac:dyDescent="0.3">
      <c r="A61" s="53">
        <v>1501000</v>
      </c>
      <c r="B61" s="53">
        <v>1599</v>
      </c>
      <c r="C61" s="53">
        <v>3186326000</v>
      </c>
      <c r="D61" s="54">
        <v>1.6503890513900601</v>
      </c>
      <c r="F61" s="53">
        <v>1501000</v>
      </c>
      <c r="G61" s="55">
        <v>1599</v>
      </c>
      <c r="H61" s="55">
        <v>3186326000</v>
      </c>
    </row>
    <row r="62" spans="1:8" x14ac:dyDescent="0.3">
      <c r="A62" s="53">
        <v>3000000</v>
      </c>
      <c r="B62" s="53">
        <v>350</v>
      </c>
      <c r="C62" s="53">
        <v>1641803000</v>
      </c>
      <c r="D62" s="54">
        <v>1.5636219047619049</v>
      </c>
      <c r="F62" s="53">
        <v>3000000</v>
      </c>
      <c r="G62" s="55">
        <v>350</v>
      </c>
      <c r="H62" s="55">
        <v>1641803000</v>
      </c>
    </row>
    <row r="63" spans="1:8" x14ac:dyDescent="0.3">
      <c r="A63" s="51" t="s">
        <v>56</v>
      </c>
      <c r="B63" s="51" t="s">
        <v>70</v>
      </c>
      <c r="C63" s="51" t="s">
        <v>71</v>
      </c>
      <c r="D63" s="52" t="s">
        <v>59</v>
      </c>
      <c r="E63">
        <v>303000</v>
      </c>
      <c r="G63" s="2"/>
      <c r="H63" s="2"/>
    </row>
    <row r="64" spans="1:8" x14ac:dyDescent="0.3">
      <c r="A64" s="53">
        <v>101000</v>
      </c>
      <c r="B64" s="53"/>
      <c r="C64" s="53"/>
      <c r="D64" s="54"/>
      <c r="F64" s="53">
        <v>101000</v>
      </c>
      <c r="G64" s="2">
        <v>555411.89423374913</v>
      </c>
      <c r="H64" s="2">
        <v>61114205164.427765</v>
      </c>
    </row>
    <row r="65" spans="1:8" x14ac:dyDescent="0.3">
      <c r="A65" s="53">
        <v>121000</v>
      </c>
      <c r="B65" s="53"/>
      <c r="C65" s="53"/>
      <c r="D65" s="54"/>
      <c r="F65" s="53">
        <v>121000</v>
      </c>
      <c r="G65" s="2">
        <v>401742.32862422842</v>
      </c>
      <c r="H65" s="2">
        <v>53649066655.828789</v>
      </c>
    </row>
    <row r="66" spans="1:8" x14ac:dyDescent="0.3">
      <c r="A66" s="53">
        <v>151000</v>
      </c>
      <c r="B66" s="53"/>
      <c r="C66" s="53"/>
      <c r="D66" s="54"/>
      <c r="F66" s="53">
        <v>151000</v>
      </c>
      <c r="G66" s="2">
        <v>319862.53781233897</v>
      </c>
      <c r="H66" s="2">
        <v>65438581679.745674</v>
      </c>
    </row>
    <row r="67" spans="1:8" x14ac:dyDescent="0.3">
      <c r="A67" s="53">
        <v>303000</v>
      </c>
      <c r="B67" s="53">
        <v>57907</v>
      </c>
      <c r="C67" s="53">
        <v>21483065000</v>
      </c>
      <c r="D67" s="54">
        <v>1.6508973163039971</v>
      </c>
      <c r="F67" s="53">
        <v>301000</v>
      </c>
      <c r="G67" s="2">
        <v>58491.919191919194</v>
      </c>
      <c r="H67" s="2">
        <v>21659125676.767677</v>
      </c>
    </row>
    <row r="68" spans="1:8" x14ac:dyDescent="0.3">
      <c r="A68" s="53">
        <v>501000</v>
      </c>
      <c r="B68" s="53">
        <v>13459</v>
      </c>
      <c r="C68" s="53">
        <v>8024456000</v>
      </c>
      <c r="D68" s="54">
        <v>1.7005901701978452</v>
      </c>
      <c r="F68" s="53">
        <v>501000</v>
      </c>
      <c r="G68" s="55">
        <v>13459</v>
      </c>
      <c r="H68" s="55">
        <v>8024456000</v>
      </c>
    </row>
    <row r="69" spans="1:8" x14ac:dyDescent="0.3">
      <c r="A69" s="53">
        <v>751000</v>
      </c>
      <c r="B69" s="53">
        <v>3871</v>
      </c>
      <c r="C69" s="53">
        <v>3306128000</v>
      </c>
      <c r="D69" s="54">
        <v>1.7211158094130612</v>
      </c>
      <c r="F69" s="53">
        <v>751000</v>
      </c>
      <c r="G69" s="55">
        <v>3871</v>
      </c>
      <c r="H69" s="55">
        <v>3306128000</v>
      </c>
    </row>
    <row r="70" spans="1:8" x14ac:dyDescent="0.3">
      <c r="A70" s="53">
        <v>1001000</v>
      </c>
      <c r="B70" s="53">
        <v>2320</v>
      </c>
      <c r="C70" s="53">
        <v>2805189000</v>
      </c>
      <c r="D70" s="54">
        <v>1.7213119115224111</v>
      </c>
      <c r="F70" s="53">
        <v>1001000</v>
      </c>
      <c r="G70" s="55">
        <v>2320</v>
      </c>
      <c r="H70" s="55">
        <v>2805189000</v>
      </c>
    </row>
    <row r="71" spans="1:8" x14ac:dyDescent="0.3">
      <c r="A71" s="53">
        <v>1501000</v>
      </c>
      <c r="B71" s="53">
        <v>1320</v>
      </c>
      <c r="C71" s="53">
        <v>2623623000</v>
      </c>
      <c r="D71" s="54">
        <v>1.6373274255856538</v>
      </c>
      <c r="F71" s="53">
        <v>1501000</v>
      </c>
      <c r="G71" s="55">
        <v>1320</v>
      </c>
      <c r="H71" s="55">
        <v>2623623000</v>
      </c>
    </row>
    <row r="72" spans="1:8" x14ac:dyDescent="0.3">
      <c r="A72" s="53">
        <v>3000000</v>
      </c>
      <c r="B72" s="53">
        <v>303</v>
      </c>
      <c r="C72" s="53">
        <v>1365108000</v>
      </c>
      <c r="D72" s="54">
        <v>1.5017689768976898</v>
      </c>
      <c r="F72" s="53">
        <v>3000000</v>
      </c>
      <c r="G72" s="55">
        <v>303</v>
      </c>
      <c r="H72" s="55">
        <v>1365108000</v>
      </c>
    </row>
    <row r="73" spans="1:8" x14ac:dyDescent="0.3">
      <c r="A73" s="51" t="s">
        <v>56</v>
      </c>
      <c r="B73" s="51" t="s">
        <v>72</v>
      </c>
      <c r="C73" s="51" t="s">
        <v>73</v>
      </c>
      <c r="D73" s="52" t="s">
        <v>59</v>
      </c>
      <c r="E73">
        <v>353500</v>
      </c>
      <c r="G73" s="2"/>
      <c r="H73" s="2"/>
    </row>
    <row r="74" spans="1:8" x14ac:dyDescent="0.3">
      <c r="A74" s="53">
        <v>101000</v>
      </c>
      <c r="B74" s="53"/>
      <c r="C74" s="53"/>
      <c r="D74" s="54"/>
      <c r="F74" s="53">
        <v>101000</v>
      </c>
      <c r="G74" s="2">
        <v>305664.30645585706</v>
      </c>
      <c r="H74" s="2">
        <v>33633473337.760349</v>
      </c>
    </row>
    <row r="75" spans="1:8" x14ac:dyDescent="0.3">
      <c r="A75" s="53">
        <v>121000</v>
      </c>
      <c r="B75" s="53"/>
      <c r="C75" s="53"/>
      <c r="D75" s="54"/>
      <c r="F75" s="53">
        <v>121000</v>
      </c>
      <c r="G75" s="2">
        <v>221094.09526113828</v>
      </c>
      <c r="H75" s="2">
        <v>29525123465.318661</v>
      </c>
    </row>
    <row r="76" spans="1:8" x14ac:dyDescent="0.3">
      <c r="A76" s="53">
        <v>151000</v>
      </c>
      <c r="B76" s="53"/>
      <c r="C76" s="53"/>
      <c r="D76" s="54"/>
      <c r="F76" s="53">
        <v>151000</v>
      </c>
      <c r="G76" s="2">
        <v>176032.52972553644</v>
      </c>
      <c r="H76" s="2">
        <v>36013342336.122757</v>
      </c>
    </row>
    <row r="77" spans="1:8" x14ac:dyDescent="0.3">
      <c r="A77" s="53">
        <v>353500</v>
      </c>
      <c r="B77" s="53">
        <v>16406</v>
      </c>
      <c r="C77" s="53">
        <v>6751790000</v>
      </c>
      <c r="D77" s="54">
        <v>1.7559699255773835</v>
      </c>
      <c r="F77" s="53">
        <v>301000</v>
      </c>
      <c r="G77" s="2">
        <v>32190.329553053383</v>
      </c>
      <c r="H77" s="2">
        <v>11919841287.452127</v>
      </c>
    </row>
    <row r="78" spans="1:8" x14ac:dyDescent="0.3">
      <c r="A78" s="53">
        <v>501000</v>
      </c>
      <c r="B78" s="53">
        <v>7407</v>
      </c>
      <c r="C78" s="53">
        <v>4430868000</v>
      </c>
      <c r="D78" s="54">
        <v>1.792104446738336</v>
      </c>
      <c r="F78" s="53">
        <v>501000</v>
      </c>
      <c r="G78" s="55">
        <v>7407</v>
      </c>
      <c r="H78" s="55">
        <v>4430868000</v>
      </c>
    </row>
    <row r="79" spans="1:8" x14ac:dyDescent="0.3">
      <c r="A79" s="53">
        <v>751000</v>
      </c>
      <c r="B79" s="53">
        <v>2379</v>
      </c>
      <c r="C79" s="53">
        <v>2051194000</v>
      </c>
      <c r="D79" s="54">
        <v>1.7892131503783089</v>
      </c>
      <c r="F79" s="53">
        <v>751000</v>
      </c>
      <c r="G79" s="55">
        <v>2379</v>
      </c>
      <c r="H79" s="55">
        <v>2051194000</v>
      </c>
    </row>
    <row r="80" spans="1:8" x14ac:dyDescent="0.3">
      <c r="A80" s="53">
        <v>1001000</v>
      </c>
      <c r="B80" s="53">
        <v>1543</v>
      </c>
      <c r="C80" s="53">
        <v>1865182000</v>
      </c>
      <c r="D80" s="54">
        <v>1.7826498242042683</v>
      </c>
      <c r="F80" s="53">
        <v>1001000</v>
      </c>
      <c r="G80" s="55">
        <v>1543</v>
      </c>
      <c r="H80" s="55">
        <v>1865182000</v>
      </c>
    </row>
    <row r="81" spans="1:8" x14ac:dyDescent="0.3">
      <c r="A81" s="53">
        <v>1501000</v>
      </c>
      <c r="B81" s="53">
        <v>860</v>
      </c>
      <c r="C81" s="53">
        <v>1724173000</v>
      </c>
      <c r="D81" s="54">
        <v>1.7491861486281872</v>
      </c>
      <c r="F81" s="53">
        <v>1501000</v>
      </c>
      <c r="G81" s="55">
        <v>860</v>
      </c>
      <c r="H81" s="55">
        <v>1724173000</v>
      </c>
    </row>
    <row r="82" spans="1:8" x14ac:dyDescent="0.3">
      <c r="A82" s="53">
        <v>3000000</v>
      </c>
      <c r="B82" s="53">
        <v>196</v>
      </c>
      <c r="C82" s="53">
        <v>1048385000</v>
      </c>
      <c r="D82" s="54">
        <v>1.7829676870748299</v>
      </c>
      <c r="F82" s="53">
        <v>3000000</v>
      </c>
      <c r="G82" s="55">
        <v>196</v>
      </c>
      <c r="H82" s="55">
        <v>1048385000</v>
      </c>
    </row>
    <row r="83" spans="1:8" x14ac:dyDescent="0.3">
      <c r="A83" s="51" t="s">
        <v>56</v>
      </c>
      <c r="B83" s="51" t="s">
        <v>74</v>
      </c>
      <c r="C83" s="51" t="s">
        <v>75</v>
      </c>
      <c r="D83" s="52" t="s">
        <v>59</v>
      </c>
      <c r="E83">
        <v>404000</v>
      </c>
      <c r="G83" s="2"/>
      <c r="H83" s="2"/>
    </row>
    <row r="84" spans="1:8" x14ac:dyDescent="0.3">
      <c r="A84" s="53">
        <v>101000</v>
      </c>
      <c r="B84" s="53"/>
      <c r="C84" s="53"/>
      <c r="D84" s="54"/>
      <c r="F84" s="53">
        <v>101000</v>
      </c>
      <c r="G84" s="2">
        <v>158093.68948729424</v>
      </c>
      <c r="H84" s="2">
        <v>17395684670.846481</v>
      </c>
    </row>
    <row r="85" spans="1:8" x14ac:dyDescent="0.3">
      <c r="A85" s="53">
        <v>121000</v>
      </c>
      <c r="B85" s="53"/>
      <c r="C85" s="53"/>
      <c r="D85" s="54"/>
      <c r="F85" s="53">
        <v>121000</v>
      </c>
      <c r="G85" s="2">
        <v>114352.83906378029</v>
      </c>
      <c r="H85" s="2">
        <v>15270790872.90884</v>
      </c>
    </row>
    <row r="86" spans="1:8" x14ac:dyDescent="0.3">
      <c r="A86" s="53">
        <v>151000</v>
      </c>
      <c r="B86" s="53"/>
      <c r="C86" s="53"/>
      <c r="D86" s="54"/>
      <c r="F86" s="53">
        <v>151000</v>
      </c>
      <c r="G86" s="2">
        <v>91046.39143763062</v>
      </c>
      <c r="H86" s="2">
        <v>18626584918.278152</v>
      </c>
    </row>
    <row r="87" spans="1:8" x14ac:dyDescent="0.3">
      <c r="A87" s="53">
        <v>404000</v>
      </c>
      <c r="B87" s="53">
        <v>3893</v>
      </c>
      <c r="C87" s="53">
        <v>1748470000</v>
      </c>
      <c r="D87" s="54">
        <v>1.8176712670789479</v>
      </c>
      <c r="F87" s="53">
        <v>301000</v>
      </c>
      <c r="G87" s="2">
        <v>16649.271299817403</v>
      </c>
      <c r="H87" s="2">
        <v>6165102196.8717556</v>
      </c>
    </row>
    <row r="88" spans="1:8" x14ac:dyDescent="0.3">
      <c r="A88" s="53">
        <v>501000</v>
      </c>
      <c r="B88" s="53">
        <v>3831</v>
      </c>
      <c r="C88" s="53">
        <v>2305008000</v>
      </c>
      <c r="D88" s="54">
        <v>1.8027591410852259</v>
      </c>
      <c r="F88" s="53">
        <v>501000</v>
      </c>
      <c r="G88" s="55">
        <v>3831</v>
      </c>
      <c r="H88" s="55">
        <v>2305008000</v>
      </c>
    </row>
    <row r="89" spans="1:8" x14ac:dyDescent="0.3">
      <c r="A89" s="53">
        <v>751000</v>
      </c>
      <c r="B89" s="53">
        <v>1293</v>
      </c>
      <c r="C89" s="53">
        <v>1113179000</v>
      </c>
      <c r="D89" s="54">
        <v>1.7629530995709424</v>
      </c>
      <c r="F89" s="53">
        <v>751000</v>
      </c>
      <c r="G89" s="55">
        <v>1293</v>
      </c>
      <c r="H89" s="55">
        <v>1113179000</v>
      </c>
    </row>
    <row r="90" spans="1:8" x14ac:dyDescent="0.3">
      <c r="A90" s="53">
        <v>1001000</v>
      </c>
      <c r="B90" s="53">
        <v>859</v>
      </c>
      <c r="C90" s="53">
        <v>1030635000</v>
      </c>
      <c r="D90" s="54">
        <v>1.7345877263232636</v>
      </c>
      <c r="F90" s="53">
        <v>1001000</v>
      </c>
      <c r="G90" s="55">
        <v>859</v>
      </c>
      <c r="H90" s="55">
        <v>1030635000</v>
      </c>
    </row>
    <row r="91" spans="1:8" x14ac:dyDescent="0.3">
      <c r="A91" s="53">
        <v>1501000</v>
      </c>
      <c r="B91" s="53">
        <v>480</v>
      </c>
      <c r="C91" s="53">
        <v>952445000</v>
      </c>
      <c r="D91" s="54">
        <v>1.6745497380610788</v>
      </c>
      <c r="F91" s="53">
        <v>1501000</v>
      </c>
      <c r="G91" s="55">
        <v>480</v>
      </c>
      <c r="H91" s="55">
        <v>952445000</v>
      </c>
    </row>
    <row r="92" spans="1:8" x14ac:dyDescent="0.3">
      <c r="A92" s="53">
        <v>3000000</v>
      </c>
      <c r="B92" s="53">
        <v>113</v>
      </c>
      <c r="C92" s="53">
        <v>538060000</v>
      </c>
      <c r="D92" s="54">
        <v>1.5871976401179941</v>
      </c>
      <c r="F92" s="53">
        <v>3000000</v>
      </c>
      <c r="G92" s="55">
        <v>113</v>
      </c>
      <c r="H92" s="55">
        <v>538060000</v>
      </c>
    </row>
    <row r="93" spans="1:8" x14ac:dyDescent="0.3">
      <c r="A93" s="51" t="s">
        <v>56</v>
      </c>
      <c r="B93" s="51" t="s">
        <v>76</v>
      </c>
      <c r="C93" s="51" t="s">
        <v>77</v>
      </c>
      <c r="D93" s="52" t="s">
        <v>59</v>
      </c>
      <c r="E93">
        <v>454500</v>
      </c>
      <c r="G93" s="2"/>
      <c r="H93" s="2"/>
    </row>
    <row r="94" spans="1:8" x14ac:dyDescent="0.3">
      <c r="A94" s="53">
        <v>101000</v>
      </c>
      <c r="B94" s="53"/>
      <c r="C94" s="53"/>
      <c r="D94" s="54"/>
      <c r="F94" s="53">
        <v>101000</v>
      </c>
      <c r="G94" s="2">
        <v>78654.808708635566</v>
      </c>
      <c r="H94" s="2">
        <v>8654705033.3159485</v>
      </c>
    </row>
    <row r="95" spans="1:8" x14ac:dyDescent="0.3">
      <c r="A95" s="53">
        <v>121000</v>
      </c>
      <c r="B95" s="53"/>
      <c r="C95" s="53"/>
      <c r="D95" s="54"/>
      <c r="F95" s="53">
        <v>121000</v>
      </c>
      <c r="G95" s="2">
        <v>56892.850758435205</v>
      </c>
      <c r="H95" s="2">
        <v>7597527382.8672028</v>
      </c>
    </row>
    <row r="96" spans="1:8" x14ac:dyDescent="0.3">
      <c r="A96" s="53">
        <v>151000</v>
      </c>
      <c r="B96" s="53"/>
      <c r="C96" s="53"/>
      <c r="D96" s="54"/>
      <c r="F96" s="53">
        <v>151000</v>
      </c>
      <c r="G96" s="2">
        <v>45297.421581864779</v>
      </c>
      <c r="H96" s="2">
        <v>9267102807.1621399</v>
      </c>
    </row>
    <row r="97" spans="1:8" x14ac:dyDescent="0.3">
      <c r="A97" s="53">
        <v>454500</v>
      </c>
      <c r="B97" s="53">
        <v>725</v>
      </c>
      <c r="C97" s="53">
        <v>347081000</v>
      </c>
      <c r="D97" s="54">
        <v>1.9497982694574583</v>
      </c>
      <c r="F97" s="53">
        <v>301000</v>
      </c>
      <c r="G97" s="2">
        <v>8283.3492815066493</v>
      </c>
      <c r="H97" s="2">
        <v>3067263061.1426697</v>
      </c>
    </row>
    <row r="98" spans="1:8" x14ac:dyDescent="0.3">
      <c r="A98" s="53">
        <v>501000</v>
      </c>
      <c r="B98" s="53">
        <v>1906</v>
      </c>
      <c r="C98" s="53">
        <v>1152644000</v>
      </c>
      <c r="D98" s="54">
        <v>1.9387495901568619</v>
      </c>
      <c r="F98" s="53">
        <v>501000</v>
      </c>
      <c r="G98" s="55">
        <v>1906</v>
      </c>
      <c r="H98" s="55">
        <v>1152644000</v>
      </c>
    </row>
    <row r="99" spans="1:8" x14ac:dyDescent="0.3">
      <c r="A99" s="53">
        <v>751000</v>
      </c>
      <c r="B99" s="53">
        <v>690</v>
      </c>
      <c r="C99" s="53">
        <v>591616000</v>
      </c>
      <c r="D99" s="54">
        <v>1.8882019200316031</v>
      </c>
      <c r="F99" s="53">
        <v>751000</v>
      </c>
      <c r="G99" s="55">
        <v>690</v>
      </c>
      <c r="H99" s="55">
        <v>591616000</v>
      </c>
    </row>
    <row r="100" spans="1:8" x14ac:dyDescent="0.3">
      <c r="A100" s="53">
        <v>1001000</v>
      </c>
      <c r="B100" s="53">
        <v>502</v>
      </c>
      <c r="C100" s="53">
        <v>608482000</v>
      </c>
      <c r="D100" s="54">
        <v>1.8587796642716552</v>
      </c>
      <c r="F100" s="53">
        <v>1001000</v>
      </c>
      <c r="G100" s="55">
        <v>502</v>
      </c>
      <c r="H100" s="55">
        <v>608482000</v>
      </c>
    </row>
    <row r="101" spans="1:8" x14ac:dyDescent="0.3">
      <c r="A101" s="53">
        <v>1501000</v>
      </c>
      <c r="B101" s="53">
        <v>286</v>
      </c>
      <c r="C101" s="53">
        <v>572720000</v>
      </c>
      <c r="D101" s="54">
        <v>1.8226487001497209</v>
      </c>
      <c r="F101" s="53">
        <v>1501000</v>
      </c>
      <c r="G101" s="55">
        <v>286</v>
      </c>
      <c r="H101" s="55">
        <v>572720000</v>
      </c>
    </row>
    <row r="102" spans="1:8" x14ac:dyDescent="0.3">
      <c r="A102" s="53">
        <v>3000000</v>
      </c>
      <c r="B102" s="53">
        <v>86</v>
      </c>
      <c r="C102" s="53">
        <v>444996000</v>
      </c>
      <c r="D102" s="54">
        <v>1.7247906976744185</v>
      </c>
      <c r="F102" s="53">
        <v>3000000</v>
      </c>
      <c r="G102" s="55">
        <v>86</v>
      </c>
      <c r="H102" s="55">
        <v>444996000</v>
      </c>
    </row>
    <row r="103" spans="1:8" x14ac:dyDescent="0.3">
      <c r="A103" s="51" t="s">
        <v>56</v>
      </c>
      <c r="B103" s="51" t="s">
        <v>78</v>
      </c>
      <c r="C103" s="51" t="s">
        <v>79</v>
      </c>
      <c r="D103" s="52" t="s">
        <v>59</v>
      </c>
      <c r="E103">
        <v>505000</v>
      </c>
      <c r="G103" s="2"/>
      <c r="H103" s="2"/>
    </row>
    <row r="104" spans="1:8" x14ac:dyDescent="0.3">
      <c r="A104" s="53">
        <v>101000</v>
      </c>
      <c r="B104" s="53"/>
      <c r="C104" s="53"/>
      <c r="D104" s="54"/>
      <c r="F104" s="53">
        <v>101000</v>
      </c>
      <c r="G104" s="2">
        <v>38415.16988346076</v>
      </c>
      <c r="H104" s="2">
        <v>4226975687.877717</v>
      </c>
    </row>
    <row r="105" spans="1:8" x14ac:dyDescent="0.3">
      <c r="A105" s="53">
        <v>121000</v>
      </c>
      <c r="B105" s="53"/>
      <c r="C105" s="53"/>
      <c r="D105" s="54"/>
      <c r="F105" s="53">
        <v>121000</v>
      </c>
      <c r="G105" s="2">
        <v>27786.584989808955</v>
      </c>
      <c r="H105" s="2">
        <v>3710647955.2730136</v>
      </c>
    </row>
    <row r="106" spans="1:8" x14ac:dyDescent="0.3">
      <c r="A106" s="53">
        <v>151000</v>
      </c>
      <c r="B106" s="53"/>
      <c r="C106" s="53"/>
      <c r="D106" s="54"/>
      <c r="F106" s="53">
        <v>151000</v>
      </c>
      <c r="G106" s="2">
        <v>22123.35359934617</v>
      </c>
      <c r="H106" s="2">
        <v>4526072016.5675573</v>
      </c>
    </row>
    <row r="107" spans="1:8" x14ac:dyDescent="0.3">
      <c r="A107" s="53">
        <v>301000</v>
      </c>
      <c r="B107" s="53"/>
      <c r="C107" s="53"/>
      <c r="D107" s="54"/>
      <c r="F107" s="53">
        <v>301000</v>
      </c>
      <c r="G107" s="2">
        <v>4045.604777094632</v>
      </c>
      <c r="H107" s="2">
        <v>1498057569.595525</v>
      </c>
    </row>
    <row r="108" spans="1:8" x14ac:dyDescent="0.3">
      <c r="A108" s="53">
        <v>505000</v>
      </c>
      <c r="B108" s="53">
        <v>916</v>
      </c>
      <c r="C108" s="53">
        <v>556101000</v>
      </c>
      <c r="D108" s="54">
        <v>1.9713497503596513</v>
      </c>
      <c r="F108" s="53">
        <v>501000</v>
      </c>
      <c r="G108" s="2">
        <v>930.89430894308941</v>
      </c>
      <c r="H108" s="2">
        <v>563563048.78048778</v>
      </c>
    </row>
    <row r="109" spans="1:8" x14ac:dyDescent="0.3">
      <c r="A109" s="53">
        <v>751000</v>
      </c>
      <c r="B109" s="53">
        <v>380</v>
      </c>
      <c r="C109" s="53">
        <v>322820000</v>
      </c>
      <c r="D109" s="54">
        <v>1.890299624338784</v>
      </c>
      <c r="F109" s="53">
        <v>751000</v>
      </c>
      <c r="G109" s="55">
        <v>380</v>
      </c>
      <c r="H109" s="55">
        <v>322820000</v>
      </c>
    </row>
    <row r="110" spans="1:8" x14ac:dyDescent="0.3">
      <c r="A110" s="53">
        <v>1001000</v>
      </c>
      <c r="B110" s="53">
        <v>258</v>
      </c>
      <c r="C110" s="53">
        <v>314338000</v>
      </c>
      <c r="D110" s="54">
        <v>1.8896941838118309</v>
      </c>
      <c r="F110" s="53">
        <v>1001000</v>
      </c>
      <c r="G110" s="55">
        <v>258</v>
      </c>
      <c r="H110" s="55">
        <v>314338000</v>
      </c>
    </row>
    <row r="111" spans="1:8" x14ac:dyDescent="0.3">
      <c r="A111" s="53">
        <v>1501000</v>
      </c>
      <c r="B111" s="53">
        <v>156</v>
      </c>
      <c r="C111" s="53">
        <v>322336000</v>
      </c>
      <c r="D111" s="54">
        <v>1.8359203317191524</v>
      </c>
      <c r="F111" s="53">
        <v>1501000</v>
      </c>
      <c r="G111" s="55">
        <v>156</v>
      </c>
      <c r="H111" s="55">
        <v>322336000</v>
      </c>
    </row>
    <row r="112" spans="1:8" x14ac:dyDescent="0.3">
      <c r="A112" s="53">
        <v>3000000</v>
      </c>
      <c r="B112" s="53">
        <v>45</v>
      </c>
      <c r="C112" s="53">
        <v>231563000</v>
      </c>
      <c r="D112" s="54">
        <v>1.7152814814814814</v>
      </c>
      <c r="F112" s="53">
        <v>3000000</v>
      </c>
      <c r="G112" s="55">
        <v>45</v>
      </c>
      <c r="H112" s="55">
        <v>231563000</v>
      </c>
    </row>
    <row r="113" spans="1:8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E113">
        <v>555500</v>
      </c>
      <c r="G113" s="2"/>
      <c r="H113" s="2"/>
    </row>
    <row r="114" spans="1:8" x14ac:dyDescent="0.3">
      <c r="A114" s="53">
        <v>101000</v>
      </c>
      <c r="B114" s="53"/>
      <c r="C114" s="53"/>
      <c r="D114" s="54"/>
      <c r="F114" s="53">
        <v>101000</v>
      </c>
      <c r="G114" s="2">
        <v>19005.399837080586</v>
      </c>
      <c r="H114" s="2">
        <v>2091240603.4763443</v>
      </c>
    </row>
    <row r="115" spans="1:8" x14ac:dyDescent="0.3">
      <c r="A115" s="53">
        <v>121000</v>
      </c>
      <c r="B115" s="53"/>
      <c r="C115" s="53"/>
      <c r="D115" s="54"/>
      <c r="F115" s="53">
        <v>121000</v>
      </c>
      <c r="G115" s="2">
        <v>13747.047310747588</v>
      </c>
      <c r="H115" s="2">
        <v>1835794251.5561225</v>
      </c>
    </row>
    <row r="116" spans="1:8" x14ac:dyDescent="0.3">
      <c r="A116" s="53">
        <v>151000</v>
      </c>
      <c r="B116" s="53"/>
      <c r="C116" s="53"/>
      <c r="D116" s="54"/>
      <c r="F116" s="53">
        <v>151000</v>
      </c>
      <c r="G116" s="2">
        <v>10945.238096518633</v>
      </c>
      <c r="H116" s="2">
        <v>2239214576.6176338</v>
      </c>
    </row>
    <row r="117" spans="1:8" x14ac:dyDescent="0.3">
      <c r="A117" s="53">
        <v>301000</v>
      </c>
      <c r="B117" s="53"/>
      <c r="C117" s="53"/>
      <c r="D117" s="54"/>
      <c r="F117" s="53">
        <v>301000</v>
      </c>
      <c r="G117" s="2">
        <v>2001.5097318257654</v>
      </c>
      <c r="H117" s="2">
        <v>741144271.27357554</v>
      </c>
    </row>
    <row r="118" spans="1:8" x14ac:dyDescent="0.3">
      <c r="A118" s="53">
        <v>555500</v>
      </c>
      <c r="B118" s="53">
        <v>294</v>
      </c>
      <c r="C118" s="53">
        <v>187596000</v>
      </c>
      <c r="D118" s="54">
        <v>1.9134836988566728</v>
      </c>
      <c r="F118" s="53">
        <v>501000</v>
      </c>
      <c r="G118" s="2">
        <v>460.54771074026525</v>
      </c>
      <c r="H118" s="2">
        <v>278815403.08087289</v>
      </c>
    </row>
    <row r="119" spans="1:8" x14ac:dyDescent="0.3">
      <c r="A119" s="53">
        <v>751000</v>
      </c>
      <c r="B119" s="53">
        <v>188</v>
      </c>
      <c r="C119" s="53">
        <v>161197000</v>
      </c>
      <c r="D119" s="54">
        <v>1.8067141850082242</v>
      </c>
      <c r="F119" s="53">
        <v>751000</v>
      </c>
      <c r="G119" s="55">
        <v>188</v>
      </c>
      <c r="H119" s="55">
        <v>161197000</v>
      </c>
    </row>
    <row r="120" spans="1:8" x14ac:dyDescent="0.3">
      <c r="A120" s="53">
        <v>1001000</v>
      </c>
      <c r="B120" s="53">
        <v>134</v>
      </c>
      <c r="C120" s="53">
        <v>167369000</v>
      </c>
      <c r="D120" s="54">
        <v>1.7512487512487513</v>
      </c>
      <c r="F120" s="53">
        <v>1001000</v>
      </c>
      <c r="G120" s="55">
        <v>134</v>
      </c>
      <c r="H120" s="55">
        <v>167369000</v>
      </c>
    </row>
    <row r="121" spans="1:8" x14ac:dyDescent="0.3">
      <c r="A121" s="53">
        <v>1501000</v>
      </c>
      <c r="B121" s="53">
        <v>86</v>
      </c>
      <c r="C121" s="53">
        <v>175266000</v>
      </c>
      <c r="D121" s="54">
        <v>1.6047036603429428</v>
      </c>
      <c r="F121" s="53">
        <v>1501000</v>
      </c>
      <c r="G121" s="55">
        <v>86</v>
      </c>
      <c r="H121" s="55">
        <v>175266000</v>
      </c>
    </row>
    <row r="122" spans="1:8" x14ac:dyDescent="0.3">
      <c r="A122" s="53">
        <v>3000000</v>
      </c>
      <c r="B122" s="53">
        <v>17</v>
      </c>
      <c r="C122" s="53">
        <v>72826000</v>
      </c>
      <c r="D122" s="54">
        <v>1.4279607843137256</v>
      </c>
      <c r="F122" s="53">
        <v>3000000</v>
      </c>
      <c r="G122" s="55">
        <v>17</v>
      </c>
      <c r="H122" s="55">
        <v>72826000</v>
      </c>
    </row>
    <row r="123" spans="1:8" x14ac:dyDescent="0.3">
      <c r="A123" s="51" t="s">
        <v>56</v>
      </c>
      <c r="B123" s="51" t="s">
        <v>82</v>
      </c>
      <c r="C123" s="51" t="s">
        <v>83</v>
      </c>
      <c r="D123" s="52" t="s">
        <v>59</v>
      </c>
      <c r="E123">
        <v>606000</v>
      </c>
      <c r="G123" s="2"/>
      <c r="H123" s="2"/>
    </row>
    <row r="124" spans="1:8" x14ac:dyDescent="0.3">
      <c r="A124" s="53">
        <v>101000</v>
      </c>
      <c r="B124" s="53"/>
      <c r="C124" s="53"/>
      <c r="D124" s="54"/>
      <c r="F124" s="53">
        <v>101000</v>
      </c>
      <c r="G124" s="2">
        <v>10210.347784814569</v>
      </c>
      <c r="H124" s="2">
        <v>1123485643.356972</v>
      </c>
    </row>
    <row r="125" spans="1:8" x14ac:dyDescent="0.3">
      <c r="A125" s="53">
        <v>121000</v>
      </c>
      <c r="B125" s="53"/>
      <c r="C125" s="53"/>
      <c r="D125" s="54"/>
      <c r="F125" s="53">
        <v>121000</v>
      </c>
      <c r="G125" s="2">
        <v>7385.381799922905</v>
      </c>
      <c r="H125" s="2">
        <v>986251167.05940604</v>
      </c>
    </row>
    <row r="126" spans="1:8" x14ac:dyDescent="0.3">
      <c r="A126" s="53">
        <v>151000</v>
      </c>
      <c r="B126" s="53"/>
      <c r="C126" s="53"/>
      <c r="D126" s="54"/>
      <c r="F126" s="53">
        <v>151000</v>
      </c>
      <c r="G126" s="2">
        <v>5880.1545092999031</v>
      </c>
      <c r="H126" s="2">
        <v>1202982299.1403244</v>
      </c>
    </row>
    <row r="127" spans="1:8" x14ac:dyDescent="0.3">
      <c r="A127" s="53">
        <v>301000</v>
      </c>
      <c r="B127" s="53"/>
      <c r="C127" s="53"/>
      <c r="D127" s="54"/>
      <c r="F127" s="53">
        <v>301000</v>
      </c>
      <c r="G127" s="2">
        <v>1075.2791644383101</v>
      </c>
      <c r="H127" s="2">
        <v>398167932.97144216</v>
      </c>
    </row>
    <row r="128" spans="1:8" x14ac:dyDescent="0.3">
      <c r="A128" s="53">
        <v>606000</v>
      </c>
      <c r="B128" s="53">
        <v>98</v>
      </c>
      <c r="C128" s="53">
        <v>66447000</v>
      </c>
      <c r="D128" s="54">
        <v>2.0929689460174088</v>
      </c>
      <c r="F128" s="53">
        <v>501000</v>
      </c>
      <c r="G128" s="2">
        <v>247.42190842961057</v>
      </c>
      <c r="H128" s="2">
        <v>149789126.1232349</v>
      </c>
    </row>
    <row r="129" spans="1:8" x14ac:dyDescent="0.3">
      <c r="A129" s="53">
        <v>751000</v>
      </c>
      <c r="B129" s="53">
        <v>101</v>
      </c>
      <c r="C129" s="53">
        <v>86555000</v>
      </c>
      <c r="D129" s="54">
        <v>2.0045676802514683</v>
      </c>
      <c r="F129" s="53">
        <v>751000</v>
      </c>
      <c r="G129" s="55">
        <v>101</v>
      </c>
      <c r="H129" s="55">
        <v>86555000</v>
      </c>
    </row>
    <row r="130" spans="1:8" x14ac:dyDescent="0.3">
      <c r="A130" s="53">
        <v>1001000</v>
      </c>
      <c r="B130" s="53">
        <v>78</v>
      </c>
      <c r="C130" s="53">
        <v>95380000</v>
      </c>
      <c r="D130" s="54">
        <v>1.9614651083182553</v>
      </c>
      <c r="F130" s="53">
        <v>1001000</v>
      </c>
      <c r="G130" s="55">
        <v>78</v>
      </c>
      <c r="H130" s="55">
        <v>95380000</v>
      </c>
    </row>
    <row r="131" spans="1:8" x14ac:dyDescent="0.3">
      <c r="A131" s="53">
        <v>1501000</v>
      </c>
      <c r="B131" s="53">
        <v>46</v>
      </c>
      <c r="C131" s="53">
        <v>91067000</v>
      </c>
      <c r="D131" s="54">
        <v>1.9001691180238813</v>
      </c>
      <c r="F131" s="53">
        <v>1501000</v>
      </c>
      <c r="G131" s="55">
        <v>46</v>
      </c>
      <c r="H131" s="55">
        <v>91067000</v>
      </c>
    </row>
    <row r="132" spans="1:8" x14ac:dyDescent="0.3">
      <c r="A132" s="53">
        <v>3000000</v>
      </c>
      <c r="B132" s="53">
        <v>19</v>
      </c>
      <c r="C132" s="53">
        <v>94323000</v>
      </c>
      <c r="D132" s="54">
        <v>1.6547894736842106</v>
      </c>
      <c r="F132" s="53">
        <v>3000000</v>
      </c>
      <c r="G132" s="55">
        <v>19</v>
      </c>
      <c r="H132" s="55">
        <v>94323000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topLeftCell="C1" workbookViewId="0">
      <selection activeCell="O6" sqref="O6:O13"/>
    </sheetView>
  </sheetViews>
  <sheetFormatPr baseColWidth="10" defaultRowHeight="15.6" x14ac:dyDescent="0.3"/>
  <cols>
    <col min="8" max="8" width="14" customWidth="1"/>
    <col min="12" max="12" width="15.796875" customWidth="1"/>
  </cols>
  <sheetData>
    <row r="1" spans="1:15" x14ac:dyDescent="0.3">
      <c r="A1" s="78" t="s">
        <v>211</v>
      </c>
      <c r="B1" s="78"/>
      <c r="C1" s="78"/>
      <c r="D1" s="78"/>
      <c r="E1" t="s">
        <v>205</v>
      </c>
      <c r="G1" s="2"/>
    </row>
    <row r="2" spans="1:15" x14ac:dyDescent="0.3">
      <c r="A2" s="78" t="s">
        <v>206</v>
      </c>
      <c r="B2" s="78"/>
      <c r="C2" s="78"/>
      <c r="D2" s="78"/>
      <c r="F2" s="78" t="s">
        <v>207</v>
      </c>
      <c r="G2" s="78"/>
      <c r="H2" s="78"/>
      <c r="J2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121000</v>
      </c>
      <c r="M3" t="s">
        <v>7</v>
      </c>
      <c r="N3" t="s">
        <v>8</v>
      </c>
      <c r="O3" t="s">
        <v>14</v>
      </c>
    </row>
    <row r="4" spans="1:15" x14ac:dyDescent="0.3">
      <c r="A4" s="53">
        <v>121000</v>
      </c>
      <c r="B4" s="53">
        <v>421469</v>
      </c>
      <c r="C4" s="53">
        <v>56904000000</v>
      </c>
      <c r="D4" s="54">
        <v>1.5833184850320705</v>
      </c>
      <c r="F4" s="53">
        <v>121000</v>
      </c>
      <c r="G4" s="55">
        <v>421469</v>
      </c>
      <c r="H4" s="55">
        <v>56904000000</v>
      </c>
      <c r="J4" s="53">
        <v>121000</v>
      </c>
      <c r="K4" s="2">
        <v>3728478.2580271154</v>
      </c>
      <c r="L4" s="2">
        <v>503394856548.82074</v>
      </c>
      <c r="M4">
        <v>0.39591709723828084</v>
      </c>
      <c r="N4">
        <v>1.8211825298433468</v>
      </c>
      <c r="O4">
        <f>(G4+G26+G48)/K4</f>
        <v>0.14229903248045361</v>
      </c>
    </row>
    <row r="5" spans="1:15" x14ac:dyDescent="0.3">
      <c r="A5" s="53">
        <v>151000</v>
      </c>
      <c r="B5" s="53">
        <v>367407</v>
      </c>
      <c r="C5" s="53">
        <v>62943000000</v>
      </c>
      <c r="D5" s="54">
        <v>1.5178407009149546</v>
      </c>
      <c r="F5" s="53">
        <v>151000</v>
      </c>
      <c r="G5" s="55">
        <v>367407</v>
      </c>
      <c r="H5" s="55">
        <v>62943000000</v>
      </c>
      <c r="J5" s="53">
        <v>151000</v>
      </c>
      <c r="K5" s="2">
        <v>3250224.8358644848</v>
      </c>
      <c r="L5" s="2">
        <v>556818193022.50171</v>
      </c>
      <c r="M5">
        <v>0.61761905520559757</v>
      </c>
      <c r="N5">
        <v>1.7870743157937667</v>
      </c>
      <c r="O5">
        <f t="shared" ref="O5:O13" si="0">(G5+G27+G49)/K5</f>
        <v>0.14229903248045359</v>
      </c>
    </row>
    <row r="6" spans="1:15" x14ac:dyDescent="0.3">
      <c r="A6" s="53">
        <v>201000</v>
      </c>
      <c r="B6" s="53">
        <v>191588</v>
      </c>
      <c r="C6" s="53">
        <v>45501000000</v>
      </c>
      <c r="D6" s="54">
        <v>1.53728469906585</v>
      </c>
      <c r="F6" s="53">
        <v>201000</v>
      </c>
      <c r="G6" s="55">
        <v>191588</v>
      </c>
      <c r="H6" s="55">
        <v>45501000000</v>
      </c>
      <c r="J6" s="53">
        <v>201000</v>
      </c>
      <c r="K6" s="2">
        <v>1694861.7632587426</v>
      </c>
      <c r="L6" s="2">
        <v>415382409078.14246</v>
      </c>
      <c r="M6">
        <v>0.81088321288005993</v>
      </c>
      <c r="N6">
        <v>1.8434847484770027</v>
      </c>
      <c r="O6">
        <f t="shared" si="0"/>
        <v>0.14229903248045361</v>
      </c>
    </row>
    <row r="7" spans="1:15" x14ac:dyDescent="0.3">
      <c r="A7" s="53">
        <v>301000</v>
      </c>
      <c r="B7" s="53">
        <v>55614</v>
      </c>
      <c r="C7" s="53">
        <v>20441000000</v>
      </c>
      <c r="D7" s="54">
        <v>1.6343103214436447</v>
      </c>
      <c r="F7" s="53">
        <v>301000</v>
      </c>
      <c r="G7" s="55">
        <v>55614</v>
      </c>
      <c r="H7" s="55">
        <v>20441000000</v>
      </c>
      <c r="J7" s="53">
        <v>301000</v>
      </c>
      <c r="K7" s="2">
        <v>1076729.5723186014</v>
      </c>
      <c r="L7" s="2">
        <v>402390847527.89417</v>
      </c>
      <c r="M7">
        <v>0.91166271202007332</v>
      </c>
      <c r="N7">
        <v>1.706538226359817</v>
      </c>
      <c r="O7">
        <f t="shared" si="0"/>
        <v>7.375668138192551E-2</v>
      </c>
    </row>
    <row r="8" spans="1:15" x14ac:dyDescent="0.3">
      <c r="A8" s="53">
        <v>501000</v>
      </c>
      <c r="B8" s="53">
        <v>13428</v>
      </c>
      <c r="C8" s="53">
        <v>8199000000</v>
      </c>
      <c r="D8" s="54">
        <v>1.698404011946008</v>
      </c>
      <c r="F8" s="53">
        <v>501000</v>
      </c>
      <c r="G8" s="55">
        <v>13428</v>
      </c>
      <c r="H8" s="55">
        <v>8199000000</v>
      </c>
      <c r="J8" s="53">
        <v>501000</v>
      </c>
      <c r="K8" s="2">
        <v>278135.99160325376</v>
      </c>
      <c r="L8" s="2">
        <v>169646823405.93021</v>
      </c>
      <c r="M8">
        <v>0.97568697013943217</v>
      </c>
      <c r="N8">
        <v>1.7608952500546249</v>
      </c>
      <c r="O8">
        <f t="shared" si="0"/>
        <v>7.6257660426252705E-2</v>
      </c>
    </row>
    <row r="9" spans="1:15" x14ac:dyDescent="0.3">
      <c r="A9" s="53">
        <v>801000</v>
      </c>
      <c r="B9" s="53">
        <v>3558</v>
      </c>
      <c r="C9" s="53">
        <v>3388000000</v>
      </c>
      <c r="D9" s="54">
        <v>1.7520044816432805</v>
      </c>
      <c r="F9" s="53">
        <v>801000</v>
      </c>
      <c r="G9" s="55">
        <v>3558</v>
      </c>
      <c r="H9" s="55">
        <v>3388000000</v>
      </c>
      <c r="J9" s="53">
        <v>801000</v>
      </c>
      <c r="K9" s="2">
        <v>77027</v>
      </c>
      <c r="L9" s="2">
        <v>73620000000</v>
      </c>
      <c r="M9">
        <v>0.99222543158462539</v>
      </c>
      <c r="N9">
        <v>1.8244542446974743</v>
      </c>
      <c r="O9">
        <f t="shared" si="0"/>
        <v>8.0374414166461114E-2</v>
      </c>
    </row>
    <row r="10" spans="1:15" x14ac:dyDescent="0.3">
      <c r="A10" s="53">
        <v>1201000</v>
      </c>
      <c r="B10" s="53">
        <v>1584</v>
      </c>
      <c r="C10" s="53">
        <v>2362000000</v>
      </c>
      <c r="D10" s="54">
        <v>1.7539041600243339</v>
      </c>
      <c r="F10" s="53">
        <v>1201000</v>
      </c>
      <c r="G10" s="55">
        <v>1584</v>
      </c>
      <c r="H10" s="55">
        <v>2362000000</v>
      </c>
      <c r="J10" s="53">
        <v>1201000</v>
      </c>
      <c r="K10" s="2">
        <v>35593</v>
      </c>
      <c r="L10" s="2">
        <v>53324000000</v>
      </c>
      <c r="M10">
        <v>0.99680559419643167</v>
      </c>
      <c r="N10">
        <v>1.8204398311584098</v>
      </c>
      <c r="O10">
        <f t="shared" si="0"/>
        <v>8.2881465456690923E-2</v>
      </c>
    </row>
    <row r="11" spans="1:15" x14ac:dyDescent="0.3">
      <c r="A11" s="53">
        <v>2001000</v>
      </c>
      <c r="B11" s="53">
        <v>428</v>
      </c>
      <c r="C11" s="53">
        <v>1028000000</v>
      </c>
      <c r="D11" s="54">
        <v>1.7494829123349629</v>
      </c>
      <c r="F11" s="53">
        <v>2001000</v>
      </c>
      <c r="G11" s="55">
        <v>428</v>
      </c>
      <c r="H11" s="55">
        <v>1028000000</v>
      </c>
      <c r="J11" s="53">
        <v>2001000</v>
      </c>
      <c r="K11" s="2">
        <v>10698</v>
      </c>
      <c r="L11" s="2">
        <v>25701000000</v>
      </c>
      <c r="M11">
        <v>0.99892201737066955</v>
      </c>
      <c r="N11">
        <v>1.767856763327752</v>
      </c>
      <c r="O11">
        <f t="shared" si="0"/>
        <v>8.3753972705178537E-2</v>
      </c>
    </row>
    <row r="12" spans="1:15" x14ac:dyDescent="0.3">
      <c r="A12" s="53">
        <v>3001000</v>
      </c>
      <c r="B12" s="53">
        <v>201</v>
      </c>
      <c r="C12" s="53">
        <v>759000000</v>
      </c>
      <c r="D12" s="54">
        <v>1.7448058519238974</v>
      </c>
      <c r="F12" s="53">
        <v>3001000</v>
      </c>
      <c r="G12" s="55">
        <v>201</v>
      </c>
      <c r="H12" s="55">
        <v>759000000</v>
      </c>
      <c r="J12" s="53">
        <v>3001000</v>
      </c>
      <c r="K12" s="2">
        <v>5236</v>
      </c>
      <c r="L12" s="2">
        <v>19625000000</v>
      </c>
      <c r="M12">
        <v>0.99955813950474082</v>
      </c>
      <c r="N12">
        <v>1.7232850791090091</v>
      </c>
      <c r="O12">
        <f t="shared" si="0"/>
        <v>8.6325439266615733E-2</v>
      </c>
    </row>
    <row r="13" spans="1:15" x14ac:dyDescent="0.3">
      <c r="A13" s="53">
        <v>5000000</v>
      </c>
      <c r="B13" s="53">
        <v>70</v>
      </c>
      <c r="C13" s="53">
        <v>660000000</v>
      </c>
      <c r="D13" s="54">
        <v>1.8857142857142859</v>
      </c>
      <c r="F13" s="53">
        <v>5000000</v>
      </c>
      <c r="G13" s="55">
        <v>70</v>
      </c>
      <c r="H13" s="55">
        <v>660000000</v>
      </c>
      <c r="J13" s="53">
        <v>5000000</v>
      </c>
      <c r="K13" s="2">
        <v>2195</v>
      </c>
      <c r="L13" s="2">
        <v>18805000000</v>
      </c>
      <c r="M13">
        <v>0.99986948139051357</v>
      </c>
      <c r="N13">
        <v>1.7134396355353074</v>
      </c>
      <c r="O13">
        <f t="shared" si="0"/>
        <v>8.3826879271070617E-2</v>
      </c>
    </row>
    <row r="14" spans="1:15" x14ac:dyDescent="0.3">
      <c r="A14" s="51" t="s">
        <v>56</v>
      </c>
      <c r="B14" s="51" t="s">
        <v>60</v>
      </c>
      <c r="C14" s="51" t="s">
        <v>84</v>
      </c>
      <c r="D14" s="52" t="s">
        <v>59</v>
      </c>
      <c r="E14">
        <v>181500</v>
      </c>
      <c r="G14" s="2"/>
      <c r="H14" s="2"/>
    </row>
    <row r="15" spans="1:15" x14ac:dyDescent="0.3">
      <c r="A15" s="53">
        <v>121000</v>
      </c>
      <c r="B15" s="53"/>
      <c r="C15" s="53"/>
      <c r="D15" s="54"/>
      <c r="F15" s="53">
        <v>121000</v>
      </c>
      <c r="G15" s="2">
        <v>444002.28479341086</v>
      </c>
      <c r="H15" s="2">
        <v>59946297388.145393</v>
      </c>
      <c r="K15" s="5">
        <v>16817525.168527227</v>
      </c>
    </row>
    <row r="16" spans="1:15" x14ac:dyDescent="0.3">
      <c r="A16" s="53">
        <v>181500</v>
      </c>
      <c r="B16" s="53">
        <v>55356</v>
      </c>
      <c r="C16" s="53">
        <v>10594000000</v>
      </c>
      <c r="D16" s="54">
        <v>1.8958336001774132</v>
      </c>
      <c r="F16" s="53">
        <v>151000</v>
      </c>
      <c r="G16" s="2">
        <v>387049.9311908888</v>
      </c>
      <c r="H16" s="2">
        <v>66308164566.674332</v>
      </c>
    </row>
    <row r="17" spans="1:8" x14ac:dyDescent="0.3">
      <c r="A17" s="53">
        <v>201000</v>
      </c>
      <c r="B17" s="53">
        <v>201831</v>
      </c>
      <c r="C17" s="53">
        <v>49693000000</v>
      </c>
      <c r="D17" s="54">
        <v>1.819790835334274</v>
      </c>
      <c r="F17" s="53">
        <v>201000</v>
      </c>
      <c r="G17" s="55">
        <v>201831</v>
      </c>
      <c r="H17" s="55">
        <v>49693000000</v>
      </c>
    </row>
    <row r="18" spans="1:8" x14ac:dyDescent="0.3">
      <c r="A18" s="53">
        <v>301000</v>
      </c>
      <c r="B18" s="53">
        <v>138468</v>
      </c>
      <c r="C18" s="53">
        <v>51819000000</v>
      </c>
      <c r="D18" s="54">
        <v>1.6416136832627195</v>
      </c>
      <c r="F18" s="53">
        <v>301000</v>
      </c>
      <c r="G18" s="55">
        <v>138468</v>
      </c>
      <c r="H18" s="55">
        <v>51819000000</v>
      </c>
    </row>
    <row r="19" spans="1:8" x14ac:dyDescent="0.3">
      <c r="A19" s="53">
        <v>501000</v>
      </c>
      <c r="B19" s="53">
        <v>35437</v>
      </c>
      <c r="C19" s="53">
        <v>21476000000</v>
      </c>
      <c r="D19" s="54">
        <v>1.6549687427687254</v>
      </c>
      <c r="F19" s="53">
        <v>501000</v>
      </c>
      <c r="G19" s="55">
        <v>35437</v>
      </c>
      <c r="H19" s="55">
        <v>21476000000</v>
      </c>
    </row>
    <row r="20" spans="1:8" x14ac:dyDescent="0.3">
      <c r="A20" s="53">
        <v>801000</v>
      </c>
      <c r="B20" s="53">
        <v>8723</v>
      </c>
      <c r="C20" s="53">
        <v>8308000000</v>
      </c>
      <c r="D20" s="54">
        <v>1.7342679208716827</v>
      </c>
      <c r="F20" s="53">
        <v>801000</v>
      </c>
      <c r="G20" s="55">
        <v>8723</v>
      </c>
      <c r="H20" s="55">
        <v>8308000000</v>
      </c>
    </row>
    <row r="21" spans="1:8" x14ac:dyDescent="0.3">
      <c r="A21" s="53">
        <v>1201000</v>
      </c>
      <c r="B21" s="53">
        <v>3703</v>
      </c>
      <c r="C21" s="53">
        <v>5519000000</v>
      </c>
      <c r="D21" s="54">
        <v>1.7446073283076584</v>
      </c>
      <c r="F21" s="53">
        <v>1201000</v>
      </c>
      <c r="G21" s="55">
        <v>3703</v>
      </c>
      <c r="H21" s="55">
        <v>5519000000</v>
      </c>
    </row>
    <row r="22" spans="1:8" x14ac:dyDescent="0.3">
      <c r="A22" s="53">
        <v>2001000</v>
      </c>
      <c r="B22" s="53">
        <v>1006</v>
      </c>
      <c r="C22" s="53">
        <v>2403000000</v>
      </c>
      <c r="D22" s="54">
        <v>1.7086610359123038</v>
      </c>
      <c r="F22" s="53">
        <v>2001000</v>
      </c>
      <c r="G22" s="55">
        <v>1006</v>
      </c>
      <c r="H22" s="55">
        <v>2403000000</v>
      </c>
    </row>
    <row r="23" spans="1:8" x14ac:dyDescent="0.3">
      <c r="A23" s="53">
        <v>3001000</v>
      </c>
      <c r="B23" s="53">
        <v>491</v>
      </c>
      <c r="C23" s="53">
        <v>1821000000</v>
      </c>
      <c r="D23" s="54">
        <v>1.6427954530219762</v>
      </c>
      <c r="F23" s="53">
        <v>3001000</v>
      </c>
      <c r="G23" s="55">
        <v>491</v>
      </c>
      <c r="H23" s="55">
        <v>1821000000</v>
      </c>
    </row>
    <row r="24" spans="1:8" x14ac:dyDescent="0.3">
      <c r="A24" s="53">
        <v>5000000</v>
      </c>
      <c r="B24" s="53">
        <v>195</v>
      </c>
      <c r="C24" s="53">
        <v>1561000000</v>
      </c>
      <c r="D24" s="54">
        <v>1.6010256410256409</v>
      </c>
      <c r="F24" s="53">
        <v>5000000</v>
      </c>
      <c r="G24" s="55">
        <v>195</v>
      </c>
      <c r="H24" s="55">
        <v>1561000000</v>
      </c>
    </row>
    <row r="25" spans="1:8" x14ac:dyDescent="0.3">
      <c r="A25" s="51" t="s">
        <v>56</v>
      </c>
      <c r="B25" s="51" t="s">
        <v>85</v>
      </c>
      <c r="C25" s="51" t="s">
        <v>86</v>
      </c>
      <c r="D25" s="52" t="s">
        <v>59</v>
      </c>
      <c r="E25">
        <v>181500</v>
      </c>
      <c r="G25" s="2"/>
      <c r="H25" s="2"/>
    </row>
    <row r="26" spans="1:8" x14ac:dyDescent="0.3">
      <c r="A26" s="53">
        <v>121000</v>
      </c>
      <c r="B26" s="53"/>
      <c r="C26" s="53"/>
      <c r="D26" s="54"/>
      <c r="F26" s="53">
        <v>121000</v>
      </c>
      <c r="G26" s="2">
        <v>91494.859693717779</v>
      </c>
      <c r="H26" s="2">
        <v>12353040190.408585</v>
      </c>
    </row>
    <row r="27" spans="1:8" x14ac:dyDescent="0.3">
      <c r="A27" s="53">
        <v>181500</v>
      </c>
      <c r="B27" s="53">
        <v>18752</v>
      </c>
      <c r="C27" s="53">
        <v>3387000000</v>
      </c>
      <c r="D27" s="54">
        <v>1.943410803359247</v>
      </c>
      <c r="F27" s="53">
        <v>151000</v>
      </c>
      <c r="G27" s="2">
        <v>79758.776838841688</v>
      </c>
      <c r="H27" s="2">
        <v>13664020257.009836</v>
      </c>
    </row>
    <row r="28" spans="1:8" x14ac:dyDescent="0.3">
      <c r="A28" s="53">
        <v>201000</v>
      </c>
      <c r="B28" s="53">
        <v>41591</v>
      </c>
      <c r="C28" s="53">
        <v>10038000000</v>
      </c>
      <c r="D28" s="54">
        <v>1.9755407096562321</v>
      </c>
      <c r="F28" s="53">
        <v>201000</v>
      </c>
      <c r="G28" s="55">
        <v>41591</v>
      </c>
      <c r="H28" s="55">
        <v>10038000000</v>
      </c>
    </row>
    <row r="29" spans="1:8" x14ac:dyDescent="0.3">
      <c r="A29" s="53">
        <v>301000</v>
      </c>
      <c r="B29" s="53">
        <v>19963</v>
      </c>
      <c r="C29" s="53">
        <v>7503000000</v>
      </c>
      <c r="D29" s="54">
        <v>2.009534069462628</v>
      </c>
      <c r="F29" s="53">
        <v>301000</v>
      </c>
      <c r="G29" s="55">
        <v>19963</v>
      </c>
      <c r="H29" s="55">
        <v>7503000000</v>
      </c>
    </row>
    <row r="30" spans="1:8" x14ac:dyDescent="0.3">
      <c r="A30" s="53">
        <v>501000</v>
      </c>
      <c r="B30" s="53">
        <v>6812</v>
      </c>
      <c r="C30" s="53">
        <v>4202000000</v>
      </c>
      <c r="D30" s="54">
        <v>2.0214722664582512</v>
      </c>
      <c r="F30" s="53">
        <v>501000</v>
      </c>
      <c r="G30" s="55">
        <v>6812</v>
      </c>
      <c r="H30" s="55">
        <v>4202000000</v>
      </c>
    </row>
    <row r="31" spans="1:8" x14ac:dyDescent="0.3">
      <c r="A31" s="53">
        <v>801000</v>
      </c>
      <c r="B31" s="53">
        <v>2363</v>
      </c>
      <c r="C31" s="53">
        <v>2263000000</v>
      </c>
      <c r="D31" s="54">
        <v>2.0300982652739341</v>
      </c>
      <c r="F31" s="53">
        <v>801000</v>
      </c>
      <c r="G31" s="55">
        <v>2363</v>
      </c>
      <c r="H31" s="55">
        <v>2263000000</v>
      </c>
    </row>
    <row r="32" spans="1:8" x14ac:dyDescent="0.3">
      <c r="A32" s="53">
        <v>1201000</v>
      </c>
      <c r="B32" s="53">
        <v>1255</v>
      </c>
      <c r="C32" s="53">
        <v>1894000000</v>
      </c>
      <c r="D32" s="54">
        <v>2.0005452683235947</v>
      </c>
      <c r="F32" s="53">
        <v>1201000</v>
      </c>
      <c r="G32" s="55">
        <v>1255</v>
      </c>
      <c r="H32" s="55">
        <v>1894000000</v>
      </c>
    </row>
    <row r="33" spans="1:8" x14ac:dyDescent="0.3">
      <c r="A33" s="53">
        <v>2001000</v>
      </c>
      <c r="B33" s="53">
        <v>435</v>
      </c>
      <c r="C33" s="53">
        <v>1061000000</v>
      </c>
      <c r="D33" s="54">
        <v>1.9200925852863042</v>
      </c>
      <c r="F33" s="53">
        <v>2001000</v>
      </c>
      <c r="G33" s="55">
        <v>435</v>
      </c>
      <c r="H33" s="55">
        <v>1061000000</v>
      </c>
    </row>
    <row r="34" spans="1:8" x14ac:dyDescent="0.3">
      <c r="A34" s="53">
        <v>3001000</v>
      </c>
      <c r="B34" s="53">
        <v>239</v>
      </c>
      <c r="C34" s="53">
        <v>889000000</v>
      </c>
      <c r="D34" s="54">
        <v>1.8714692001890842</v>
      </c>
      <c r="F34" s="53">
        <v>3001000</v>
      </c>
      <c r="G34" s="55">
        <v>239</v>
      </c>
      <c r="H34" s="55">
        <v>889000000</v>
      </c>
    </row>
    <row r="35" spans="1:8" x14ac:dyDescent="0.3">
      <c r="A35" s="53">
        <v>5000000</v>
      </c>
      <c r="B35" s="53">
        <v>105</v>
      </c>
      <c r="C35" s="53">
        <v>1043000000</v>
      </c>
      <c r="D35" s="54">
        <v>1.9866666666666668</v>
      </c>
      <c r="F35" s="53">
        <v>5000000</v>
      </c>
      <c r="G35" s="55">
        <v>105</v>
      </c>
      <c r="H35" s="55">
        <v>1043000000</v>
      </c>
    </row>
    <row r="36" spans="1:8" x14ac:dyDescent="0.3">
      <c r="A36" s="51" t="s">
        <v>56</v>
      </c>
      <c r="B36" s="51" t="s">
        <v>64</v>
      </c>
      <c r="C36" s="51" t="s">
        <v>65</v>
      </c>
      <c r="D36" s="52" t="s">
        <v>59</v>
      </c>
      <c r="E36">
        <v>242000</v>
      </c>
      <c r="G36" s="2"/>
      <c r="H36" s="2"/>
    </row>
    <row r="37" spans="1:8" x14ac:dyDescent="0.3">
      <c r="A37" s="53">
        <v>121000</v>
      </c>
      <c r="B37" s="53"/>
      <c r="C37" s="53"/>
      <c r="D37" s="54"/>
      <c r="F37" s="53">
        <v>121000</v>
      </c>
      <c r="G37" s="2">
        <v>686448.28497561766</v>
      </c>
      <c r="H37" s="2">
        <v>92679777654.471725</v>
      </c>
    </row>
    <row r="38" spans="1:8" x14ac:dyDescent="0.3">
      <c r="A38" s="53">
        <v>151000</v>
      </c>
      <c r="B38" s="53"/>
      <c r="C38" s="53"/>
      <c r="D38" s="54"/>
      <c r="F38" s="53">
        <v>151000</v>
      </c>
      <c r="G38" s="2">
        <v>598397.28435077495</v>
      </c>
      <c r="H38" s="2">
        <v>102515521666.41035</v>
      </c>
    </row>
    <row r="39" spans="1:8" x14ac:dyDescent="0.3">
      <c r="A39" s="53">
        <v>242000</v>
      </c>
      <c r="B39" s="53">
        <v>175669</v>
      </c>
      <c r="C39" s="53">
        <v>47225000000</v>
      </c>
      <c r="D39" s="54">
        <v>1.7950112900439381</v>
      </c>
      <c r="F39" s="53">
        <v>201000</v>
      </c>
      <c r="G39" s="2">
        <v>312040.1595892192</v>
      </c>
      <c r="H39" s="2">
        <v>76827700652.858429</v>
      </c>
    </row>
    <row r="40" spans="1:8" x14ac:dyDescent="0.3">
      <c r="A40" s="53">
        <v>301000</v>
      </c>
      <c r="B40" s="53">
        <v>214078</v>
      </c>
      <c r="C40" s="53">
        <v>79670000000</v>
      </c>
      <c r="D40" s="54">
        <v>1.7647010765522297</v>
      </c>
      <c r="F40" s="53">
        <v>301000</v>
      </c>
      <c r="G40" s="55">
        <v>214078</v>
      </c>
      <c r="H40" s="55">
        <v>79670000000</v>
      </c>
    </row>
    <row r="41" spans="1:8" x14ac:dyDescent="0.3">
      <c r="A41" s="53">
        <v>501000</v>
      </c>
      <c r="B41" s="53">
        <v>57373</v>
      </c>
      <c r="C41" s="53">
        <v>35099000000</v>
      </c>
      <c r="D41" s="54">
        <v>1.8463680032773002</v>
      </c>
      <c r="F41" s="53">
        <v>501000</v>
      </c>
      <c r="G41" s="55">
        <v>57373</v>
      </c>
      <c r="H41" s="55">
        <v>35099000000</v>
      </c>
    </row>
    <row r="42" spans="1:8" x14ac:dyDescent="0.3">
      <c r="A42" s="53">
        <v>801000</v>
      </c>
      <c r="B42" s="53">
        <v>16307</v>
      </c>
      <c r="C42" s="53">
        <v>15614000000</v>
      </c>
      <c r="D42" s="54">
        <v>1.9269148716537059</v>
      </c>
      <c r="F42" s="53">
        <v>801000</v>
      </c>
      <c r="G42" s="55">
        <v>16307</v>
      </c>
      <c r="H42" s="55">
        <v>15614000000</v>
      </c>
    </row>
    <row r="43" spans="1:8" x14ac:dyDescent="0.3">
      <c r="A43" s="53">
        <v>1201000</v>
      </c>
      <c r="B43" s="53">
        <v>8109</v>
      </c>
      <c r="C43" s="53">
        <v>12184000000</v>
      </c>
      <c r="D43" s="54">
        <v>1.9089018657195054</v>
      </c>
      <c r="F43" s="53">
        <v>1201000</v>
      </c>
      <c r="G43" s="55">
        <v>8109</v>
      </c>
      <c r="H43" s="55">
        <v>12184000000</v>
      </c>
    </row>
    <row r="44" spans="1:8" x14ac:dyDescent="0.3">
      <c r="A44" s="53">
        <v>2001000</v>
      </c>
      <c r="B44" s="53">
        <v>2682</v>
      </c>
      <c r="C44" s="53">
        <v>6427000000</v>
      </c>
      <c r="D44" s="54">
        <v>1.8348552800655205</v>
      </c>
      <c r="F44" s="53">
        <v>2001000</v>
      </c>
      <c r="G44" s="55">
        <v>2682</v>
      </c>
      <c r="H44" s="55">
        <v>6427000000</v>
      </c>
    </row>
    <row r="45" spans="1:8" x14ac:dyDescent="0.3">
      <c r="A45" s="53">
        <v>3001000</v>
      </c>
      <c r="B45" s="53">
        <v>1332</v>
      </c>
      <c r="C45" s="53">
        <v>5026000000</v>
      </c>
      <c r="D45" s="54">
        <v>1.8037096935101742</v>
      </c>
      <c r="F45" s="53">
        <v>3001000</v>
      </c>
      <c r="G45" s="55">
        <v>1332</v>
      </c>
      <c r="H45" s="55">
        <v>5026000000</v>
      </c>
    </row>
    <row r="46" spans="1:8" x14ac:dyDescent="0.3">
      <c r="A46" s="53">
        <v>5000000</v>
      </c>
      <c r="B46" s="53">
        <v>632</v>
      </c>
      <c r="C46" s="53">
        <v>5605000000</v>
      </c>
      <c r="D46" s="54">
        <v>1.7737341772151898</v>
      </c>
      <c r="F46" s="53">
        <v>5000000</v>
      </c>
      <c r="G46" s="55">
        <v>632</v>
      </c>
      <c r="H46" s="55">
        <v>5605000000</v>
      </c>
    </row>
    <row r="47" spans="1:8" x14ac:dyDescent="0.3">
      <c r="A47" s="51" t="s">
        <v>56</v>
      </c>
      <c r="B47" s="51" t="s">
        <v>66</v>
      </c>
      <c r="C47" s="51" t="s">
        <v>67</v>
      </c>
      <c r="D47" s="52" t="s">
        <v>59</v>
      </c>
      <c r="E47">
        <v>242000</v>
      </c>
      <c r="G47" s="2"/>
      <c r="H47" s="2"/>
    </row>
    <row r="48" spans="1:8" x14ac:dyDescent="0.3">
      <c r="A48" s="53">
        <v>121000</v>
      </c>
      <c r="B48" s="53"/>
      <c r="C48" s="53"/>
      <c r="D48" s="54"/>
      <c r="F48" s="53">
        <v>121000</v>
      </c>
      <c r="G48" s="2">
        <v>17594.989047947831</v>
      </c>
      <c r="H48" s="2">
        <v>2375560852.1253595</v>
      </c>
    </row>
    <row r="49" spans="1:8" x14ac:dyDescent="0.3">
      <c r="A49" s="53">
        <v>151000</v>
      </c>
      <c r="B49" s="53"/>
      <c r="C49" s="53"/>
      <c r="D49" s="54"/>
      <c r="F49" s="53">
        <v>151000</v>
      </c>
      <c r="G49" s="2">
        <v>15338.072648615602</v>
      </c>
      <c r="H49" s="2">
        <v>2627669877.6066103</v>
      </c>
    </row>
    <row r="50" spans="1:8" x14ac:dyDescent="0.3">
      <c r="A50" s="53">
        <v>242000</v>
      </c>
      <c r="B50" s="53">
        <v>4314</v>
      </c>
      <c r="C50" s="53">
        <v>1150000000</v>
      </c>
      <c r="D50" s="54">
        <v>1.6251368331491598</v>
      </c>
      <c r="F50" s="53">
        <v>201000</v>
      </c>
      <c r="G50" s="2">
        <v>7998.1890998346944</v>
      </c>
      <c r="H50" s="2">
        <v>1930365275.7601562</v>
      </c>
    </row>
    <row r="51" spans="1:8" x14ac:dyDescent="0.3">
      <c r="A51" s="53">
        <v>301000</v>
      </c>
      <c r="B51" s="53">
        <v>3839</v>
      </c>
      <c r="C51" s="53">
        <v>1418000000</v>
      </c>
      <c r="D51" s="54">
        <v>1.6528936091492634</v>
      </c>
      <c r="F51" s="53">
        <v>301000</v>
      </c>
      <c r="G51" s="55">
        <v>3839</v>
      </c>
      <c r="H51" s="55">
        <v>1418000000</v>
      </c>
    </row>
    <row r="52" spans="1:8" x14ac:dyDescent="0.3">
      <c r="A52" s="53">
        <v>501000</v>
      </c>
      <c r="B52" s="53">
        <v>970</v>
      </c>
      <c r="C52" s="53">
        <v>587000000</v>
      </c>
      <c r="D52" s="54">
        <v>1.6919896861082107</v>
      </c>
      <c r="F52" s="53">
        <v>501000</v>
      </c>
      <c r="G52" s="55">
        <v>970</v>
      </c>
      <c r="H52" s="55">
        <v>587000000</v>
      </c>
    </row>
    <row r="53" spans="1:8" x14ac:dyDescent="0.3">
      <c r="A53" s="53">
        <v>801000</v>
      </c>
      <c r="B53" s="53">
        <v>270</v>
      </c>
      <c r="C53" s="53">
        <v>255000000</v>
      </c>
      <c r="D53" s="54">
        <v>1.7334653522177739</v>
      </c>
      <c r="F53" s="53">
        <v>801000</v>
      </c>
      <c r="G53" s="55">
        <v>270</v>
      </c>
      <c r="H53" s="55">
        <v>255000000</v>
      </c>
    </row>
    <row r="54" spans="1:8" x14ac:dyDescent="0.3">
      <c r="A54" s="53">
        <v>1201000</v>
      </c>
      <c r="B54" s="53">
        <v>111</v>
      </c>
      <c r="C54" s="53">
        <v>162000000</v>
      </c>
      <c r="D54" s="54">
        <v>1.7611586304342342</v>
      </c>
      <c r="F54" s="53">
        <v>1201000</v>
      </c>
      <c r="G54" s="55">
        <v>111</v>
      </c>
      <c r="H54" s="55">
        <v>162000000</v>
      </c>
    </row>
    <row r="55" spans="1:8" x14ac:dyDescent="0.3">
      <c r="A55" s="53">
        <v>2001000</v>
      </c>
      <c r="B55" s="53">
        <v>33</v>
      </c>
      <c r="C55" s="53">
        <v>79000000</v>
      </c>
      <c r="D55" s="54">
        <v>1.7306161733947842</v>
      </c>
      <c r="F55" s="53">
        <v>2001000</v>
      </c>
      <c r="G55" s="55">
        <v>33</v>
      </c>
      <c r="H55" s="55">
        <v>79000000</v>
      </c>
    </row>
    <row r="56" spans="1:8" x14ac:dyDescent="0.3">
      <c r="A56" s="53">
        <v>3001000</v>
      </c>
      <c r="B56" s="53">
        <v>12</v>
      </c>
      <c r="C56" s="53">
        <v>43000000</v>
      </c>
      <c r="D56" s="54">
        <v>1.7137144761270053</v>
      </c>
      <c r="F56" s="53">
        <v>3001000</v>
      </c>
      <c r="G56" s="55">
        <v>12</v>
      </c>
      <c r="H56" s="55">
        <v>43000000</v>
      </c>
    </row>
    <row r="57" spans="1:8" x14ac:dyDescent="0.3">
      <c r="A57" s="53">
        <v>5000000</v>
      </c>
      <c r="B57" s="53">
        <v>9</v>
      </c>
      <c r="C57" s="53">
        <v>65000000</v>
      </c>
      <c r="D57" s="54">
        <v>1.4444444444444444</v>
      </c>
      <c r="F57" s="53">
        <v>5000000</v>
      </c>
      <c r="G57" s="55">
        <v>9</v>
      </c>
      <c r="H57" s="55">
        <v>65000000</v>
      </c>
    </row>
    <row r="58" spans="1:8" x14ac:dyDescent="0.3">
      <c r="A58" s="51" t="s">
        <v>56</v>
      </c>
      <c r="B58" s="51" t="s">
        <v>68</v>
      </c>
      <c r="C58" s="51" t="s">
        <v>69</v>
      </c>
      <c r="D58" s="52" t="s">
        <v>59</v>
      </c>
      <c r="E58">
        <v>302500</v>
      </c>
      <c r="G58" s="2"/>
      <c r="H58" s="2"/>
    </row>
    <row r="59" spans="1:8" x14ac:dyDescent="0.3">
      <c r="A59" s="53">
        <v>121000</v>
      </c>
      <c r="B59" s="53"/>
      <c r="C59" s="53"/>
      <c r="D59" s="54"/>
      <c r="F59" s="53">
        <v>121000</v>
      </c>
      <c r="G59" s="2">
        <f t="shared" ref="G59:G60" si="1">G37*G60/G38</f>
        <v>898662.9255014013</v>
      </c>
      <c r="H59" s="2">
        <f t="shared" ref="H59:H60" si="2">G59*H37/G37</f>
        <v>121331616590.38205</v>
      </c>
    </row>
    <row r="60" spans="1:8" x14ac:dyDescent="0.3">
      <c r="A60" s="53">
        <v>151000</v>
      </c>
      <c r="B60" s="53"/>
      <c r="C60" s="53"/>
      <c r="D60" s="54"/>
      <c r="F60" s="53">
        <v>151000</v>
      </c>
      <c r="G60" s="2">
        <f t="shared" si="1"/>
        <v>783391.06664948876</v>
      </c>
      <c r="H60" s="2">
        <f t="shared" si="2"/>
        <v>134208068730.64142</v>
      </c>
    </row>
    <row r="61" spans="1:8" x14ac:dyDescent="0.3">
      <c r="A61" s="53">
        <v>201000</v>
      </c>
      <c r="B61" s="53"/>
      <c r="C61" s="53"/>
      <c r="D61" s="54"/>
      <c r="F61" s="53">
        <v>201000</v>
      </c>
      <c r="G61" s="2">
        <f>G39*G62/G40</f>
        <v>408506.9900062934</v>
      </c>
      <c r="H61" s="2">
        <f>G61*H39/G39</f>
        <v>100578889538.19154</v>
      </c>
    </row>
    <row r="62" spans="1:8" x14ac:dyDescent="0.3">
      <c r="A62" s="53">
        <v>302500</v>
      </c>
      <c r="B62" s="53">
        <v>278158</v>
      </c>
      <c r="C62" s="53">
        <v>104357000000</v>
      </c>
      <c r="D62" s="54">
        <v>1.6345194524585722</v>
      </c>
      <c r="F62" s="53">
        <v>301000</v>
      </c>
      <c r="G62" s="2">
        <f>B62*(F63-F62)/(A63-A62)</f>
        <v>280259.94962216623</v>
      </c>
      <c r="H62" s="2">
        <f>C62+F62*(G62-B62)</f>
        <v>104989686836.27203</v>
      </c>
    </row>
    <row r="63" spans="1:8" x14ac:dyDescent="0.3">
      <c r="A63" s="53">
        <v>501000</v>
      </c>
      <c r="B63" s="53">
        <v>71336</v>
      </c>
      <c r="C63" s="53">
        <v>43234000000</v>
      </c>
      <c r="D63" s="54">
        <v>1.6530034032423009</v>
      </c>
      <c r="F63" s="53">
        <v>501000</v>
      </c>
      <c r="G63" s="55">
        <v>71336</v>
      </c>
      <c r="H63" s="55">
        <v>43234000000</v>
      </c>
    </row>
    <row r="64" spans="1:8" x14ac:dyDescent="0.3">
      <c r="A64" s="53">
        <v>801000</v>
      </c>
      <c r="B64" s="53">
        <v>17335</v>
      </c>
      <c r="C64" s="53">
        <v>16551000000</v>
      </c>
      <c r="D64" s="54">
        <v>1.7383182165851929</v>
      </c>
      <c r="F64" s="53">
        <v>801000</v>
      </c>
      <c r="G64" s="55">
        <v>17335</v>
      </c>
      <c r="H64" s="55">
        <v>16551000000</v>
      </c>
    </row>
    <row r="65" spans="1:8" x14ac:dyDescent="0.3">
      <c r="A65" s="53">
        <v>1201000</v>
      </c>
      <c r="B65" s="53">
        <v>7278</v>
      </c>
      <c r="C65" s="53">
        <v>10898000000</v>
      </c>
      <c r="D65" s="54">
        <v>1.7472719122746434</v>
      </c>
      <c r="F65" s="53">
        <v>1201000</v>
      </c>
      <c r="G65" s="55">
        <v>7278</v>
      </c>
      <c r="H65" s="55">
        <v>10898000000</v>
      </c>
    </row>
    <row r="66" spans="1:8" x14ac:dyDescent="0.3">
      <c r="A66" s="53">
        <v>2001000</v>
      </c>
      <c r="B66" s="53">
        <v>2105</v>
      </c>
      <c r="C66" s="53">
        <v>5038000000</v>
      </c>
      <c r="D66" s="54">
        <v>1.6794833973665215</v>
      </c>
      <c r="F66" s="53">
        <v>2001000</v>
      </c>
      <c r="G66" s="55">
        <v>2105</v>
      </c>
      <c r="H66" s="55">
        <v>5038000000</v>
      </c>
    </row>
    <row r="67" spans="1:8" x14ac:dyDescent="0.3">
      <c r="A67" s="53">
        <v>3001000</v>
      </c>
      <c r="B67" s="53">
        <v>978</v>
      </c>
      <c r="C67" s="53">
        <v>3660000000</v>
      </c>
      <c r="D67" s="54">
        <v>1.6183682098619587</v>
      </c>
      <c r="F67" s="53">
        <v>3001000</v>
      </c>
      <c r="G67" s="55">
        <v>978</v>
      </c>
      <c r="H67" s="55">
        <v>3660000000</v>
      </c>
    </row>
    <row r="68" spans="1:8" x14ac:dyDescent="0.3">
      <c r="A68" s="53">
        <v>5000000</v>
      </c>
      <c r="B68" s="53">
        <v>383</v>
      </c>
      <c r="C68" s="53">
        <v>2950000000</v>
      </c>
      <c r="D68" s="54">
        <v>1.5404699738903394</v>
      </c>
      <c r="F68" s="53">
        <v>5000000</v>
      </c>
      <c r="G68" s="55">
        <v>383</v>
      </c>
      <c r="H68" s="55">
        <v>2950000000</v>
      </c>
    </row>
    <row r="69" spans="1:8" x14ac:dyDescent="0.3">
      <c r="A69" s="51" t="s">
        <v>56</v>
      </c>
      <c r="B69" s="51" t="s">
        <v>70</v>
      </c>
      <c r="C69" s="51" t="s">
        <v>71</v>
      </c>
      <c r="D69" s="52" t="s">
        <v>59</v>
      </c>
      <c r="E69">
        <v>363000</v>
      </c>
      <c r="G69" s="2"/>
      <c r="H69" s="2"/>
    </row>
    <row r="70" spans="1:8" x14ac:dyDescent="0.3">
      <c r="A70" s="53">
        <v>121000</v>
      </c>
      <c r="B70" s="53"/>
      <c r="C70" s="53"/>
      <c r="D70" s="54"/>
      <c r="F70" s="53">
        <v>121000</v>
      </c>
      <c r="G70" s="2">
        <v>606788.95834678144</v>
      </c>
      <c r="H70" s="2">
        <v>81924694071.842163</v>
      </c>
    </row>
    <row r="71" spans="1:8" x14ac:dyDescent="0.3">
      <c r="A71" s="53">
        <v>151000</v>
      </c>
      <c r="B71" s="53"/>
      <c r="C71" s="53"/>
      <c r="D71" s="54"/>
      <c r="F71" s="53">
        <v>151000</v>
      </c>
      <c r="G71" s="2">
        <v>528955.89193823491</v>
      </c>
      <c r="H71" s="2">
        <v>90619042931.322266</v>
      </c>
    </row>
    <row r="72" spans="1:8" x14ac:dyDescent="0.3">
      <c r="A72" s="53">
        <v>201000</v>
      </c>
      <c r="B72" s="53"/>
      <c r="C72" s="53"/>
      <c r="D72" s="54"/>
      <c r="F72" s="53">
        <v>201000</v>
      </c>
      <c r="G72" s="2">
        <v>275829.26134957292</v>
      </c>
      <c r="H72" s="2">
        <v>67912181400.500053</v>
      </c>
    </row>
    <row r="73" spans="1:8" x14ac:dyDescent="0.3">
      <c r="A73" s="53">
        <v>363000</v>
      </c>
      <c r="B73" s="53">
        <v>81008</v>
      </c>
      <c r="C73" s="53">
        <v>34183000000</v>
      </c>
      <c r="D73" s="54">
        <v>1.7256443539352981</v>
      </c>
      <c r="F73" s="53">
        <v>301000</v>
      </c>
      <c r="G73" s="2">
        <v>189235.18270509812</v>
      </c>
      <c r="H73" s="2">
        <v>70890409412.396469</v>
      </c>
    </row>
    <row r="74" spans="1:8" x14ac:dyDescent="0.3">
      <c r="A74" s="53">
        <v>501000</v>
      </c>
      <c r="B74" s="53">
        <v>48167</v>
      </c>
      <c r="C74" s="53">
        <v>29336000000</v>
      </c>
      <c r="D74" s="54">
        <v>1.7219751835417416</v>
      </c>
      <c r="F74" s="53">
        <v>501000</v>
      </c>
      <c r="G74" s="55">
        <v>48167</v>
      </c>
      <c r="H74" s="55">
        <v>29336000000</v>
      </c>
    </row>
    <row r="75" spans="1:8" x14ac:dyDescent="0.3">
      <c r="A75" s="53">
        <v>801000</v>
      </c>
      <c r="B75" s="53">
        <v>13192</v>
      </c>
      <c r="C75" s="53">
        <v>12581000000</v>
      </c>
      <c r="D75" s="54">
        <v>1.7729799608323342</v>
      </c>
      <c r="F75" s="53">
        <v>801000</v>
      </c>
      <c r="G75" s="55">
        <v>13192</v>
      </c>
      <c r="H75" s="55">
        <v>12581000000</v>
      </c>
    </row>
    <row r="76" spans="1:8" x14ac:dyDescent="0.3">
      <c r="A76" s="53">
        <v>1201000</v>
      </c>
      <c r="B76" s="53">
        <v>5963</v>
      </c>
      <c r="C76" s="53">
        <v>8892000000</v>
      </c>
      <c r="D76" s="54">
        <v>1.7696689843038969</v>
      </c>
      <c r="F76" s="53">
        <v>1201000</v>
      </c>
      <c r="G76" s="55">
        <v>5963</v>
      </c>
      <c r="H76" s="55">
        <v>8892000000</v>
      </c>
    </row>
    <row r="77" spans="1:8" x14ac:dyDescent="0.3">
      <c r="A77" s="53">
        <v>2001000</v>
      </c>
      <c r="B77" s="53">
        <v>1685</v>
      </c>
      <c r="C77" s="53">
        <v>4057000000</v>
      </c>
      <c r="D77" s="54">
        <v>1.7461410445700061</v>
      </c>
      <c r="F77" s="53">
        <v>2001000</v>
      </c>
      <c r="G77" s="55">
        <v>1685</v>
      </c>
      <c r="H77" s="55">
        <v>4057000000</v>
      </c>
    </row>
    <row r="78" spans="1:8" x14ac:dyDescent="0.3">
      <c r="A78" s="53">
        <v>3001000</v>
      </c>
      <c r="B78" s="53">
        <v>765</v>
      </c>
      <c r="C78" s="53">
        <v>2859000000</v>
      </c>
      <c r="D78" s="54">
        <v>1.7300973886873825</v>
      </c>
      <c r="F78" s="53">
        <v>3001000</v>
      </c>
      <c r="G78" s="55">
        <v>765</v>
      </c>
      <c r="H78" s="55">
        <v>2859000000</v>
      </c>
    </row>
    <row r="79" spans="1:8" x14ac:dyDescent="0.3">
      <c r="A79" s="53">
        <v>5000000</v>
      </c>
      <c r="B79" s="53">
        <v>313</v>
      </c>
      <c r="C79" s="53">
        <v>2738000000</v>
      </c>
      <c r="D79" s="54">
        <v>1.7495207667731627</v>
      </c>
      <c r="F79" s="53">
        <v>5000000</v>
      </c>
      <c r="G79" s="55">
        <v>313</v>
      </c>
      <c r="H79" s="55">
        <v>2738000000</v>
      </c>
    </row>
    <row r="80" spans="1:8" x14ac:dyDescent="0.3">
      <c r="A80" s="51" t="s">
        <v>56</v>
      </c>
      <c r="B80" s="51" t="s">
        <v>72</v>
      </c>
      <c r="C80" s="51" t="s">
        <v>73</v>
      </c>
      <c r="D80" s="52" t="s">
        <v>59</v>
      </c>
      <c r="E80" s="53">
        <v>423500</v>
      </c>
      <c r="G80" s="2"/>
      <c r="H80" s="2"/>
    </row>
    <row r="81" spans="1:8" x14ac:dyDescent="0.3">
      <c r="A81" s="53">
        <v>121000</v>
      </c>
      <c r="B81" s="53"/>
      <c r="C81" s="53"/>
      <c r="D81" s="54"/>
      <c r="F81" s="53">
        <v>121000</v>
      </c>
      <c r="G81" s="2">
        <v>298802.65125557559</v>
      </c>
      <c r="H81" s="2">
        <v>40342388329.977463</v>
      </c>
    </row>
    <row r="82" spans="1:8" x14ac:dyDescent="0.3">
      <c r="A82" s="53">
        <v>151000</v>
      </c>
      <c r="B82" s="53"/>
      <c r="C82" s="53"/>
      <c r="D82" s="54"/>
      <c r="F82" s="53">
        <v>151000</v>
      </c>
      <c r="G82" s="2">
        <v>260475.11368536539</v>
      </c>
      <c r="H82" s="2">
        <v>44623768955.675728</v>
      </c>
    </row>
    <row r="83" spans="1:8" x14ac:dyDescent="0.3">
      <c r="A83" s="53">
        <v>201000</v>
      </c>
      <c r="B83" s="53"/>
      <c r="C83" s="53"/>
      <c r="D83" s="54"/>
      <c r="F83" s="53">
        <v>201000</v>
      </c>
      <c r="G83" s="2">
        <v>135827.31434281811</v>
      </c>
      <c r="H83" s="2">
        <v>33442170586.469173</v>
      </c>
    </row>
    <row r="84" spans="1:8" x14ac:dyDescent="0.3">
      <c r="A84" s="53">
        <v>423500</v>
      </c>
      <c r="B84" s="53">
        <v>16591</v>
      </c>
      <c r="C84" s="53">
        <v>7627000000</v>
      </c>
      <c r="D84" s="54">
        <v>1.8281921276885496</v>
      </c>
      <c r="F84" s="53">
        <v>301000</v>
      </c>
      <c r="G84" s="2">
        <v>93185.568928565655</v>
      </c>
      <c r="H84" s="2">
        <v>34908747085.195915</v>
      </c>
    </row>
    <row r="85" spans="1:8" x14ac:dyDescent="0.3">
      <c r="A85" s="53">
        <v>501000</v>
      </c>
      <c r="B85" s="53">
        <v>23719</v>
      </c>
      <c r="C85" s="53">
        <v>14587000000</v>
      </c>
      <c r="D85" s="54">
        <v>1.8275338155392766</v>
      </c>
      <c r="F85" s="53">
        <v>501000</v>
      </c>
      <c r="G85" s="55">
        <v>23719</v>
      </c>
      <c r="H85" s="55">
        <v>14587000000</v>
      </c>
    </row>
    <row r="86" spans="1:8" x14ac:dyDescent="0.3">
      <c r="A86" s="53">
        <v>801000</v>
      </c>
      <c r="B86" s="53">
        <v>7817</v>
      </c>
      <c r="C86" s="53">
        <v>7491000000</v>
      </c>
      <c r="D86" s="54">
        <v>1.8175114112360309</v>
      </c>
      <c r="F86" s="53">
        <v>801000</v>
      </c>
      <c r="G86" s="55">
        <v>7817</v>
      </c>
      <c r="H86" s="55">
        <v>7491000000</v>
      </c>
    </row>
    <row r="87" spans="1:8" x14ac:dyDescent="0.3">
      <c r="A87" s="53">
        <v>1201000</v>
      </c>
      <c r="B87" s="53">
        <v>3561</v>
      </c>
      <c r="C87" s="53">
        <v>5343000000</v>
      </c>
      <c r="D87" s="54">
        <v>1.8139811323061175</v>
      </c>
      <c r="F87" s="53">
        <v>1201000</v>
      </c>
      <c r="G87" s="55">
        <v>3561</v>
      </c>
      <c r="H87" s="55">
        <v>5343000000</v>
      </c>
    </row>
    <row r="88" spans="1:8" x14ac:dyDescent="0.3">
      <c r="A88" s="53">
        <v>2001000</v>
      </c>
      <c r="B88" s="53">
        <v>1054</v>
      </c>
      <c r="C88" s="53">
        <v>2542000000</v>
      </c>
      <c r="D88" s="54">
        <v>1.7518713170887084</v>
      </c>
      <c r="F88" s="53">
        <v>2001000</v>
      </c>
      <c r="G88" s="55">
        <v>1054</v>
      </c>
      <c r="H88" s="55">
        <v>2542000000</v>
      </c>
    </row>
    <row r="89" spans="1:8" x14ac:dyDescent="0.3">
      <c r="A89" s="53">
        <v>3001000</v>
      </c>
      <c r="B89" s="53">
        <v>556</v>
      </c>
      <c r="C89" s="53">
        <v>2071000000</v>
      </c>
      <c r="D89" s="54">
        <v>1.6695914242684988</v>
      </c>
      <c r="F89" s="53">
        <v>3001000</v>
      </c>
      <c r="G89" s="55">
        <v>556</v>
      </c>
      <c r="H89" s="55">
        <v>2071000000</v>
      </c>
    </row>
    <row r="90" spans="1:8" x14ac:dyDescent="0.3">
      <c r="A90" s="53">
        <v>5000000</v>
      </c>
      <c r="B90" s="53">
        <v>210</v>
      </c>
      <c r="C90" s="53">
        <v>1767000000</v>
      </c>
      <c r="D90" s="54">
        <v>1.6828571428571428</v>
      </c>
      <c r="F90" s="53">
        <v>5000000</v>
      </c>
      <c r="G90" s="55">
        <v>210</v>
      </c>
      <c r="H90" s="55">
        <v>1767000000</v>
      </c>
    </row>
    <row r="91" spans="1:8" x14ac:dyDescent="0.3">
      <c r="A91" s="51" t="s">
        <v>56</v>
      </c>
      <c r="B91" s="51" t="s">
        <v>74</v>
      </c>
      <c r="C91" s="51" t="s">
        <v>75</v>
      </c>
      <c r="D91" s="52" t="s">
        <v>59</v>
      </c>
      <c r="E91" s="53">
        <v>484000</v>
      </c>
      <c r="G91" s="2"/>
      <c r="H91" s="2"/>
    </row>
    <row r="92" spans="1:8" x14ac:dyDescent="0.3">
      <c r="A92" s="53">
        <v>121000</v>
      </c>
      <c r="B92" s="53"/>
      <c r="C92" s="53"/>
      <c r="D92" s="54"/>
      <c r="F92" s="53">
        <v>121000</v>
      </c>
      <c r="G92" s="2">
        <v>134429.06916599549</v>
      </c>
      <c r="H92" s="2">
        <v>18149737588.818649</v>
      </c>
    </row>
    <row r="93" spans="1:8" x14ac:dyDescent="0.3">
      <c r="A93" s="53">
        <v>151000</v>
      </c>
      <c r="B93" s="53"/>
      <c r="C93" s="53"/>
      <c r="D93" s="54"/>
      <c r="F93" s="53">
        <v>151000</v>
      </c>
      <c r="G93" s="2">
        <v>117185.79780498899</v>
      </c>
      <c r="H93" s="2">
        <v>20075898584.510971</v>
      </c>
    </row>
    <row r="94" spans="1:8" x14ac:dyDescent="0.3">
      <c r="A94" s="53">
        <v>201000</v>
      </c>
      <c r="B94" s="53"/>
      <c r="C94" s="53"/>
      <c r="D94" s="54"/>
      <c r="F94" s="53">
        <v>201000</v>
      </c>
      <c r="G94" s="2">
        <v>61107.688829723513</v>
      </c>
      <c r="H94" s="2">
        <v>15045381438.012249</v>
      </c>
    </row>
    <row r="95" spans="1:8" x14ac:dyDescent="0.3">
      <c r="A95" s="53">
        <v>484000</v>
      </c>
      <c r="B95" s="53">
        <v>1479</v>
      </c>
      <c r="C95" s="53">
        <v>728000000</v>
      </c>
      <c r="D95" s="54">
        <v>1.914442194523889</v>
      </c>
      <c r="F95" s="53">
        <v>301000</v>
      </c>
      <c r="G95" s="2">
        <v>41923.487753983056</v>
      </c>
      <c r="H95" s="2">
        <v>15705183192.635677</v>
      </c>
    </row>
    <row r="96" spans="1:8" x14ac:dyDescent="0.3">
      <c r="A96" s="53">
        <v>501000</v>
      </c>
      <c r="B96" s="53">
        <v>10671</v>
      </c>
      <c r="C96" s="53">
        <v>6602000000</v>
      </c>
      <c r="D96" s="54">
        <v>1.9228259719193426</v>
      </c>
      <c r="F96" s="53">
        <v>501000</v>
      </c>
      <c r="G96" s="55">
        <v>10671</v>
      </c>
      <c r="H96" s="55">
        <v>6602000000</v>
      </c>
    </row>
    <row r="97" spans="1:8" x14ac:dyDescent="0.3">
      <c r="A97" s="53">
        <v>801000</v>
      </c>
      <c r="B97" s="53">
        <v>3811</v>
      </c>
      <c r="C97" s="53">
        <v>3652000000</v>
      </c>
      <c r="D97" s="54">
        <v>1.8766911296287745</v>
      </c>
      <c r="F97" s="53">
        <v>801000</v>
      </c>
      <c r="G97" s="55">
        <v>3811</v>
      </c>
      <c r="H97" s="55">
        <v>3652000000</v>
      </c>
    </row>
    <row r="98" spans="1:8" x14ac:dyDescent="0.3">
      <c r="A98" s="53">
        <v>1201000</v>
      </c>
      <c r="B98" s="53">
        <v>1980</v>
      </c>
      <c r="C98" s="53">
        <v>2984000000</v>
      </c>
      <c r="D98" s="54">
        <v>1.8278669807815933</v>
      </c>
      <c r="F98" s="53">
        <v>1201000</v>
      </c>
      <c r="G98" s="55">
        <v>1980</v>
      </c>
      <c r="H98" s="55">
        <v>2984000000</v>
      </c>
    </row>
    <row r="99" spans="1:8" x14ac:dyDescent="0.3">
      <c r="A99" s="53">
        <v>2001000</v>
      </c>
      <c r="B99" s="53">
        <v>615</v>
      </c>
      <c r="C99" s="53">
        <v>1486000000</v>
      </c>
      <c r="D99" s="54">
        <v>1.7640543097696988</v>
      </c>
      <c r="F99" s="53">
        <v>2001000</v>
      </c>
      <c r="G99" s="55">
        <v>615</v>
      </c>
      <c r="H99" s="55">
        <v>1486000000</v>
      </c>
    </row>
    <row r="100" spans="1:8" x14ac:dyDescent="0.3">
      <c r="A100" s="53">
        <v>3001000</v>
      </c>
      <c r="B100" s="53">
        <v>302</v>
      </c>
      <c r="C100" s="53">
        <v>1139000000</v>
      </c>
      <c r="D100" s="54">
        <v>1.7383368105541173</v>
      </c>
      <c r="F100" s="53">
        <v>3001000</v>
      </c>
      <c r="G100" s="55">
        <v>302</v>
      </c>
      <c r="H100" s="55">
        <v>1139000000</v>
      </c>
    </row>
    <row r="101" spans="1:8" x14ac:dyDescent="0.3">
      <c r="A101" s="53">
        <v>5000000</v>
      </c>
      <c r="B101" s="53">
        <v>104</v>
      </c>
      <c r="C101" s="53">
        <v>979000000</v>
      </c>
      <c r="D101" s="54">
        <v>1.8826923076923077</v>
      </c>
      <c r="F101" s="53">
        <v>5000000</v>
      </c>
      <c r="G101" s="55">
        <v>104</v>
      </c>
      <c r="H101" s="55">
        <v>979000000</v>
      </c>
    </row>
    <row r="102" spans="1:8" x14ac:dyDescent="0.3">
      <c r="A102" s="51" t="s">
        <v>56</v>
      </c>
      <c r="B102" s="51" t="s">
        <v>76</v>
      </c>
      <c r="C102" s="51" t="s">
        <v>77</v>
      </c>
      <c r="D102" s="52" t="s">
        <v>59</v>
      </c>
      <c r="E102" s="53">
        <v>544500</v>
      </c>
      <c r="G102" s="2"/>
      <c r="H102" s="2"/>
    </row>
    <row r="103" spans="1:8" x14ac:dyDescent="0.3">
      <c r="A103" s="53">
        <v>121000</v>
      </c>
      <c r="B103" s="53"/>
      <c r="C103" s="53"/>
      <c r="D103" s="54"/>
      <c r="F103" s="53">
        <v>121000</v>
      </c>
      <c r="G103" s="2">
        <v>69313.335321747873</v>
      </c>
      <c r="H103" s="2">
        <v>9358235203.8910122</v>
      </c>
    </row>
    <row r="104" spans="1:8" x14ac:dyDescent="0.3">
      <c r="A104" s="53">
        <v>151000</v>
      </c>
      <c r="B104" s="53"/>
      <c r="C104" s="53"/>
      <c r="D104" s="54"/>
      <c r="F104" s="53">
        <v>151000</v>
      </c>
      <c r="G104" s="2">
        <v>60422.485617109254</v>
      </c>
      <c r="H104" s="2">
        <v>10351388275.666245</v>
      </c>
    </row>
    <row r="105" spans="1:8" x14ac:dyDescent="0.3">
      <c r="A105" s="53">
        <v>201000</v>
      </c>
      <c r="B105" s="53"/>
      <c r="C105" s="53"/>
      <c r="D105" s="54"/>
      <c r="F105" s="53">
        <v>201000</v>
      </c>
      <c r="G105" s="2">
        <v>31507.900433063947</v>
      </c>
      <c r="H105" s="2">
        <v>7757589746.9677439</v>
      </c>
    </row>
    <row r="106" spans="1:8" x14ac:dyDescent="0.3">
      <c r="A106" s="53">
        <v>301000</v>
      </c>
      <c r="B106" s="53"/>
      <c r="C106" s="53"/>
      <c r="D106" s="54"/>
      <c r="F106" s="53">
        <v>301000</v>
      </c>
      <c r="G106" s="2">
        <v>21616.282717548336</v>
      </c>
      <c r="H106" s="2">
        <v>8097791911.1858063</v>
      </c>
    </row>
    <row r="107" spans="1:8" x14ac:dyDescent="0.3">
      <c r="A107" s="53">
        <v>544500</v>
      </c>
      <c r="B107" s="53">
        <v>3491</v>
      </c>
      <c r="C107" s="53">
        <v>2277000000</v>
      </c>
      <c r="D107" s="54">
        <v>2.0275482093663912</v>
      </c>
      <c r="F107" s="53">
        <v>501000</v>
      </c>
      <c r="G107" s="2">
        <v>5502.1031225400156</v>
      </c>
      <c r="H107" s="2">
        <v>3404075045.9197059</v>
      </c>
    </row>
    <row r="108" spans="1:8" x14ac:dyDescent="0.3">
      <c r="A108" s="53">
        <v>801000</v>
      </c>
      <c r="B108" s="53">
        <v>1965</v>
      </c>
      <c r="C108" s="53">
        <v>1900000000</v>
      </c>
      <c r="D108" s="54">
        <v>1.9200682690940121</v>
      </c>
      <c r="F108" s="53">
        <v>801000</v>
      </c>
      <c r="G108" s="55">
        <v>1965</v>
      </c>
      <c r="H108" s="55">
        <v>1900000000</v>
      </c>
    </row>
    <row r="109" spans="1:8" x14ac:dyDescent="0.3">
      <c r="A109" s="53">
        <v>1201000</v>
      </c>
      <c r="B109" s="53">
        <v>1079</v>
      </c>
      <c r="C109" s="53">
        <v>1625000000</v>
      </c>
      <c r="D109" s="54">
        <v>1.8403876537876114</v>
      </c>
      <c r="F109" s="53">
        <v>1201000</v>
      </c>
      <c r="G109" s="55">
        <v>1079</v>
      </c>
      <c r="H109" s="55">
        <v>1625000000</v>
      </c>
    </row>
    <row r="110" spans="1:8" x14ac:dyDescent="0.3">
      <c r="A110" s="53">
        <v>2001000</v>
      </c>
      <c r="B110" s="53">
        <v>349</v>
      </c>
      <c r="C110" s="53">
        <v>843000000</v>
      </c>
      <c r="D110" s="54">
        <v>1.7482784031712957</v>
      </c>
      <c r="F110" s="53">
        <v>2001000</v>
      </c>
      <c r="G110" s="55">
        <v>349</v>
      </c>
      <c r="H110" s="55">
        <v>843000000</v>
      </c>
    </row>
    <row r="111" spans="1:8" x14ac:dyDescent="0.3">
      <c r="A111" s="53">
        <v>3001000</v>
      </c>
      <c r="B111" s="53">
        <v>165</v>
      </c>
      <c r="C111" s="53">
        <v>617000000</v>
      </c>
      <c r="D111" s="54">
        <v>1.6882339358526413</v>
      </c>
      <c r="F111" s="53">
        <v>3001000</v>
      </c>
      <c r="G111" s="55">
        <v>165</v>
      </c>
      <c r="H111" s="55">
        <v>617000000</v>
      </c>
    </row>
    <row r="112" spans="1:8" x14ac:dyDescent="0.3">
      <c r="A112" s="53">
        <v>5000000</v>
      </c>
      <c r="B112" s="53">
        <v>76</v>
      </c>
      <c r="C112" s="53">
        <v>604000000</v>
      </c>
      <c r="D112" s="54">
        <v>1.5894736842105264</v>
      </c>
      <c r="F112" s="53">
        <v>5000000</v>
      </c>
      <c r="G112" s="55">
        <v>76</v>
      </c>
      <c r="H112" s="55">
        <v>604000000</v>
      </c>
    </row>
    <row r="113" spans="1:8" x14ac:dyDescent="0.3">
      <c r="A113" s="51" t="s">
        <v>56</v>
      </c>
      <c r="B113" s="51" t="s">
        <v>78</v>
      </c>
      <c r="C113" s="51" t="s">
        <v>79</v>
      </c>
      <c r="D113" s="52" t="s">
        <v>59</v>
      </c>
      <c r="E113" s="53">
        <v>605000</v>
      </c>
      <c r="G113" s="2"/>
      <c r="H113" s="2"/>
    </row>
    <row r="114" spans="1:8" x14ac:dyDescent="0.3">
      <c r="A114" s="53">
        <v>121000</v>
      </c>
      <c r="B114" s="53"/>
      <c r="C114" s="53"/>
      <c r="D114" s="54"/>
      <c r="F114" s="53">
        <v>121000</v>
      </c>
      <c r="G114" s="2">
        <v>34109.92124993902</v>
      </c>
      <c r="H114" s="2">
        <v>4605299461.6603594</v>
      </c>
    </row>
    <row r="115" spans="1:8" x14ac:dyDescent="0.3">
      <c r="A115" s="53">
        <v>151000</v>
      </c>
      <c r="B115" s="53"/>
      <c r="C115" s="53"/>
      <c r="D115" s="54"/>
      <c r="F115" s="53">
        <v>151000</v>
      </c>
      <c r="G115" s="2">
        <v>29734.627782058338</v>
      </c>
      <c r="H115" s="2">
        <v>5094041965.6841002</v>
      </c>
    </row>
    <row r="116" spans="1:8" x14ac:dyDescent="0.3">
      <c r="A116" s="53">
        <v>201000</v>
      </c>
      <c r="B116" s="53"/>
      <c r="C116" s="53"/>
      <c r="D116" s="54"/>
      <c r="F116" s="53">
        <v>201000</v>
      </c>
      <c r="G116" s="2">
        <v>15505.414615151569</v>
      </c>
      <c r="H116" s="2">
        <v>3817602689.7291636</v>
      </c>
    </row>
    <row r="117" spans="1:8" x14ac:dyDescent="0.3">
      <c r="A117" s="53">
        <v>301000</v>
      </c>
      <c r="B117" s="53"/>
      <c r="C117" s="53"/>
      <c r="D117" s="54"/>
      <c r="F117" s="53">
        <v>301000</v>
      </c>
      <c r="G117" s="2">
        <v>10637.631240645924</v>
      </c>
      <c r="H117" s="2">
        <v>3985020243.3163738</v>
      </c>
    </row>
    <row r="118" spans="1:8" x14ac:dyDescent="0.3">
      <c r="A118" s="53">
        <v>605000</v>
      </c>
      <c r="B118" s="53">
        <v>1122</v>
      </c>
      <c r="C118" s="53">
        <v>777000000</v>
      </c>
      <c r="D118" s="54">
        <v>2.1842389448582384</v>
      </c>
      <c r="F118" s="53">
        <v>501000</v>
      </c>
      <c r="G118" s="2">
        <v>2707.6507478352137</v>
      </c>
      <c r="H118" s="2">
        <v>1675186040.4093413</v>
      </c>
    </row>
    <row r="119" spans="1:8" x14ac:dyDescent="0.3">
      <c r="A119" s="53">
        <v>801000</v>
      </c>
      <c r="B119" s="53">
        <v>967</v>
      </c>
      <c r="C119" s="53">
        <v>927000000</v>
      </c>
      <c r="D119" s="54">
        <v>2.1247026123006618</v>
      </c>
      <c r="F119" s="53">
        <v>801000</v>
      </c>
      <c r="G119" s="55">
        <v>967</v>
      </c>
      <c r="H119" s="55">
        <v>927000000</v>
      </c>
    </row>
    <row r="120" spans="1:8" x14ac:dyDescent="0.3">
      <c r="A120" s="53">
        <v>1201000</v>
      </c>
      <c r="B120" s="53">
        <v>536</v>
      </c>
      <c r="C120" s="53">
        <v>814000000</v>
      </c>
      <c r="D120" s="54">
        <v>2.0909752383524238</v>
      </c>
      <c r="F120" s="53">
        <v>1201000</v>
      </c>
      <c r="G120" s="55">
        <v>536</v>
      </c>
      <c r="H120" s="55">
        <v>814000000</v>
      </c>
    </row>
    <row r="121" spans="1:8" x14ac:dyDescent="0.3">
      <c r="A121" s="53">
        <v>2001000</v>
      </c>
      <c r="B121" s="53">
        <v>167</v>
      </c>
      <c r="C121" s="53">
        <v>399000000</v>
      </c>
      <c r="D121" s="54">
        <v>2.010358457135069</v>
      </c>
      <c r="F121" s="53">
        <v>2001000</v>
      </c>
      <c r="G121" s="55">
        <v>167</v>
      </c>
      <c r="H121" s="55">
        <v>399000000</v>
      </c>
    </row>
    <row r="122" spans="1:8" x14ac:dyDescent="0.3">
      <c r="A122" s="53">
        <v>3001000</v>
      </c>
      <c r="B122" s="53">
        <v>122</v>
      </c>
      <c r="C122" s="53">
        <v>464000000</v>
      </c>
      <c r="D122" s="54">
        <v>1.8318218251573799</v>
      </c>
      <c r="F122" s="53">
        <v>3001000</v>
      </c>
      <c r="G122" s="55">
        <v>122</v>
      </c>
      <c r="H122" s="55">
        <v>464000000</v>
      </c>
    </row>
    <row r="123" spans="1:8" x14ac:dyDescent="0.3">
      <c r="A123" s="53">
        <v>5000000</v>
      </c>
      <c r="B123" s="53">
        <v>63</v>
      </c>
      <c r="C123" s="53">
        <v>553000000</v>
      </c>
      <c r="D123" s="54">
        <v>1.7555555555555555</v>
      </c>
      <c r="F123" s="53">
        <v>5000000</v>
      </c>
      <c r="G123" s="55">
        <v>63</v>
      </c>
      <c r="H123" s="55">
        <v>553000000</v>
      </c>
    </row>
    <row r="124" spans="1:8" x14ac:dyDescent="0.3">
      <c r="A124" s="51" t="s">
        <v>56</v>
      </c>
      <c r="B124" s="51" t="s">
        <v>80</v>
      </c>
      <c r="C124" s="51" t="s">
        <v>81</v>
      </c>
      <c r="D124" s="52" t="s">
        <v>59</v>
      </c>
      <c r="E124" s="53">
        <v>665500</v>
      </c>
      <c r="G124" s="2"/>
      <c r="H124" s="2"/>
    </row>
    <row r="125" spans="1:8" x14ac:dyDescent="0.3">
      <c r="A125" s="53">
        <v>121000</v>
      </c>
      <c r="B125" s="53"/>
      <c r="C125" s="53"/>
      <c r="D125" s="54"/>
      <c r="F125" s="53">
        <v>121000</v>
      </c>
      <c r="G125" s="2">
        <v>16084.926670084998</v>
      </c>
      <c r="H125" s="2">
        <v>2171682062.5823412</v>
      </c>
    </row>
    <row r="126" spans="1:8" x14ac:dyDescent="0.3">
      <c r="A126" s="53">
        <v>151000</v>
      </c>
      <c r="B126" s="53"/>
      <c r="C126" s="53"/>
      <c r="D126" s="54"/>
      <c r="F126" s="53">
        <v>151000</v>
      </c>
      <c r="G126" s="2">
        <v>14021.706585955122</v>
      </c>
      <c r="H126" s="2">
        <v>2402154225.8034639</v>
      </c>
    </row>
    <row r="127" spans="1:8" x14ac:dyDescent="0.3">
      <c r="A127" s="53">
        <v>201000</v>
      </c>
      <c r="B127" s="53"/>
      <c r="C127" s="53"/>
      <c r="D127" s="54"/>
      <c r="F127" s="53">
        <v>201000</v>
      </c>
      <c r="G127" s="2">
        <v>7311.7570470621677</v>
      </c>
      <c r="H127" s="2">
        <v>1800234567.2352626</v>
      </c>
    </row>
    <row r="128" spans="1:8" x14ac:dyDescent="0.3">
      <c r="A128" s="53">
        <v>301000</v>
      </c>
      <c r="B128" s="53"/>
      <c r="C128" s="53"/>
      <c r="D128" s="54"/>
      <c r="F128" s="53">
        <v>301000</v>
      </c>
      <c r="G128" s="2">
        <v>5016.2976688051103</v>
      </c>
      <c r="H128" s="2">
        <v>1879182245.0385382</v>
      </c>
    </row>
    <row r="129" spans="1:8" x14ac:dyDescent="0.3">
      <c r="A129" s="53">
        <v>665500</v>
      </c>
      <c r="B129" s="53">
        <v>312</v>
      </c>
      <c r="C129" s="53">
        <v>229000000</v>
      </c>
      <c r="D129" s="54">
        <v>2.0371220104982375</v>
      </c>
      <c r="F129" s="53">
        <v>501000</v>
      </c>
      <c r="G129" s="2">
        <v>1276.8239307268434</v>
      </c>
      <c r="H129" s="2">
        <v>789953293.09892416</v>
      </c>
    </row>
    <row r="130" spans="1:8" x14ac:dyDescent="0.3">
      <c r="A130" s="53">
        <v>801000</v>
      </c>
      <c r="B130" s="53">
        <v>456</v>
      </c>
      <c r="C130" s="53">
        <v>439000000</v>
      </c>
      <c r="D130" s="54">
        <v>1.9677108160254226</v>
      </c>
      <c r="F130" s="53">
        <v>801000</v>
      </c>
      <c r="G130" s="55">
        <v>456</v>
      </c>
      <c r="H130" s="55">
        <v>439000000</v>
      </c>
    </row>
    <row r="131" spans="1:8" x14ac:dyDescent="0.3">
      <c r="A131" s="53">
        <v>1201000</v>
      </c>
      <c r="B131" s="53">
        <v>272</v>
      </c>
      <c r="C131" s="53">
        <v>405000000</v>
      </c>
      <c r="D131" s="54">
        <v>1.8616561670306191</v>
      </c>
      <c r="F131" s="53">
        <v>1201000</v>
      </c>
      <c r="G131" s="55">
        <v>272</v>
      </c>
      <c r="H131" s="55">
        <v>405000000</v>
      </c>
    </row>
    <row r="132" spans="1:8" x14ac:dyDescent="0.3">
      <c r="A132" s="53">
        <v>2001000</v>
      </c>
      <c r="B132" s="53">
        <v>86</v>
      </c>
      <c r="C132" s="53">
        <v>211000000</v>
      </c>
      <c r="D132" s="54">
        <v>1.7852915647439438</v>
      </c>
      <c r="F132" s="53">
        <v>2001000</v>
      </c>
      <c r="G132" s="55">
        <v>86</v>
      </c>
      <c r="H132" s="55">
        <v>211000000</v>
      </c>
    </row>
    <row r="133" spans="1:8" x14ac:dyDescent="0.3">
      <c r="A133" s="53">
        <v>3001000</v>
      </c>
      <c r="B133" s="53">
        <v>45</v>
      </c>
      <c r="C133" s="53">
        <v>174000000</v>
      </c>
      <c r="D133" s="54">
        <v>1.676208940454192</v>
      </c>
      <c r="F133" s="53">
        <v>3001000</v>
      </c>
      <c r="G133" s="55">
        <v>45</v>
      </c>
      <c r="H133" s="55">
        <v>174000000</v>
      </c>
    </row>
    <row r="134" spans="1:8" x14ac:dyDescent="0.3">
      <c r="A134" s="53">
        <v>5000000</v>
      </c>
      <c r="B134" s="53">
        <v>21</v>
      </c>
      <c r="C134" s="53">
        <v>158000000</v>
      </c>
      <c r="D134" s="54">
        <v>1.5047619047619047</v>
      </c>
      <c r="F134" s="53">
        <v>5000000</v>
      </c>
      <c r="G134" s="55">
        <v>21</v>
      </c>
      <c r="H134" s="55">
        <v>158000000</v>
      </c>
    </row>
    <row r="135" spans="1:8" x14ac:dyDescent="0.3">
      <c r="A135" s="51" t="s">
        <v>56</v>
      </c>
      <c r="B135" s="51" t="s">
        <v>82</v>
      </c>
      <c r="C135" s="51" t="s">
        <v>83</v>
      </c>
      <c r="D135" s="52" t="s">
        <v>59</v>
      </c>
      <c r="E135" s="53">
        <v>726000</v>
      </c>
      <c r="G135" s="2"/>
      <c r="H135" s="2"/>
    </row>
    <row r="136" spans="1:8" x14ac:dyDescent="0.3">
      <c r="A136" s="53">
        <v>121000</v>
      </c>
      <c r="B136" s="53"/>
      <c r="C136" s="53"/>
      <c r="D136" s="54"/>
      <c r="F136" s="53">
        <v>121000</v>
      </c>
      <c r="G136" s="2">
        <v>9277.052004895515</v>
      </c>
      <c r="H136" s="2">
        <v>1252527154.5156925</v>
      </c>
    </row>
    <row r="137" spans="1:8" x14ac:dyDescent="0.3">
      <c r="A137" s="53">
        <v>151000</v>
      </c>
      <c r="B137" s="53"/>
      <c r="C137" s="53"/>
      <c r="D137" s="54"/>
      <c r="F137" s="53">
        <v>151000</v>
      </c>
      <c r="G137" s="2">
        <v>8087.0807721627134</v>
      </c>
      <c r="H137" s="2">
        <v>1385452985.4962962</v>
      </c>
    </row>
    <row r="138" spans="1:8" x14ac:dyDescent="0.3">
      <c r="A138" s="53">
        <v>201000</v>
      </c>
      <c r="B138" s="53"/>
      <c r="C138" s="53"/>
      <c r="D138" s="54"/>
      <c r="F138" s="53">
        <v>201000</v>
      </c>
      <c r="G138" s="2">
        <v>4217.087946002961</v>
      </c>
      <c r="H138" s="2">
        <v>1038293182.4185835</v>
      </c>
    </row>
    <row r="139" spans="1:8" x14ac:dyDescent="0.3">
      <c r="A139" s="53">
        <v>301000</v>
      </c>
      <c r="B139" s="53"/>
      <c r="C139" s="53"/>
      <c r="D139" s="54"/>
      <c r="F139" s="53">
        <v>301000</v>
      </c>
      <c r="G139" s="2">
        <v>2893.1716817889123</v>
      </c>
      <c r="H139" s="2">
        <v>1083826601.8533676</v>
      </c>
    </row>
    <row r="140" spans="1:8" x14ac:dyDescent="0.3">
      <c r="A140" s="53">
        <v>726000</v>
      </c>
      <c r="B140" s="53">
        <v>72</v>
      </c>
      <c r="C140" s="53">
        <v>55000000</v>
      </c>
      <c r="D140" s="54">
        <v>2.094036184945276</v>
      </c>
      <c r="F140" s="53">
        <v>501000</v>
      </c>
      <c r="G140" s="2">
        <v>736.41380215166623</v>
      </c>
      <c r="H140" s="2">
        <v>455609026.50223041</v>
      </c>
    </row>
    <row r="141" spans="1:8" x14ac:dyDescent="0.3">
      <c r="A141" s="53">
        <v>801000</v>
      </c>
      <c r="B141" s="53">
        <v>263</v>
      </c>
      <c r="C141" s="53">
        <v>251000000</v>
      </c>
      <c r="D141" s="54">
        <v>2.0287141073657926</v>
      </c>
      <c r="F141" s="53">
        <v>801000</v>
      </c>
      <c r="G141" s="55">
        <v>263</v>
      </c>
      <c r="H141" s="55">
        <v>251000000</v>
      </c>
    </row>
    <row r="142" spans="1:8" x14ac:dyDescent="0.3">
      <c r="A142" s="53">
        <v>1201000</v>
      </c>
      <c r="B142" s="53">
        <v>162</v>
      </c>
      <c r="C142" s="53">
        <v>242000000</v>
      </c>
      <c r="D142" s="54">
        <v>1.9244663169796894</v>
      </c>
      <c r="F142" s="53">
        <v>1201000</v>
      </c>
      <c r="G142" s="55">
        <v>162</v>
      </c>
      <c r="H142" s="55">
        <v>242000000</v>
      </c>
    </row>
    <row r="143" spans="1:8" x14ac:dyDescent="0.3">
      <c r="A143" s="53">
        <v>2001000</v>
      </c>
      <c r="B143" s="53">
        <v>53</v>
      </c>
      <c r="C143" s="53">
        <v>127000000</v>
      </c>
      <c r="D143" s="54">
        <v>1.8517057260843262</v>
      </c>
      <c r="F143" s="53">
        <v>2001000</v>
      </c>
      <c r="G143" s="55">
        <v>53</v>
      </c>
      <c r="H143" s="55">
        <v>127000000</v>
      </c>
    </row>
    <row r="144" spans="1:8" x14ac:dyDescent="0.3">
      <c r="A144" s="53">
        <v>3001000</v>
      </c>
      <c r="B144" s="53">
        <v>28</v>
      </c>
      <c r="C144" s="53">
        <v>103000000</v>
      </c>
      <c r="D144" s="54">
        <v>1.7851192459656307</v>
      </c>
      <c r="F144" s="53">
        <v>3001000</v>
      </c>
      <c r="G144" s="55">
        <v>28</v>
      </c>
      <c r="H144" s="55">
        <v>103000000</v>
      </c>
    </row>
    <row r="145" spans="1:8" x14ac:dyDescent="0.3">
      <c r="A145" s="53">
        <v>5000000</v>
      </c>
      <c r="B145" s="53">
        <v>14</v>
      </c>
      <c r="C145" s="53">
        <v>122000000</v>
      </c>
      <c r="D145" s="54">
        <v>1.7428571428571429</v>
      </c>
      <c r="F145" s="53">
        <v>5000000</v>
      </c>
      <c r="G145" s="55">
        <v>14</v>
      </c>
      <c r="H145" s="55">
        <v>122000000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"/>
  <sheetViews>
    <sheetView workbookViewId="0">
      <selection activeCell="N4" sqref="N4:O12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3" width="14.19921875" customWidth="1"/>
  </cols>
  <sheetData>
    <row r="1" spans="1:18" x14ac:dyDescent="0.3">
      <c r="A1" s="79" t="s">
        <v>212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8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70"/>
      <c r="J2" s="3"/>
      <c r="K2" s="3" t="s">
        <v>2</v>
      </c>
    </row>
    <row r="3" spans="1:18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151000</v>
      </c>
      <c r="N3" t="s">
        <v>7</v>
      </c>
      <c r="O3" t="s">
        <v>8</v>
      </c>
      <c r="P3" t="s">
        <v>14</v>
      </c>
    </row>
    <row r="4" spans="1:18" x14ac:dyDescent="0.3">
      <c r="A4" s="53">
        <v>151000</v>
      </c>
      <c r="B4" s="53">
        <v>518427</v>
      </c>
      <c r="C4" s="53">
        <v>89993000000</v>
      </c>
      <c r="D4" s="54">
        <v>1.6014221001100954</v>
      </c>
      <c r="F4" s="53">
        <v>151000</v>
      </c>
      <c r="G4" s="55">
        <v>518427</v>
      </c>
      <c r="H4" s="55">
        <v>89993000000</v>
      </c>
      <c r="I4" s="2">
        <f t="shared" ref="I4:I12" si="0">H4/G4</f>
        <v>173588.56695349587</v>
      </c>
      <c r="K4" s="53">
        <v>151000</v>
      </c>
      <c r="L4" s="2">
        <f>G4+G14+G24+G34+G44+G54+G64+G74+G84+G94+G104+G114+G124</f>
        <v>2847525.479041642</v>
      </c>
      <c r="M4" s="2">
        <f t="shared" ref="M4:M12" si="1">H4+H14+H24+H34+H44+H54+H64+H74+H84+H94+H104+H114+H124</f>
        <v>494297867270.40552</v>
      </c>
      <c r="N4">
        <f>1-SUM(L4:L$12)/K$14</f>
        <v>0.58024239948784029</v>
      </c>
      <c r="O4">
        <f>(SUM(M4:M$12)/SUM(L4:L$12))/K4</f>
        <v>2.0505703881753772</v>
      </c>
      <c r="P4">
        <f t="shared" ref="P4:P12" si="2">(G4+G24+G44)/L4</f>
        <v>0.22441096494745622</v>
      </c>
      <c r="R4">
        <f>M4/L4</f>
        <v>173588.56695349587</v>
      </c>
    </row>
    <row r="5" spans="1:18" x14ac:dyDescent="0.3">
      <c r="A5" s="53">
        <v>201000</v>
      </c>
      <c r="B5" s="53">
        <v>364102</v>
      </c>
      <c r="C5" s="53">
        <v>86709000000</v>
      </c>
      <c r="D5" s="54">
        <v>1.5385331110701057</v>
      </c>
      <c r="F5" s="53">
        <v>201000</v>
      </c>
      <c r="G5" s="55">
        <v>364102</v>
      </c>
      <c r="H5" s="55">
        <v>86709000000</v>
      </c>
      <c r="I5" s="2">
        <f t="shared" si="0"/>
        <v>238144.80557645933</v>
      </c>
      <c r="J5" s="2">
        <f>K5/655.957</f>
        <v>306.42252464719485</v>
      </c>
      <c r="K5" s="53">
        <v>201000</v>
      </c>
      <c r="L5" s="2">
        <f t="shared" ref="L5:L12" si="3">G5+G15+G25+G35+G45+G55+G65+G75+G85+G95+G105+G115+G125</f>
        <v>1999876.0133442513</v>
      </c>
      <c r="M5" s="2">
        <f t="shared" si="1"/>
        <v>492429014190.53369</v>
      </c>
      <c r="N5">
        <f>1-SUM(L5:L$12)/K$14</f>
        <v>0.74812379999965506</v>
      </c>
      <c r="O5">
        <f>(SUM(M5:M$12)/SUM(L5:L$12))/K5</f>
        <v>1.9916170268840931</v>
      </c>
      <c r="P5">
        <f t="shared" si="2"/>
        <v>0.22441096494745616</v>
      </c>
      <c r="R5">
        <f t="shared" ref="R5:R12" si="4">M5/L5</f>
        <v>246229.77169823615</v>
      </c>
    </row>
    <row r="6" spans="1:18" x14ac:dyDescent="0.3">
      <c r="A6" s="53">
        <v>301000</v>
      </c>
      <c r="B6" s="53">
        <v>126232</v>
      </c>
      <c r="C6" s="53">
        <v>46157000000</v>
      </c>
      <c r="D6" s="54">
        <v>1.5634452972120816</v>
      </c>
      <c r="F6" s="53">
        <v>301000</v>
      </c>
      <c r="G6" s="55">
        <v>126232</v>
      </c>
      <c r="H6" s="55">
        <v>46157000000</v>
      </c>
      <c r="I6" s="2">
        <f t="shared" si="0"/>
        <v>365652.13258127891</v>
      </c>
      <c r="J6" s="2">
        <f t="shared" ref="J6:J12" si="5">K6/655.957</f>
        <v>458.87154188460522</v>
      </c>
      <c r="K6" s="53">
        <v>301000</v>
      </c>
      <c r="L6" s="2">
        <f t="shared" si="3"/>
        <v>1564234.6488350129</v>
      </c>
      <c r="M6" s="2">
        <f t="shared" si="1"/>
        <v>591238372310.15015</v>
      </c>
      <c r="N6">
        <f>1-SUM(L6:L$12)/K$14</f>
        <v>0.86603037833981245</v>
      </c>
      <c r="O6">
        <f>(SUM(M6:M$12)/SUM(L6:L$12))/K6</f>
        <v>1.7804829003363922</v>
      </c>
      <c r="P6">
        <f t="shared" si="2"/>
        <v>0.11055822099887565</v>
      </c>
      <c r="R6">
        <f t="shared" si="4"/>
        <v>377972.94207137258</v>
      </c>
    </row>
    <row r="7" spans="1:18" x14ac:dyDescent="0.3">
      <c r="A7" s="53">
        <v>501000</v>
      </c>
      <c r="B7" s="53">
        <v>23842</v>
      </c>
      <c r="C7" s="53">
        <v>14539000000</v>
      </c>
      <c r="D7" s="54">
        <v>1.7122225689803054</v>
      </c>
      <c r="F7" s="53">
        <v>501000</v>
      </c>
      <c r="G7" s="55">
        <v>23842</v>
      </c>
      <c r="H7" s="55">
        <v>14539000000</v>
      </c>
      <c r="I7" s="2">
        <f t="shared" si="0"/>
        <v>609806.22431004106</v>
      </c>
      <c r="J7" s="2">
        <f t="shared" si="5"/>
        <v>763.76957635942597</v>
      </c>
      <c r="K7" s="53">
        <v>501000</v>
      </c>
      <c r="L7" s="2">
        <f t="shared" si="3"/>
        <v>485865.16216216219</v>
      </c>
      <c r="M7" s="2">
        <f t="shared" si="1"/>
        <v>297691783783.78375</v>
      </c>
      <c r="N7">
        <f>1-SUM(L7:L$12)/K$14</f>
        <v>0.95825287310179463</v>
      </c>
      <c r="O7">
        <f>(SUM(M7:M$12)/SUM(L7:L$12))/K7</f>
        <v>1.7661754997661361</v>
      </c>
      <c r="P7">
        <f t="shared" si="2"/>
        <v>7.5333658081424101E-2</v>
      </c>
      <c r="R7">
        <f t="shared" si="4"/>
        <v>612704.52579686348</v>
      </c>
    </row>
    <row r="8" spans="1:18" x14ac:dyDescent="0.3">
      <c r="A8" s="53">
        <v>801000</v>
      </c>
      <c r="B8" s="53">
        <v>6409</v>
      </c>
      <c r="C8" s="53">
        <v>6111000000</v>
      </c>
      <c r="D8" s="54">
        <v>1.7829001240011371</v>
      </c>
      <c r="F8" s="53">
        <v>801000</v>
      </c>
      <c r="G8" s="55">
        <v>6409</v>
      </c>
      <c r="H8" s="55">
        <v>6111000000</v>
      </c>
      <c r="I8" s="2">
        <f t="shared" si="0"/>
        <v>953502.88656576688</v>
      </c>
      <c r="J8" s="2">
        <f t="shared" si="5"/>
        <v>1221.1166280716573</v>
      </c>
      <c r="K8" s="53">
        <v>801000</v>
      </c>
      <c r="L8" s="2">
        <f t="shared" si="3"/>
        <v>132898</v>
      </c>
      <c r="M8" s="2">
        <f t="shared" si="1"/>
        <v>126714000000</v>
      </c>
      <c r="N8">
        <f>1-SUM(L8:L$12)/K$14</f>
        <v>0.98689799831104685</v>
      </c>
      <c r="O8">
        <f>(SUM(M8:M$12)/SUM(L8:L$12))/K8</f>
        <v>1.847513988695789</v>
      </c>
      <c r="P8">
        <f t="shared" si="2"/>
        <v>7.9715270357717943E-2</v>
      </c>
      <c r="R8">
        <f t="shared" si="4"/>
        <v>953468.07325919124</v>
      </c>
    </row>
    <row r="9" spans="1:18" x14ac:dyDescent="0.3">
      <c r="A9" s="53">
        <v>1201000</v>
      </c>
      <c r="B9" s="53">
        <v>2719</v>
      </c>
      <c r="C9" s="53">
        <v>4083000000</v>
      </c>
      <c r="D9" s="54">
        <v>1.8286528902682107</v>
      </c>
      <c r="F9" s="53">
        <v>1201000</v>
      </c>
      <c r="G9" s="55">
        <v>2719</v>
      </c>
      <c r="H9" s="55">
        <v>4083000000</v>
      </c>
      <c r="I9" s="2">
        <f t="shared" si="0"/>
        <v>1501655.020228025</v>
      </c>
      <c r="J9" s="2">
        <f t="shared" si="5"/>
        <v>1830.9126970212988</v>
      </c>
      <c r="K9" s="53">
        <v>1201000</v>
      </c>
      <c r="L9" s="2">
        <f t="shared" si="3"/>
        <v>58564</v>
      </c>
      <c r="M9" s="2">
        <f t="shared" si="1"/>
        <v>87703000000</v>
      </c>
      <c r="N9">
        <f>1-SUM(L9:L$12)/K$14</f>
        <v>0.9947332582690116</v>
      </c>
      <c r="O9">
        <f>(SUM(M9:M$12)/SUM(L9:L$12))/K9</f>
        <v>1.8842322065303794</v>
      </c>
      <c r="P9">
        <f t="shared" si="2"/>
        <v>8.5257154565944945E-2</v>
      </c>
      <c r="R9">
        <f t="shared" si="4"/>
        <v>1497558.22689707</v>
      </c>
    </row>
    <row r="10" spans="1:18" x14ac:dyDescent="0.3">
      <c r="A10" s="53">
        <v>2001000</v>
      </c>
      <c r="B10" s="53">
        <v>727</v>
      </c>
      <c r="C10" s="53">
        <v>1745000000</v>
      </c>
      <c r="D10" s="54">
        <v>1.8580556619353497</v>
      </c>
      <c r="F10" s="53">
        <v>2001000</v>
      </c>
      <c r="G10" s="55">
        <v>727</v>
      </c>
      <c r="H10" s="55">
        <v>1745000000</v>
      </c>
      <c r="I10" s="2">
        <f t="shared" si="0"/>
        <v>2400275.1031636866</v>
      </c>
      <c r="J10" s="2">
        <f t="shared" si="5"/>
        <v>3050.5048349205817</v>
      </c>
      <c r="K10" s="53">
        <v>2001000</v>
      </c>
      <c r="L10" s="2">
        <f t="shared" si="3"/>
        <v>17417</v>
      </c>
      <c r="M10" s="2">
        <f t="shared" si="1"/>
        <v>41872000000</v>
      </c>
      <c r="N10">
        <f>1-SUM(L10:L$12)/K$14</f>
        <v>0.99818601274370833</v>
      </c>
      <c r="O10">
        <f>(SUM(M10:M$12)/SUM(L10:L$12))/K10</f>
        <v>1.8589899018249585</v>
      </c>
      <c r="P10">
        <f t="shared" si="2"/>
        <v>8.784520870413963E-2</v>
      </c>
      <c r="R10">
        <f t="shared" si="4"/>
        <v>2404087.9600390424</v>
      </c>
    </row>
    <row r="11" spans="1:18" x14ac:dyDescent="0.3">
      <c r="A11" s="53">
        <v>3001000</v>
      </c>
      <c r="B11" s="53">
        <v>350</v>
      </c>
      <c r="C11" s="53">
        <v>1326000000</v>
      </c>
      <c r="D11" s="54">
        <v>1.8599507038509862</v>
      </c>
      <c r="F11" s="53">
        <v>3001000</v>
      </c>
      <c r="G11" s="55">
        <v>350</v>
      </c>
      <c r="H11" s="55">
        <v>1326000000</v>
      </c>
      <c r="I11" s="2">
        <f t="shared" si="0"/>
        <v>3788571.4285714286</v>
      </c>
      <c r="J11" s="2">
        <f t="shared" si="5"/>
        <v>4574.9950072946858</v>
      </c>
      <c r="K11" s="53">
        <v>3001000</v>
      </c>
      <c r="L11" s="2">
        <f t="shared" si="3"/>
        <v>8834</v>
      </c>
      <c r="M11" s="2">
        <f t="shared" si="1"/>
        <v>33179000000</v>
      </c>
      <c r="N11">
        <f>1-SUM(L11:L$12)/K$14</f>
        <v>0.9992128658392242</v>
      </c>
      <c r="O11">
        <f>(SUM(M11:M$12)/SUM(L11:L$12))/K11</f>
        <v>1.8114951371538677</v>
      </c>
      <c r="P11">
        <f t="shared" si="2"/>
        <v>8.9540412044374004E-2</v>
      </c>
      <c r="R11">
        <f t="shared" si="4"/>
        <v>3755829.7486982113</v>
      </c>
    </row>
    <row r="12" spans="1:18" x14ac:dyDescent="0.3">
      <c r="A12" s="53">
        <v>5000000</v>
      </c>
      <c r="B12" s="53">
        <v>164</v>
      </c>
      <c r="C12" s="53">
        <v>1543000000</v>
      </c>
      <c r="D12" s="54">
        <v>1.8817073170731708</v>
      </c>
      <c r="F12" s="53">
        <v>5000000</v>
      </c>
      <c r="G12" s="55">
        <v>164</v>
      </c>
      <c r="H12" s="55">
        <v>1543000000</v>
      </c>
      <c r="I12" s="2">
        <f t="shared" si="0"/>
        <v>9408536.5853658542</v>
      </c>
      <c r="J12" s="2">
        <f t="shared" si="5"/>
        <v>7622.4508618705195</v>
      </c>
      <c r="K12" s="53">
        <v>5000000</v>
      </c>
      <c r="L12" s="2">
        <f t="shared" si="3"/>
        <v>4517</v>
      </c>
      <c r="M12" s="2">
        <f t="shared" si="1"/>
        <v>39401000000</v>
      </c>
      <c r="N12">
        <f>1-SUM(L12:L$12)/K$14</f>
        <v>0.99973369148346758</v>
      </c>
      <c r="O12">
        <f>(SUM(M12:M$12)/SUM(L12:L$12))/K12</f>
        <v>1.7445649767544833</v>
      </c>
      <c r="P12">
        <f t="shared" si="2"/>
        <v>0.10117334514058003</v>
      </c>
      <c r="R12">
        <f t="shared" si="4"/>
        <v>8722824.883772416</v>
      </c>
    </row>
    <row r="13" spans="1:18" x14ac:dyDescent="0.3">
      <c r="A13" s="51" t="s">
        <v>56</v>
      </c>
      <c r="B13" s="51" t="s">
        <v>60</v>
      </c>
      <c r="C13" s="51" t="s">
        <v>84</v>
      </c>
      <c r="D13" s="52" t="s">
        <v>59</v>
      </c>
      <c r="E13" s="53">
        <v>181500</v>
      </c>
      <c r="G13" s="2"/>
      <c r="H13" s="2"/>
    </row>
    <row r="14" spans="1:18" x14ac:dyDescent="0.3">
      <c r="A14" s="53">
        <v>181500</v>
      </c>
      <c r="B14" s="53">
        <v>48358</v>
      </c>
      <c r="C14" s="53">
        <v>9253000000</v>
      </c>
      <c r="D14" s="54">
        <v>2.7000269010818188</v>
      </c>
      <c r="F14" s="53">
        <v>151000</v>
      </c>
      <c r="G14" s="2">
        <v>316211.67973260238</v>
      </c>
      <c r="H14" s="2">
        <v>54890732338.740242</v>
      </c>
      <c r="I14" s="2">
        <f>H14/G14</f>
        <v>173588.56695349587</v>
      </c>
      <c r="K14" s="5">
        <v>16961530.403966609</v>
      </c>
    </row>
    <row r="15" spans="1:18" x14ac:dyDescent="0.3">
      <c r="A15" s="53">
        <v>201000</v>
      </c>
      <c r="B15" s="53">
        <v>222082</v>
      </c>
      <c r="C15" s="53">
        <v>55145000000</v>
      </c>
      <c r="D15" s="54">
        <v>2.5785667072843923</v>
      </c>
      <c r="F15" s="53">
        <v>201000</v>
      </c>
      <c r="G15" s="55">
        <v>222082</v>
      </c>
      <c r="H15" s="55">
        <v>55145000000</v>
      </c>
      <c r="I15" s="2">
        <f t="shared" ref="I15:I22" si="6">H15/G15</f>
        <v>248309.18309453264</v>
      </c>
    </row>
    <row r="16" spans="1:18" x14ac:dyDescent="0.3">
      <c r="A16" s="53">
        <v>301000</v>
      </c>
      <c r="B16" s="53">
        <v>199204</v>
      </c>
      <c r="C16" s="53">
        <v>75497000000</v>
      </c>
      <c r="D16" s="54">
        <v>2.4100130484656095</v>
      </c>
      <c r="F16" s="53">
        <v>301000</v>
      </c>
      <c r="G16" s="55">
        <v>199204</v>
      </c>
      <c r="H16" s="55">
        <v>75497000000</v>
      </c>
      <c r="I16" s="2">
        <f t="shared" si="6"/>
        <v>378993.39370695368</v>
      </c>
    </row>
    <row r="17" spans="1:9" x14ac:dyDescent="0.3">
      <c r="A17" s="53">
        <v>501000</v>
      </c>
      <c r="B17" s="53">
        <v>65078</v>
      </c>
      <c r="C17" s="53">
        <v>99794000000</v>
      </c>
      <c r="D17" s="54">
        <v>2.9736603400162531</v>
      </c>
      <c r="F17" s="53">
        <v>501000</v>
      </c>
      <c r="G17" s="55">
        <v>65078</v>
      </c>
      <c r="H17" s="55">
        <v>39794000000</v>
      </c>
      <c r="I17" s="2">
        <f t="shared" si="6"/>
        <v>611481.60668735974</v>
      </c>
    </row>
    <row r="18" spans="1:9" x14ac:dyDescent="0.3">
      <c r="A18" s="53">
        <v>801000</v>
      </c>
      <c r="B18" s="53">
        <v>16038</v>
      </c>
      <c r="C18" s="53">
        <v>15192000000</v>
      </c>
      <c r="D18" s="54">
        <v>1.7192112494198331</v>
      </c>
      <c r="F18" s="53">
        <v>801000</v>
      </c>
      <c r="G18" s="55">
        <v>16038</v>
      </c>
      <c r="H18" s="55">
        <v>15192000000</v>
      </c>
      <c r="I18" s="2">
        <f t="shared" si="6"/>
        <v>947250.2805836139</v>
      </c>
    </row>
    <row r="19" spans="1:9" x14ac:dyDescent="0.3">
      <c r="A19" s="53">
        <v>1201000</v>
      </c>
      <c r="B19" s="53">
        <v>6244</v>
      </c>
      <c r="C19" s="53">
        <v>9325000000</v>
      </c>
      <c r="D19" s="54">
        <v>1.7730504509729106</v>
      </c>
      <c r="F19" s="53">
        <v>1201000</v>
      </c>
      <c r="G19" s="55">
        <v>6244</v>
      </c>
      <c r="H19" s="55">
        <v>9325000000</v>
      </c>
      <c r="I19" s="2">
        <f t="shared" si="6"/>
        <v>1493433.6963484946</v>
      </c>
    </row>
    <row r="20" spans="1:9" x14ac:dyDescent="0.3">
      <c r="A20" s="53">
        <v>2001000</v>
      </c>
      <c r="B20" s="53">
        <v>1727</v>
      </c>
      <c r="C20" s="53">
        <v>4137000000</v>
      </c>
      <c r="D20" s="54">
        <v>1.7440748621920625</v>
      </c>
      <c r="F20" s="53">
        <v>2001000</v>
      </c>
      <c r="G20" s="55">
        <v>1727</v>
      </c>
      <c r="H20" s="55">
        <v>4137000000</v>
      </c>
      <c r="I20" s="2">
        <f t="shared" si="6"/>
        <v>2395483.4973943252</v>
      </c>
    </row>
    <row r="21" spans="1:9" x14ac:dyDescent="0.3">
      <c r="A21" s="53">
        <v>3001000</v>
      </c>
      <c r="B21" s="53">
        <v>817</v>
      </c>
      <c r="C21" s="53">
        <v>3052000000</v>
      </c>
      <c r="D21" s="54">
        <v>1.6912706950032315</v>
      </c>
      <c r="F21" s="53">
        <v>3001000</v>
      </c>
      <c r="G21" s="55">
        <v>817</v>
      </c>
      <c r="H21" s="55">
        <v>3052000000</v>
      </c>
      <c r="I21" s="2">
        <f t="shared" si="6"/>
        <v>3735618.1150550796</v>
      </c>
    </row>
    <row r="22" spans="1:9" x14ac:dyDescent="0.3">
      <c r="A22" s="53">
        <v>5000000</v>
      </c>
      <c r="B22" s="53">
        <v>375</v>
      </c>
      <c r="C22" s="53">
        <v>2998000000</v>
      </c>
      <c r="D22" s="54">
        <v>1.5989333333333333</v>
      </c>
      <c r="F22" s="53">
        <v>5000000</v>
      </c>
      <c r="G22" s="55">
        <v>375</v>
      </c>
      <c r="H22" s="55">
        <v>2998000000</v>
      </c>
      <c r="I22" s="2">
        <f t="shared" si="6"/>
        <v>7994666.666666667</v>
      </c>
    </row>
    <row r="23" spans="1:9" x14ac:dyDescent="0.3">
      <c r="A23" s="51" t="s">
        <v>56</v>
      </c>
      <c r="B23" s="51" t="s">
        <v>85</v>
      </c>
      <c r="C23" s="51" t="s">
        <v>86</v>
      </c>
      <c r="D23" s="52" t="s">
        <v>59</v>
      </c>
      <c r="E23" s="53">
        <v>181500</v>
      </c>
      <c r="G23" s="2"/>
      <c r="H23" s="2"/>
    </row>
    <row r="24" spans="1:9" x14ac:dyDescent="0.3">
      <c r="A24" s="53">
        <v>181500</v>
      </c>
      <c r="B24" s="53">
        <v>22916</v>
      </c>
      <c r="C24" s="53">
        <v>4373000000</v>
      </c>
      <c r="D24" s="54">
        <v>2.039396176203994</v>
      </c>
      <c r="F24" s="53">
        <v>151000</v>
      </c>
      <c r="G24" s="2">
        <v>97832.802813497314</v>
      </c>
      <c r="H24" s="2">
        <v>16982656041.438938</v>
      </c>
      <c r="I24" s="2">
        <f>H24/G24</f>
        <v>173588.56695349587</v>
      </c>
    </row>
    <row r="25" spans="1:9" x14ac:dyDescent="0.3">
      <c r="A25" s="53">
        <v>201000</v>
      </c>
      <c r="B25" s="53">
        <v>68710</v>
      </c>
      <c r="C25" s="53">
        <v>16690000000</v>
      </c>
      <c r="D25" s="54">
        <v>2.0054276476951038</v>
      </c>
      <c r="F25" s="53">
        <v>201000</v>
      </c>
      <c r="G25" s="55">
        <v>68710</v>
      </c>
      <c r="H25" s="55">
        <v>16690000000</v>
      </c>
      <c r="I25" s="2">
        <f t="shared" ref="I25:I32" si="7">H25/G25</f>
        <v>242904.96288749817</v>
      </c>
    </row>
    <row r="26" spans="1:9" x14ac:dyDescent="0.3">
      <c r="A26" s="53">
        <v>301000</v>
      </c>
      <c r="B26" s="53">
        <v>37893</v>
      </c>
      <c r="C26" s="53">
        <v>14118000000</v>
      </c>
      <c r="D26" s="54">
        <v>1.9916599978622676</v>
      </c>
      <c r="F26" s="53">
        <v>301000</v>
      </c>
      <c r="G26" s="55">
        <v>37893</v>
      </c>
      <c r="H26" s="55">
        <v>14118000000</v>
      </c>
      <c r="I26" s="2">
        <f t="shared" si="7"/>
        <v>372575.40970627818</v>
      </c>
    </row>
    <row r="27" spans="1:9" x14ac:dyDescent="0.3">
      <c r="A27" s="53">
        <v>501000</v>
      </c>
      <c r="B27" s="53">
        <v>10904</v>
      </c>
      <c r="C27" s="53">
        <v>6687000000</v>
      </c>
      <c r="D27" s="54">
        <v>2.1422880489846845</v>
      </c>
      <c r="F27" s="53">
        <v>501000</v>
      </c>
      <c r="G27" s="55">
        <v>10904</v>
      </c>
      <c r="H27" s="55">
        <v>6687000000</v>
      </c>
      <c r="I27" s="2">
        <f t="shared" si="7"/>
        <v>613261.18855465879</v>
      </c>
    </row>
    <row r="28" spans="1:9" x14ac:dyDescent="0.3">
      <c r="A28" s="53">
        <v>801000</v>
      </c>
      <c r="B28" s="53">
        <v>3726</v>
      </c>
      <c r="C28" s="53">
        <v>3570000000</v>
      </c>
      <c r="D28" s="54">
        <v>2.2044159323209325</v>
      </c>
      <c r="F28" s="53">
        <v>801000</v>
      </c>
      <c r="G28" s="55">
        <v>3726</v>
      </c>
      <c r="H28" s="55">
        <v>3570000000</v>
      </c>
      <c r="I28" s="2">
        <f t="shared" si="7"/>
        <v>958132.04508856684</v>
      </c>
    </row>
    <row r="29" spans="1:9" x14ac:dyDescent="0.3">
      <c r="A29" s="53">
        <v>1201000</v>
      </c>
      <c r="B29" s="53">
        <v>2065</v>
      </c>
      <c r="C29" s="53">
        <v>3121000000</v>
      </c>
      <c r="D29" s="54">
        <v>2.1824242541865102</v>
      </c>
      <c r="F29" s="53">
        <v>1201000</v>
      </c>
      <c r="G29" s="55">
        <v>2065</v>
      </c>
      <c r="H29" s="55">
        <v>3121000000</v>
      </c>
      <c r="I29" s="2">
        <f t="shared" si="7"/>
        <v>1511380.1452784503</v>
      </c>
    </row>
    <row r="30" spans="1:9" x14ac:dyDescent="0.3">
      <c r="A30" s="53">
        <v>2001000</v>
      </c>
      <c r="B30" s="53">
        <v>755</v>
      </c>
      <c r="C30" s="53">
        <v>1813000000</v>
      </c>
      <c r="D30" s="54">
        <v>2.0980562712449697</v>
      </c>
      <c r="F30" s="53">
        <v>2001000</v>
      </c>
      <c r="G30" s="55">
        <v>755</v>
      </c>
      <c r="H30" s="55">
        <v>1813000000</v>
      </c>
      <c r="I30" s="2">
        <f t="shared" si="7"/>
        <v>2401324.5033112583</v>
      </c>
    </row>
    <row r="31" spans="1:9" x14ac:dyDescent="0.3">
      <c r="A31" s="53">
        <v>3001000</v>
      </c>
      <c r="B31" s="53">
        <v>415</v>
      </c>
      <c r="C31" s="53">
        <v>1579000000</v>
      </c>
      <c r="D31" s="54">
        <v>2.0465957383832896</v>
      </c>
      <c r="F31" s="53">
        <v>3001000</v>
      </c>
      <c r="G31" s="55">
        <v>415</v>
      </c>
      <c r="H31" s="55">
        <v>1579000000</v>
      </c>
      <c r="I31" s="2">
        <f t="shared" si="7"/>
        <v>3804819.2771084337</v>
      </c>
    </row>
    <row r="32" spans="1:9" x14ac:dyDescent="0.3">
      <c r="A32" s="53">
        <v>5000000</v>
      </c>
      <c r="B32" s="53">
        <v>283</v>
      </c>
      <c r="C32" s="53">
        <v>2708000000</v>
      </c>
      <c r="D32" s="54">
        <v>1.9137809187279153</v>
      </c>
      <c r="F32" s="53">
        <v>5000000</v>
      </c>
      <c r="G32" s="55">
        <v>283</v>
      </c>
      <c r="H32" s="55">
        <v>2708000000</v>
      </c>
      <c r="I32" s="2">
        <f t="shared" si="7"/>
        <v>9568904.5936395768</v>
      </c>
    </row>
    <row r="33" spans="1:9" x14ac:dyDescent="0.3">
      <c r="A33" s="51" t="s">
        <v>56</v>
      </c>
      <c r="B33" s="51" t="s">
        <v>64</v>
      </c>
      <c r="C33" s="51" t="s">
        <v>65</v>
      </c>
      <c r="D33" s="52" t="s">
        <v>59</v>
      </c>
      <c r="E33" s="53">
        <v>242000</v>
      </c>
      <c r="G33" s="2"/>
      <c r="H33" s="2"/>
    </row>
    <row r="34" spans="1:9" x14ac:dyDescent="0.3">
      <c r="A34" s="53">
        <v>151000</v>
      </c>
      <c r="B34" s="53"/>
      <c r="C34" s="53"/>
      <c r="D34" s="54"/>
      <c r="F34" s="53">
        <v>151000</v>
      </c>
      <c r="G34" s="2">
        <v>529918.5442068124</v>
      </c>
      <c r="H34" s="2">
        <v>91987800690.943314</v>
      </c>
      <c r="I34" s="2">
        <f>H34/G34</f>
        <v>173588.56695349587</v>
      </c>
    </row>
    <row r="35" spans="1:9" x14ac:dyDescent="0.3">
      <c r="A35" s="53">
        <v>242000</v>
      </c>
      <c r="B35" s="53">
        <v>208888</v>
      </c>
      <c r="C35" s="53">
        <v>56230000000</v>
      </c>
      <c r="D35" s="54">
        <v>1.9115768171225767</v>
      </c>
      <c r="F35" s="53">
        <v>201000</v>
      </c>
      <c r="G35" s="2">
        <v>372172.74907130381</v>
      </c>
      <c r="H35" s="2">
        <v>92413911291.941925</v>
      </c>
      <c r="I35" s="2">
        <f t="shared" ref="I35:I42" si="8">H35/G35</f>
        <v>248309.18309453264</v>
      </c>
    </row>
    <row r="36" spans="1:9" x14ac:dyDescent="0.3">
      <c r="A36" s="53">
        <v>301000</v>
      </c>
      <c r="B36" s="53">
        <v>333833</v>
      </c>
      <c r="C36" s="53">
        <v>126017000000</v>
      </c>
      <c r="D36" s="54">
        <v>1.813100357171862</v>
      </c>
      <c r="F36" s="53">
        <v>301000</v>
      </c>
      <c r="G36" s="55">
        <v>333833</v>
      </c>
      <c r="H36" s="55">
        <v>126017000000</v>
      </c>
      <c r="I36" s="2">
        <f t="shared" si="8"/>
        <v>377485.14976050897</v>
      </c>
    </row>
    <row r="37" spans="1:9" x14ac:dyDescent="0.3">
      <c r="A37" s="53">
        <v>501000</v>
      </c>
      <c r="B37" s="53">
        <v>102779</v>
      </c>
      <c r="C37" s="53">
        <v>62793000000</v>
      </c>
      <c r="D37" s="54">
        <v>1.8263890343277995</v>
      </c>
      <c r="F37" s="53">
        <v>501000</v>
      </c>
      <c r="G37" s="55">
        <v>102779</v>
      </c>
      <c r="H37" s="55">
        <v>62793000000</v>
      </c>
      <c r="I37" s="2">
        <f t="shared" si="8"/>
        <v>610951.65354790376</v>
      </c>
    </row>
    <row r="38" spans="1:9" x14ac:dyDescent="0.3">
      <c r="A38" s="53">
        <v>801000</v>
      </c>
      <c r="B38" s="53">
        <v>28776</v>
      </c>
      <c r="C38" s="53">
        <v>27527000000</v>
      </c>
      <c r="D38" s="54">
        <v>1.933285515589245</v>
      </c>
      <c r="F38" s="53">
        <v>801000</v>
      </c>
      <c r="G38" s="55">
        <v>28776</v>
      </c>
      <c r="H38" s="55">
        <v>27527000000</v>
      </c>
      <c r="I38" s="2">
        <f t="shared" si="8"/>
        <v>956595.77425632474</v>
      </c>
    </row>
    <row r="39" spans="1:9" x14ac:dyDescent="0.3">
      <c r="A39" s="53">
        <v>1201000</v>
      </c>
      <c r="B39" s="53">
        <v>12876</v>
      </c>
      <c r="C39" s="53">
        <v>19338000000</v>
      </c>
      <c r="D39" s="54">
        <v>1.9794886217080248</v>
      </c>
      <c r="F39" s="53">
        <v>1201000</v>
      </c>
      <c r="G39" s="55">
        <v>12876</v>
      </c>
      <c r="H39" s="55">
        <v>19338000000</v>
      </c>
      <c r="I39" s="2">
        <f t="shared" si="8"/>
        <v>1501863.9328984157</v>
      </c>
    </row>
    <row r="40" spans="1:9" x14ac:dyDescent="0.3">
      <c r="A40" s="53">
        <v>2001000</v>
      </c>
      <c r="B40" s="53">
        <v>4204</v>
      </c>
      <c r="C40" s="53">
        <v>10112000000</v>
      </c>
      <c r="D40" s="54">
        <v>1.9219255814322875</v>
      </c>
      <c r="F40" s="53">
        <v>2001000</v>
      </c>
      <c r="G40" s="55">
        <v>4204</v>
      </c>
      <c r="H40" s="55">
        <v>10112000000</v>
      </c>
      <c r="I40" s="2">
        <f t="shared" si="8"/>
        <v>2405328.2588011418</v>
      </c>
    </row>
    <row r="41" spans="1:9" x14ac:dyDescent="0.3">
      <c r="A41" s="53">
        <v>3001000</v>
      </c>
      <c r="B41" s="53">
        <v>2249</v>
      </c>
      <c r="C41" s="53">
        <v>8461000000</v>
      </c>
      <c r="D41" s="54">
        <v>1.8625138198966791</v>
      </c>
      <c r="F41" s="53">
        <v>3001000</v>
      </c>
      <c r="G41" s="55">
        <v>2249</v>
      </c>
      <c r="H41" s="55">
        <v>8461000000</v>
      </c>
      <c r="I41" s="2">
        <f t="shared" si="8"/>
        <v>3762116.4962205426</v>
      </c>
    </row>
    <row r="42" spans="1:9" x14ac:dyDescent="0.3">
      <c r="A42" s="53">
        <v>5000000</v>
      </c>
      <c r="B42" s="53">
        <v>1224</v>
      </c>
      <c r="C42" s="53">
        <v>10951000000</v>
      </c>
      <c r="D42" s="54">
        <v>1.7893790849673203</v>
      </c>
      <c r="F42" s="53">
        <v>5000000</v>
      </c>
      <c r="G42" s="55">
        <v>1224</v>
      </c>
      <c r="H42" s="55">
        <v>10951000000</v>
      </c>
      <c r="I42" s="2">
        <f t="shared" si="8"/>
        <v>8946895.4248366021</v>
      </c>
    </row>
    <row r="43" spans="1:9" x14ac:dyDescent="0.3">
      <c r="A43" s="51" t="s">
        <v>56</v>
      </c>
      <c r="B43" s="51" t="s">
        <v>66</v>
      </c>
      <c r="C43" s="51" t="s">
        <v>67</v>
      </c>
      <c r="D43" s="52" t="s">
        <v>59</v>
      </c>
      <c r="E43" s="53">
        <v>242000</v>
      </c>
      <c r="G43" s="2"/>
      <c r="H43" s="2"/>
    </row>
    <row r="44" spans="1:9" x14ac:dyDescent="0.3">
      <c r="A44" s="53">
        <v>151000</v>
      </c>
      <c r="B44" s="53"/>
      <c r="C44" s="53"/>
      <c r="D44" s="54"/>
      <c r="F44" s="53">
        <v>151000</v>
      </c>
      <c r="G44" s="2">
        <v>22756.137650705023</v>
      </c>
      <c r="H44" s="2">
        <v>3950205324.1823773</v>
      </c>
      <c r="I44" s="2">
        <f>H44/G44</f>
        <v>173588.56695349587</v>
      </c>
    </row>
    <row r="45" spans="1:9" x14ac:dyDescent="0.3">
      <c r="A45" s="53">
        <v>242000</v>
      </c>
      <c r="B45" s="53">
        <v>7129</v>
      </c>
      <c r="C45" s="53">
        <v>1906000000</v>
      </c>
      <c r="D45" s="54">
        <v>1.6356517280260672</v>
      </c>
      <c r="F45" s="53">
        <v>201000</v>
      </c>
      <c r="G45" s="2">
        <v>15982.105929855119</v>
      </c>
      <c r="H45" s="2">
        <v>3882132847.7555223</v>
      </c>
      <c r="I45" s="2">
        <f t="shared" ref="I45:I52" si="9">H45/G45</f>
        <v>242904.96288749817</v>
      </c>
    </row>
    <row r="46" spans="1:9" x14ac:dyDescent="0.3">
      <c r="A46" s="53">
        <v>301000</v>
      </c>
      <c r="B46" s="53">
        <v>8814</v>
      </c>
      <c r="C46" s="53">
        <v>3213000000</v>
      </c>
      <c r="D46" s="54">
        <v>1.5814325795471931</v>
      </c>
      <c r="F46" s="53">
        <v>301000</v>
      </c>
      <c r="G46" s="55">
        <v>8814</v>
      </c>
      <c r="H46" s="55">
        <v>3213000000</v>
      </c>
      <c r="I46" s="2">
        <f t="shared" si="9"/>
        <v>364533.69639210345</v>
      </c>
    </row>
    <row r="47" spans="1:9" x14ac:dyDescent="0.3">
      <c r="A47" s="53">
        <v>501000</v>
      </c>
      <c r="B47" s="53">
        <v>1856</v>
      </c>
      <c r="C47" s="53">
        <v>1174000000</v>
      </c>
      <c r="D47" s="54">
        <v>1.7021172379168044</v>
      </c>
      <c r="F47" s="53">
        <v>501000</v>
      </c>
      <c r="G47" s="55">
        <v>1856</v>
      </c>
      <c r="H47" s="55">
        <v>1174000000</v>
      </c>
      <c r="I47" s="2">
        <f t="shared" si="9"/>
        <v>632543.10344827583</v>
      </c>
    </row>
    <row r="48" spans="1:9" x14ac:dyDescent="0.3">
      <c r="A48" s="53">
        <v>801000</v>
      </c>
      <c r="B48" s="53">
        <v>459</v>
      </c>
      <c r="C48" s="53">
        <v>440000000</v>
      </c>
      <c r="D48" s="54">
        <v>1.7431667861981035</v>
      </c>
      <c r="F48" s="53">
        <v>801000</v>
      </c>
      <c r="G48" s="55">
        <v>459</v>
      </c>
      <c r="H48" s="55">
        <v>440000000</v>
      </c>
      <c r="I48" s="2">
        <f t="shared" si="9"/>
        <v>958605.66448801744</v>
      </c>
    </row>
    <row r="49" spans="1:9" x14ac:dyDescent="0.3">
      <c r="A49" s="53">
        <v>1201000</v>
      </c>
      <c r="B49" s="53">
        <v>209</v>
      </c>
      <c r="C49" s="53">
        <v>309000000</v>
      </c>
      <c r="D49" s="54">
        <v>1.7334814844285054</v>
      </c>
      <c r="F49" s="53">
        <v>1201000</v>
      </c>
      <c r="G49" s="55">
        <v>209</v>
      </c>
      <c r="H49" s="55">
        <v>309000000</v>
      </c>
      <c r="I49" s="2">
        <f t="shared" si="9"/>
        <v>1478468.8995215311</v>
      </c>
    </row>
    <row r="50" spans="1:9" x14ac:dyDescent="0.3">
      <c r="A50" s="53">
        <v>2001000</v>
      </c>
      <c r="B50" s="53">
        <v>48</v>
      </c>
      <c r="C50" s="53">
        <v>117000000</v>
      </c>
      <c r="D50" s="54">
        <v>1.7907712810261536</v>
      </c>
      <c r="F50" s="53">
        <v>2001000</v>
      </c>
      <c r="G50" s="55">
        <v>48</v>
      </c>
      <c r="H50" s="55">
        <v>117000000</v>
      </c>
      <c r="I50" s="2">
        <f t="shared" si="9"/>
        <v>2437500</v>
      </c>
    </row>
    <row r="51" spans="1:9" x14ac:dyDescent="0.3">
      <c r="A51" s="53">
        <v>3001000</v>
      </c>
      <c r="B51" s="53">
        <v>26</v>
      </c>
      <c r="C51" s="53">
        <v>95000000</v>
      </c>
      <c r="D51" s="54">
        <v>1.7031359917064681</v>
      </c>
      <c r="F51" s="53">
        <v>3001000</v>
      </c>
      <c r="G51" s="55">
        <v>26</v>
      </c>
      <c r="H51" s="55">
        <v>95000000</v>
      </c>
      <c r="I51" s="2">
        <f t="shared" si="9"/>
        <v>3653846.153846154</v>
      </c>
    </row>
    <row r="52" spans="1:9" x14ac:dyDescent="0.3">
      <c r="A52" s="53">
        <v>5000000</v>
      </c>
      <c r="B52" s="53">
        <v>10</v>
      </c>
      <c r="C52" s="53">
        <v>89000000</v>
      </c>
      <c r="D52" s="54">
        <v>1.78</v>
      </c>
      <c r="F52" s="53">
        <v>5000000</v>
      </c>
      <c r="G52" s="55">
        <v>10</v>
      </c>
      <c r="H52" s="55">
        <v>89000000</v>
      </c>
      <c r="I52" s="2">
        <f t="shared" si="9"/>
        <v>8900000</v>
      </c>
    </row>
    <row r="53" spans="1:9" x14ac:dyDescent="0.3">
      <c r="A53" s="51" t="s">
        <v>56</v>
      </c>
      <c r="B53" s="51" t="s">
        <v>68</v>
      </c>
      <c r="C53" s="51" t="s">
        <v>69</v>
      </c>
      <c r="D53" s="52" t="s">
        <v>59</v>
      </c>
      <c r="E53" s="53">
        <v>302500</v>
      </c>
      <c r="G53" s="2"/>
      <c r="H53" s="2"/>
    </row>
    <row r="54" spans="1:9" x14ac:dyDescent="0.3">
      <c r="A54" s="53">
        <v>151000</v>
      </c>
      <c r="B54" s="53"/>
      <c r="C54" s="53"/>
      <c r="D54" s="54"/>
      <c r="F54" s="53">
        <v>151000</v>
      </c>
      <c r="G54" s="2">
        <v>642555.47350986744</v>
      </c>
      <c r="H54" s="2">
        <v>111540283834.70287</v>
      </c>
      <c r="I54" s="2">
        <f>H54/G54</f>
        <v>173588.56695349587</v>
      </c>
    </row>
    <row r="55" spans="1:9" x14ac:dyDescent="0.3">
      <c r="A55" s="53">
        <v>201000</v>
      </c>
      <c r="B55" s="53"/>
      <c r="C55" s="53"/>
      <c r="D55" s="54"/>
      <c r="F55" s="53">
        <v>201000</v>
      </c>
      <c r="G55" s="2">
        <v>451279.99316372361</v>
      </c>
      <c r="H55" s="2">
        <v>112056966449.39047</v>
      </c>
      <c r="I55" s="2">
        <f t="shared" ref="I55:I62" si="10">H55/G55</f>
        <v>248309.18309453261</v>
      </c>
    </row>
    <row r="56" spans="1:9" x14ac:dyDescent="0.3">
      <c r="A56" s="53">
        <v>302500</v>
      </c>
      <c r="B56" s="53">
        <v>401755</v>
      </c>
      <c r="C56" s="53">
        <v>152953000000</v>
      </c>
      <c r="D56" s="54">
        <v>1.7152691742547419</v>
      </c>
      <c r="F56" s="53">
        <v>301000</v>
      </c>
      <c r="G56" s="2">
        <v>404790.93198992446</v>
      </c>
      <c r="H56" s="2">
        <v>153866815528.96725</v>
      </c>
      <c r="I56" s="2">
        <f t="shared" si="10"/>
        <v>380114.28460753441</v>
      </c>
    </row>
    <row r="57" spans="1:9" x14ac:dyDescent="0.3">
      <c r="A57" s="53">
        <v>501000</v>
      </c>
      <c r="B57" s="53">
        <v>132723</v>
      </c>
      <c r="C57" s="53">
        <v>80929000000</v>
      </c>
      <c r="D57" s="54">
        <v>1.6418946229106102</v>
      </c>
      <c r="F57" s="53">
        <v>501000</v>
      </c>
      <c r="G57" s="55">
        <v>132723</v>
      </c>
      <c r="H57" s="55">
        <v>80929000000</v>
      </c>
      <c r="I57" s="2">
        <f t="shared" si="10"/>
        <v>609758.67031335935</v>
      </c>
    </row>
    <row r="58" spans="1:9" x14ac:dyDescent="0.3">
      <c r="A58" s="53">
        <v>801000</v>
      </c>
      <c r="B58" s="53">
        <v>31739</v>
      </c>
      <c r="C58" s="53">
        <v>30147000000</v>
      </c>
      <c r="D58" s="54">
        <v>1.7318641136494151</v>
      </c>
      <c r="F58" s="53">
        <v>801000</v>
      </c>
      <c r="G58" s="55">
        <v>31739</v>
      </c>
      <c r="H58" s="55">
        <v>30147000000</v>
      </c>
      <c r="I58" s="2">
        <f t="shared" si="10"/>
        <v>949840.88975708117</v>
      </c>
    </row>
    <row r="59" spans="1:9" x14ac:dyDescent="0.3">
      <c r="A59" s="53">
        <v>1201000</v>
      </c>
      <c r="B59" s="53">
        <v>12454</v>
      </c>
      <c r="C59" s="53">
        <v>18613000000</v>
      </c>
      <c r="D59" s="54">
        <v>1.7870630981736517</v>
      </c>
      <c r="F59" s="53">
        <v>1201000</v>
      </c>
      <c r="G59" s="55">
        <v>12454</v>
      </c>
      <c r="H59" s="55">
        <v>18613000000</v>
      </c>
      <c r="I59" s="2">
        <f t="shared" si="10"/>
        <v>1494539.9068572347</v>
      </c>
    </row>
    <row r="60" spans="1:9" x14ac:dyDescent="0.3">
      <c r="A60" s="53">
        <v>2001000</v>
      </c>
      <c r="B60" s="53">
        <v>3404</v>
      </c>
      <c r="C60" s="53">
        <v>8208000000</v>
      </c>
      <c r="D60" s="54">
        <v>1.7677536553060231</v>
      </c>
      <c r="F60" s="53">
        <v>2001000</v>
      </c>
      <c r="G60" s="55">
        <v>3404</v>
      </c>
      <c r="H60" s="55">
        <v>8208000000</v>
      </c>
      <c r="I60" s="2">
        <f t="shared" si="10"/>
        <v>2411280.8460634546</v>
      </c>
    </row>
    <row r="61" spans="1:9" x14ac:dyDescent="0.3">
      <c r="A61" s="53">
        <v>3001000</v>
      </c>
      <c r="B61" s="53">
        <v>1674</v>
      </c>
      <c r="C61" s="53">
        <v>6245000000</v>
      </c>
      <c r="D61" s="54">
        <v>1.7040802661282111</v>
      </c>
      <c r="F61" s="53">
        <v>3001000</v>
      </c>
      <c r="G61" s="55">
        <v>1674</v>
      </c>
      <c r="H61" s="55">
        <v>6245000000</v>
      </c>
      <c r="I61" s="2">
        <f t="shared" si="10"/>
        <v>3730585.4241338111</v>
      </c>
    </row>
    <row r="62" spans="1:9" x14ac:dyDescent="0.3">
      <c r="A62" s="53">
        <v>5000000</v>
      </c>
      <c r="B62" s="53">
        <v>757</v>
      </c>
      <c r="C62" s="53">
        <v>6187000000</v>
      </c>
      <c r="D62" s="54">
        <v>1.6346103038309114</v>
      </c>
      <c r="F62" s="53">
        <v>5000000</v>
      </c>
      <c r="G62" s="55">
        <v>757</v>
      </c>
      <c r="H62" s="55">
        <v>6187000000</v>
      </c>
      <c r="I62" s="2">
        <f t="shared" si="10"/>
        <v>8173051.519154557</v>
      </c>
    </row>
    <row r="63" spans="1:9" x14ac:dyDescent="0.3">
      <c r="A63" s="51" t="s">
        <v>56</v>
      </c>
      <c r="B63" s="51" t="s">
        <v>70</v>
      </c>
      <c r="C63" s="51" t="s">
        <v>71</v>
      </c>
      <c r="D63" s="52" t="s">
        <v>59</v>
      </c>
      <c r="E63" s="53">
        <v>363000</v>
      </c>
      <c r="G63" s="2"/>
      <c r="H63" s="2"/>
    </row>
    <row r="64" spans="1:9" x14ac:dyDescent="0.3">
      <c r="A64" s="53">
        <v>151000</v>
      </c>
      <c r="B64" s="53"/>
      <c r="C64" s="53"/>
      <c r="D64" s="54"/>
      <c r="F64" s="53">
        <v>151000</v>
      </c>
      <c r="G64" s="2">
        <v>401728.49194469152</v>
      </c>
      <c r="H64" s="2">
        <v>69735473221.068008</v>
      </c>
      <c r="I64" s="2">
        <f>H64/G64</f>
        <v>173588.56695349587</v>
      </c>
    </row>
    <row r="65" spans="1:9" x14ac:dyDescent="0.3">
      <c r="A65" s="53">
        <v>201000</v>
      </c>
      <c r="B65" s="53"/>
      <c r="C65" s="53"/>
      <c r="D65" s="54"/>
      <c r="F65" s="53">
        <v>201000</v>
      </c>
      <c r="G65" s="2">
        <v>282142.22518126189</v>
      </c>
      <c r="H65" s="2">
        <v>70058505451.232803</v>
      </c>
      <c r="I65" s="2">
        <f t="shared" ref="I65:I72" si="11">H65/G65</f>
        <v>248309.18309453258</v>
      </c>
    </row>
    <row r="66" spans="1:9" x14ac:dyDescent="0.3">
      <c r="A66" s="53">
        <v>363000</v>
      </c>
      <c r="B66" s="53">
        <v>117064</v>
      </c>
      <c r="C66" s="53">
        <v>49351000000</v>
      </c>
      <c r="D66" s="54">
        <v>1.7886514730745986</v>
      </c>
      <c r="F66" s="53">
        <v>301000</v>
      </c>
      <c r="G66" s="2">
        <v>253077.06083792518</v>
      </c>
      <c r="H66" s="2">
        <v>96198205930.985397</v>
      </c>
      <c r="I66" s="2">
        <f t="shared" si="11"/>
        <v>380114.28460753441</v>
      </c>
    </row>
    <row r="67" spans="1:9" x14ac:dyDescent="0.3">
      <c r="A67" s="53">
        <v>501000</v>
      </c>
      <c r="B67" s="53">
        <v>82979</v>
      </c>
      <c r="C67" s="53">
        <v>50994000000</v>
      </c>
      <c r="D67" s="54">
        <v>1.7371638361142985</v>
      </c>
      <c r="F67" s="53">
        <v>501000</v>
      </c>
      <c r="G67" s="55">
        <v>82979</v>
      </c>
      <c r="H67" s="55">
        <v>50994000000</v>
      </c>
      <c r="I67" s="2">
        <f t="shared" si="11"/>
        <v>614541.02845298208</v>
      </c>
    </row>
    <row r="68" spans="1:9" x14ac:dyDescent="0.3">
      <c r="A68" s="53">
        <v>801000</v>
      </c>
      <c r="B68" s="53">
        <v>22864</v>
      </c>
      <c r="C68" s="53">
        <v>21773000000</v>
      </c>
      <c r="D68" s="54">
        <v>1.7909333034905293</v>
      </c>
      <c r="F68" s="53">
        <v>801000</v>
      </c>
      <c r="G68" s="55">
        <v>22864</v>
      </c>
      <c r="H68" s="55">
        <v>21773000000</v>
      </c>
      <c r="I68" s="2">
        <f t="shared" si="11"/>
        <v>952283.06508047588</v>
      </c>
    </row>
    <row r="69" spans="1:9" x14ac:dyDescent="0.3">
      <c r="A69" s="53">
        <v>1201000</v>
      </c>
      <c r="B69" s="53">
        <v>10025</v>
      </c>
      <c r="C69" s="53">
        <v>14883000000</v>
      </c>
      <c r="D69" s="54">
        <v>1.8167602824032234</v>
      </c>
      <c r="F69" s="53">
        <v>1201000</v>
      </c>
      <c r="G69" s="55">
        <v>10025</v>
      </c>
      <c r="H69" s="55">
        <v>14883000000</v>
      </c>
      <c r="I69" s="2">
        <f t="shared" si="11"/>
        <v>1484588.5286783043</v>
      </c>
    </row>
    <row r="70" spans="1:9" x14ac:dyDescent="0.3">
      <c r="A70" s="53">
        <v>2001000</v>
      </c>
      <c r="B70" s="53">
        <v>2793</v>
      </c>
      <c r="C70" s="53">
        <v>6693000000</v>
      </c>
      <c r="D70" s="54">
        <v>1.8293518215511535</v>
      </c>
      <c r="F70" s="53">
        <v>2001000</v>
      </c>
      <c r="G70" s="55">
        <v>2793</v>
      </c>
      <c r="H70" s="55">
        <v>6693000000</v>
      </c>
      <c r="I70" s="2">
        <f t="shared" si="11"/>
        <v>2396348.0128893661</v>
      </c>
    </row>
    <row r="71" spans="1:9" x14ac:dyDescent="0.3">
      <c r="A71" s="53">
        <v>3001000</v>
      </c>
      <c r="B71" s="53">
        <v>1280</v>
      </c>
      <c r="C71" s="53">
        <v>4826000000</v>
      </c>
      <c r="D71" s="54">
        <v>1.8278145011094493</v>
      </c>
      <c r="F71" s="53">
        <v>3001000</v>
      </c>
      <c r="G71" s="55">
        <v>1280</v>
      </c>
      <c r="H71" s="55">
        <v>4826000000</v>
      </c>
      <c r="I71" s="2">
        <f t="shared" si="11"/>
        <v>3770312.5</v>
      </c>
    </row>
    <row r="72" spans="1:9" x14ac:dyDescent="0.3">
      <c r="A72" s="53">
        <v>5000000</v>
      </c>
      <c r="B72" s="53">
        <v>655</v>
      </c>
      <c r="C72" s="53">
        <v>5788000000</v>
      </c>
      <c r="D72" s="54">
        <v>1.7673282442748093</v>
      </c>
      <c r="F72" s="53">
        <v>5000000</v>
      </c>
      <c r="G72" s="55">
        <v>655</v>
      </c>
      <c r="H72" s="55">
        <v>5788000000</v>
      </c>
      <c r="I72" s="2">
        <f t="shared" si="11"/>
        <v>8836641.2213740461</v>
      </c>
    </row>
    <row r="73" spans="1:9" x14ac:dyDescent="0.3">
      <c r="A73" s="51" t="s">
        <v>56</v>
      </c>
      <c r="B73" s="51" t="s">
        <v>72</v>
      </c>
      <c r="C73" s="51" t="s">
        <v>73</v>
      </c>
      <c r="D73" s="52" t="s">
        <v>59</v>
      </c>
      <c r="E73" s="53">
        <v>423500</v>
      </c>
      <c r="G73" s="2"/>
      <c r="H73" s="2"/>
    </row>
    <row r="74" spans="1:9" x14ac:dyDescent="0.3">
      <c r="A74" s="53">
        <v>151000</v>
      </c>
      <c r="B74" s="53"/>
      <c r="C74" s="53"/>
      <c r="D74" s="54"/>
      <c r="F74" s="53">
        <v>151000</v>
      </c>
      <c r="G74" s="2">
        <v>181152.78216881945</v>
      </c>
      <c r="H74" s="2">
        <v>31446051856.324169</v>
      </c>
      <c r="I74" s="2">
        <f>H74/G74</f>
        <v>173588.56695349587</v>
      </c>
    </row>
    <row r="75" spans="1:9" x14ac:dyDescent="0.3">
      <c r="A75" s="53">
        <v>201000</v>
      </c>
      <c r="B75" s="53"/>
      <c r="C75" s="53"/>
      <c r="D75" s="54"/>
      <c r="F75" s="53">
        <v>201000</v>
      </c>
      <c r="G75" s="2">
        <v>127227.34404888537</v>
      </c>
      <c r="H75" s="2">
        <v>31591717868.065769</v>
      </c>
      <c r="I75" s="2">
        <f>H75/G75</f>
        <v>248309.18309453261</v>
      </c>
    </row>
    <row r="76" spans="1:9" x14ac:dyDescent="0.3">
      <c r="A76" s="53">
        <v>423500</v>
      </c>
      <c r="B76" s="53">
        <v>23133</v>
      </c>
      <c r="C76" s="53">
        <v>10610000000</v>
      </c>
      <c r="D76" s="54">
        <v>1.9029280934016377</v>
      </c>
      <c r="F76" s="53">
        <v>301000</v>
      </c>
      <c r="G76" s="2">
        <v>114120.89158020084</v>
      </c>
      <c r="H76" s="2">
        <v>43378981061.782043</v>
      </c>
      <c r="I76" s="2">
        <f t="shared" ref="I76:I82" si="12">H76/G76</f>
        <v>380114.28460753441</v>
      </c>
    </row>
    <row r="77" spans="1:9" x14ac:dyDescent="0.3">
      <c r="A77" s="53">
        <v>501000</v>
      </c>
      <c r="B77" s="53">
        <v>37418</v>
      </c>
      <c r="C77" s="53">
        <v>23190000000</v>
      </c>
      <c r="D77" s="54">
        <v>1.8818599803087037</v>
      </c>
      <c r="F77" s="53">
        <v>501000</v>
      </c>
      <c r="G77" s="55">
        <v>37418</v>
      </c>
      <c r="H77" s="55">
        <v>23190000000</v>
      </c>
      <c r="I77" s="2">
        <f t="shared" si="12"/>
        <v>619755.19803303224</v>
      </c>
    </row>
    <row r="78" spans="1:9" x14ac:dyDescent="0.3">
      <c r="A78" s="53">
        <v>801000</v>
      </c>
      <c r="B78" s="53">
        <v>12143</v>
      </c>
      <c r="C78" s="53">
        <v>11615000000</v>
      </c>
      <c r="D78" s="54">
        <v>1.8872893258426966</v>
      </c>
      <c r="F78" s="53">
        <v>801000</v>
      </c>
      <c r="G78" s="55">
        <v>12143</v>
      </c>
      <c r="H78" s="55">
        <v>11615000000</v>
      </c>
      <c r="I78" s="2">
        <f t="shared" si="12"/>
        <v>956518.15860989876</v>
      </c>
    </row>
    <row r="79" spans="1:9" x14ac:dyDescent="0.3">
      <c r="A79" s="53">
        <v>1201000</v>
      </c>
      <c r="B79" s="53">
        <v>5993</v>
      </c>
      <c r="C79" s="53">
        <v>8987000000</v>
      </c>
      <c r="D79" s="54">
        <v>1.8752449107713187</v>
      </c>
      <c r="F79" s="53">
        <v>1201000</v>
      </c>
      <c r="G79" s="55">
        <v>5993</v>
      </c>
      <c r="H79" s="55">
        <v>8987000000</v>
      </c>
      <c r="I79" s="2">
        <f t="shared" si="12"/>
        <v>1499582.8466544303</v>
      </c>
    </row>
    <row r="80" spans="1:9" x14ac:dyDescent="0.3">
      <c r="A80" s="53">
        <v>2001000</v>
      </c>
      <c r="B80" s="53">
        <v>1787</v>
      </c>
      <c r="C80" s="53">
        <v>4306000000</v>
      </c>
      <c r="D80" s="54">
        <v>1.8498141674663953</v>
      </c>
      <c r="F80" s="53">
        <v>2001000</v>
      </c>
      <c r="G80" s="55">
        <v>1787</v>
      </c>
      <c r="H80" s="55">
        <v>4306000000</v>
      </c>
      <c r="I80" s="2">
        <f t="shared" si="12"/>
        <v>2409625.0699496362</v>
      </c>
    </row>
    <row r="81" spans="1:9" x14ac:dyDescent="0.3">
      <c r="A81" s="53">
        <v>3001000</v>
      </c>
      <c r="B81" s="53">
        <v>893</v>
      </c>
      <c r="C81" s="53">
        <v>3344000000</v>
      </c>
      <c r="D81" s="54">
        <v>1.8139865327909566</v>
      </c>
      <c r="F81" s="53">
        <v>3001000</v>
      </c>
      <c r="G81" s="55">
        <v>893</v>
      </c>
      <c r="H81" s="55">
        <v>3344000000</v>
      </c>
      <c r="I81" s="2">
        <f t="shared" si="12"/>
        <v>3744680.8510638298</v>
      </c>
    </row>
    <row r="82" spans="1:9" x14ac:dyDescent="0.3">
      <c r="A82" s="53">
        <v>5000000</v>
      </c>
      <c r="B82" s="53">
        <v>432</v>
      </c>
      <c r="C82" s="53">
        <v>3869000000</v>
      </c>
      <c r="D82" s="54">
        <v>1.7912037037037036</v>
      </c>
      <c r="F82" s="53">
        <v>5000000</v>
      </c>
      <c r="G82" s="55">
        <v>432</v>
      </c>
      <c r="H82" s="55">
        <v>3869000000</v>
      </c>
      <c r="I82" s="2">
        <f t="shared" si="12"/>
        <v>8956018.5185185187</v>
      </c>
    </row>
    <row r="83" spans="1:9" x14ac:dyDescent="0.3">
      <c r="A83" s="51" t="s">
        <v>56</v>
      </c>
      <c r="B83" s="51" t="s">
        <v>74</v>
      </c>
      <c r="C83" s="51" t="s">
        <v>75</v>
      </c>
      <c r="D83" s="52" t="s">
        <v>59</v>
      </c>
      <c r="E83" s="53">
        <v>484000</v>
      </c>
      <c r="G83" s="2"/>
      <c r="H83" s="2"/>
      <c r="I83" s="2"/>
    </row>
    <row r="84" spans="1:9" x14ac:dyDescent="0.3">
      <c r="A84" s="53">
        <v>151000</v>
      </c>
      <c r="B84" s="53"/>
      <c r="C84" s="53"/>
      <c r="D84" s="54"/>
      <c r="F84" s="53">
        <v>151000</v>
      </c>
      <c r="G84" s="2">
        <v>74512.867346205036</v>
      </c>
      <c r="H84" s="2">
        <v>12934581862.223669</v>
      </c>
      <c r="I84" s="2">
        <f>H84/G84</f>
        <v>173588.56695349587</v>
      </c>
    </row>
    <row r="85" spans="1:9" x14ac:dyDescent="0.3">
      <c r="A85" s="53">
        <v>201000</v>
      </c>
      <c r="B85" s="53"/>
      <c r="C85" s="53"/>
      <c r="D85" s="54"/>
      <c r="F85" s="53">
        <v>201000</v>
      </c>
      <c r="G85" s="2">
        <v>52331.927207664616</v>
      </c>
      <c r="H85" s="2">
        <v>12994498094.697746</v>
      </c>
      <c r="I85" s="2">
        <f>H85/G85</f>
        <v>248309.18309453261</v>
      </c>
    </row>
    <row r="86" spans="1:9" x14ac:dyDescent="0.3">
      <c r="A86" s="53">
        <v>484000</v>
      </c>
      <c r="B86" s="53">
        <v>1862</v>
      </c>
      <c r="C86" s="53">
        <v>918000000</v>
      </c>
      <c r="D86" s="54">
        <v>2.0222755413371249</v>
      </c>
      <c r="F86" s="53">
        <v>301000</v>
      </c>
      <c r="G86" s="2">
        <v>46940.901232317898</v>
      </c>
      <c r="H86" s="2">
        <v>17842907090.755451</v>
      </c>
      <c r="I86" s="2">
        <f t="shared" ref="I86:I92" si="13">H86/G86</f>
        <v>380114.28460753447</v>
      </c>
    </row>
    <row r="87" spans="1:9" x14ac:dyDescent="0.3">
      <c r="A87" s="53">
        <v>501000</v>
      </c>
      <c r="B87" s="53">
        <v>15391</v>
      </c>
      <c r="C87" s="53">
        <v>9572000000</v>
      </c>
      <c r="D87" s="54">
        <v>2.0229914240188491</v>
      </c>
      <c r="F87" s="53">
        <v>501000</v>
      </c>
      <c r="G87" s="55">
        <v>15391</v>
      </c>
      <c r="H87" s="55">
        <v>9572000000</v>
      </c>
      <c r="I87" s="2">
        <f t="shared" si="13"/>
        <v>621921.90241049964</v>
      </c>
    </row>
    <row r="88" spans="1:9" x14ac:dyDescent="0.3">
      <c r="A88" s="53">
        <v>801000</v>
      </c>
      <c r="B88" s="53">
        <v>5846</v>
      </c>
      <c r="C88" s="53">
        <v>5613000000</v>
      </c>
      <c r="D88" s="54">
        <v>1.972034815595749</v>
      </c>
      <c r="F88" s="53">
        <v>801000</v>
      </c>
      <c r="G88" s="55">
        <v>5846</v>
      </c>
      <c r="H88" s="55">
        <v>5613000000</v>
      </c>
      <c r="I88" s="2">
        <f t="shared" si="13"/>
        <v>960143.68799178931</v>
      </c>
    </row>
    <row r="89" spans="1:9" x14ac:dyDescent="0.3">
      <c r="A89" s="53">
        <v>1201000</v>
      </c>
      <c r="B89" s="53">
        <v>3058</v>
      </c>
      <c r="C89" s="53">
        <v>4626000000</v>
      </c>
      <c r="D89" s="54">
        <v>1.9432879043898881</v>
      </c>
      <c r="F89" s="53">
        <v>1201000</v>
      </c>
      <c r="G89" s="55">
        <v>3058</v>
      </c>
      <c r="H89" s="55">
        <v>4626000000</v>
      </c>
      <c r="I89" s="2">
        <f t="shared" si="13"/>
        <v>1512753.433616743</v>
      </c>
    </row>
    <row r="90" spans="1:9" x14ac:dyDescent="0.3">
      <c r="A90" s="53">
        <v>2001000</v>
      </c>
      <c r="B90" s="53">
        <v>948</v>
      </c>
      <c r="C90" s="53">
        <v>2280000000</v>
      </c>
      <c r="D90" s="54">
        <v>1.8863201789810775</v>
      </c>
      <c r="F90" s="53">
        <v>2001000</v>
      </c>
      <c r="G90" s="55">
        <v>948</v>
      </c>
      <c r="H90" s="55">
        <v>2280000000</v>
      </c>
      <c r="I90" s="2">
        <f t="shared" si="13"/>
        <v>2405063.2911392404</v>
      </c>
    </row>
    <row r="91" spans="1:9" x14ac:dyDescent="0.3">
      <c r="A91" s="53">
        <v>3001000</v>
      </c>
      <c r="B91" s="53">
        <v>536</v>
      </c>
      <c r="C91" s="53">
        <v>1999000000</v>
      </c>
      <c r="D91" s="54">
        <v>1.8019150849088039</v>
      </c>
      <c r="F91" s="53">
        <v>3001000</v>
      </c>
      <c r="G91" s="55">
        <v>536</v>
      </c>
      <c r="H91" s="55">
        <v>1999000000</v>
      </c>
      <c r="I91" s="2">
        <f t="shared" si="13"/>
        <v>3729477.6119402987</v>
      </c>
    </row>
    <row r="92" spans="1:9" x14ac:dyDescent="0.3">
      <c r="A92" s="53">
        <v>5000000</v>
      </c>
      <c r="B92" s="53">
        <v>259</v>
      </c>
      <c r="C92" s="53">
        <v>2300000000</v>
      </c>
      <c r="D92" s="54">
        <v>1.7760617760617758</v>
      </c>
      <c r="F92" s="53">
        <v>5000000</v>
      </c>
      <c r="G92" s="55">
        <v>259</v>
      </c>
      <c r="H92" s="55">
        <v>2300000000</v>
      </c>
      <c r="I92" s="2">
        <f t="shared" si="13"/>
        <v>8880308.8803088795</v>
      </c>
    </row>
    <row r="93" spans="1:9" x14ac:dyDescent="0.3">
      <c r="A93" s="51" t="s">
        <v>56</v>
      </c>
      <c r="B93" s="51" t="s">
        <v>76</v>
      </c>
      <c r="C93" s="51" t="s">
        <v>77</v>
      </c>
      <c r="D93" s="52" t="s">
        <v>59</v>
      </c>
      <c r="E93" s="53">
        <v>544500</v>
      </c>
      <c r="G93" s="2"/>
      <c r="H93" s="2"/>
    </row>
    <row r="94" spans="1:9" x14ac:dyDescent="0.3">
      <c r="A94" s="53">
        <v>151000</v>
      </c>
      <c r="B94" s="53"/>
      <c r="C94" s="53"/>
      <c r="D94" s="54"/>
      <c r="F94" s="53">
        <v>151000</v>
      </c>
      <c r="G94" s="2">
        <v>34477.814945515674</v>
      </c>
      <c r="H94" s="2">
        <v>5984954488.0798883</v>
      </c>
      <c r="I94" s="2">
        <f>H94/G94</f>
        <v>173588.56695349587</v>
      </c>
    </row>
    <row r="95" spans="1:9" x14ac:dyDescent="0.3">
      <c r="A95" s="53">
        <v>201000</v>
      </c>
      <c r="B95" s="53"/>
      <c r="C95" s="53"/>
      <c r="D95" s="54"/>
      <c r="F95" s="53">
        <v>201000</v>
      </c>
      <c r="G95" s="2">
        <v>24214.482226604992</v>
      </c>
      <c r="H95" s="2">
        <v>6012678300.7453651</v>
      </c>
      <c r="I95" s="2">
        <f>H95/G95</f>
        <v>248309.18309453264</v>
      </c>
    </row>
    <row r="96" spans="1:9" x14ac:dyDescent="0.3">
      <c r="A96" s="53">
        <v>301000</v>
      </c>
      <c r="B96" s="53"/>
      <c r="C96" s="53"/>
      <c r="D96" s="54"/>
      <c r="F96" s="53">
        <v>301000</v>
      </c>
      <c r="G96" s="2">
        <v>21720.003050533684</v>
      </c>
      <c r="H96" s="2">
        <v>8256083421.2270775</v>
      </c>
      <c r="I96" s="2">
        <f t="shared" ref="I96:I102" si="14">H96/G96</f>
        <v>380114.28460753447</v>
      </c>
    </row>
    <row r="97" spans="1:9" x14ac:dyDescent="0.3">
      <c r="A97" s="53">
        <v>544500</v>
      </c>
      <c r="B97" s="53">
        <v>5021</v>
      </c>
      <c r="C97" s="53">
        <v>3280000000</v>
      </c>
      <c r="D97" s="54">
        <v>2.1300309023077801</v>
      </c>
      <c r="F97" s="53">
        <v>501000</v>
      </c>
      <c r="G97" s="2">
        <v>7121.5626069107084</v>
      </c>
      <c r="H97" s="2">
        <v>4429055764.6253843</v>
      </c>
      <c r="I97" s="2">
        <f t="shared" si="14"/>
        <v>621921.90241049952</v>
      </c>
    </row>
    <row r="98" spans="1:9" x14ac:dyDescent="0.3">
      <c r="A98" s="53">
        <v>801000</v>
      </c>
      <c r="B98" s="53">
        <v>2705</v>
      </c>
      <c r="C98" s="53">
        <v>2601000000</v>
      </c>
      <c r="D98" s="54">
        <v>2.0501113604201842</v>
      </c>
      <c r="F98" s="53">
        <v>801000</v>
      </c>
      <c r="G98" s="55">
        <v>2705</v>
      </c>
      <c r="H98" s="55">
        <v>2601000000</v>
      </c>
      <c r="I98" s="2">
        <f t="shared" si="14"/>
        <v>961552.6802218114</v>
      </c>
    </row>
    <row r="99" spans="1:9" x14ac:dyDescent="0.3">
      <c r="A99" s="53">
        <v>1201000</v>
      </c>
      <c r="B99" s="53">
        <v>1576</v>
      </c>
      <c r="C99" s="53">
        <v>2382000000</v>
      </c>
      <c r="D99" s="54">
        <v>1.9642250357308679</v>
      </c>
      <c r="F99" s="53">
        <v>1201000</v>
      </c>
      <c r="G99" s="55">
        <v>1576</v>
      </c>
      <c r="H99" s="55">
        <v>2382000000</v>
      </c>
      <c r="I99" s="2">
        <f t="shared" si="14"/>
        <v>1511421.3197969543</v>
      </c>
    </row>
    <row r="100" spans="1:9" x14ac:dyDescent="0.3">
      <c r="A100" s="53">
        <v>2001000</v>
      </c>
      <c r="B100" s="53">
        <v>534</v>
      </c>
      <c r="C100" s="53">
        <v>1290000000</v>
      </c>
      <c r="D100" s="54">
        <v>1.8518966323289967</v>
      </c>
      <c r="F100" s="53">
        <v>2001000</v>
      </c>
      <c r="G100" s="55">
        <v>534</v>
      </c>
      <c r="H100" s="55">
        <v>1290000000</v>
      </c>
      <c r="I100" s="2">
        <f t="shared" si="14"/>
        <v>2415730.3370786519</v>
      </c>
    </row>
    <row r="101" spans="1:9" x14ac:dyDescent="0.3">
      <c r="A101" s="53">
        <v>3001000</v>
      </c>
      <c r="B101" s="53">
        <v>298</v>
      </c>
      <c r="C101" s="53">
        <v>1131000000</v>
      </c>
      <c r="D101" s="54">
        <v>1.7359570099632</v>
      </c>
      <c r="F101" s="53">
        <v>3001000</v>
      </c>
      <c r="G101" s="55">
        <v>298</v>
      </c>
      <c r="H101" s="55">
        <v>1131000000</v>
      </c>
      <c r="I101" s="2">
        <f t="shared" si="14"/>
        <v>3795302.0134228189</v>
      </c>
    </row>
    <row r="102" spans="1:9" x14ac:dyDescent="0.3">
      <c r="A102" s="53">
        <v>5000000</v>
      </c>
      <c r="B102" s="53">
        <v>160</v>
      </c>
      <c r="C102" s="53">
        <v>1255000000</v>
      </c>
      <c r="D102" s="54">
        <v>1.5687500000000001</v>
      </c>
      <c r="F102" s="53">
        <v>5000000</v>
      </c>
      <c r="G102" s="55">
        <v>160</v>
      </c>
      <c r="H102" s="55">
        <v>1255000000</v>
      </c>
      <c r="I102" s="2">
        <f t="shared" si="14"/>
        <v>7843750</v>
      </c>
    </row>
    <row r="103" spans="1:9" x14ac:dyDescent="0.3">
      <c r="A103" s="51" t="s">
        <v>56</v>
      </c>
      <c r="B103" s="51" t="s">
        <v>78</v>
      </c>
      <c r="C103" s="51" t="s">
        <v>79</v>
      </c>
      <c r="D103" s="52" t="s">
        <v>59</v>
      </c>
      <c r="E103" s="53">
        <v>605000</v>
      </c>
      <c r="G103" s="2"/>
      <c r="H103" s="2"/>
    </row>
    <row r="104" spans="1:9" x14ac:dyDescent="0.3">
      <c r="A104" s="53">
        <v>151000</v>
      </c>
      <c r="B104" s="53"/>
      <c r="C104" s="53"/>
      <c r="D104" s="54"/>
      <c r="F104" s="53">
        <v>151000</v>
      </c>
      <c r="G104" s="2">
        <v>16378.555343803198</v>
      </c>
      <c r="H104" s="2">
        <v>2843129950.8993192</v>
      </c>
      <c r="I104" s="2">
        <f>H104/G104</f>
        <v>173588.56695349587</v>
      </c>
    </row>
    <row r="105" spans="1:9" x14ac:dyDescent="0.3">
      <c r="A105" s="53">
        <v>201000</v>
      </c>
      <c r="B105" s="53"/>
      <c r="C105" s="53"/>
      <c r="D105" s="54"/>
      <c r="F105" s="53">
        <v>201000</v>
      </c>
      <c r="G105" s="2">
        <v>11502.998026316976</v>
      </c>
      <c r="H105" s="2">
        <v>2856300043.0527892</v>
      </c>
      <c r="I105" s="2">
        <f>H105/G105</f>
        <v>248309.18309453261</v>
      </c>
    </row>
    <row r="106" spans="1:9" x14ac:dyDescent="0.3">
      <c r="A106" s="53">
        <v>301000</v>
      </c>
      <c r="B106" s="53"/>
      <c r="C106" s="53"/>
      <c r="D106" s="54"/>
      <c r="F106" s="53">
        <v>301000</v>
      </c>
      <c r="G106" s="2">
        <v>10318.00514600214</v>
      </c>
      <c r="H106" s="2">
        <v>3922021144.6494627</v>
      </c>
      <c r="I106" s="2">
        <f t="shared" ref="I106:I112" si="15">H106/G106</f>
        <v>380114.28460753447</v>
      </c>
    </row>
    <row r="107" spans="1:9" x14ac:dyDescent="0.3">
      <c r="A107" s="53">
        <v>605000</v>
      </c>
      <c r="B107" s="53">
        <v>1491</v>
      </c>
      <c r="C107" s="53">
        <v>1035000000</v>
      </c>
      <c r="D107" s="54">
        <v>2.3324776489333452</v>
      </c>
      <c r="F107" s="53">
        <v>501000</v>
      </c>
      <c r="G107" s="2">
        <v>3383.0713308244958</v>
      </c>
      <c r="H107" s="2">
        <v>2104006158.0567908</v>
      </c>
      <c r="I107" s="2">
        <f t="shared" si="15"/>
        <v>621921.90241049952</v>
      </c>
    </row>
    <row r="108" spans="1:9" x14ac:dyDescent="0.3">
      <c r="A108" s="53">
        <v>801000</v>
      </c>
      <c r="B108" s="53">
        <v>1285</v>
      </c>
      <c r="C108" s="53">
        <v>1245000000</v>
      </c>
      <c r="D108" s="54">
        <v>2.2717113733931171</v>
      </c>
      <c r="F108" s="53">
        <v>801000</v>
      </c>
      <c r="G108" s="55">
        <v>1285</v>
      </c>
      <c r="H108" s="55">
        <v>1245000000</v>
      </c>
      <c r="I108" s="2">
        <f t="shared" si="15"/>
        <v>968871.59533073928</v>
      </c>
    </row>
    <row r="109" spans="1:9" x14ac:dyDescent="0.3">
      <c r="A109" s="53">
        <v>1201000</v>
      </c>
      <c r="B109" s="53">
        <v>770</v>
      </c>
      <c r="C109" s="53">
        <v>1166000000</v>
      </c>
      <c r="D109" s="54">
        <v>2.1984932476189765</v>
      </c>
      <c r="F109" s="53">
        <v>1201000</v>
      </c>
      <c r="G109" s="55">
        <v>770</v>
      </c>
      <c r="H109" s="55">
        <v>1166000000</v>
      </c>
      <c r="I109" s="2">
        <f t="shared" si="15"/>
        <v>1514285.7142857143</v>
      </c>
    </row>
    <row r="110" spans="1:9" x14ac:dyDescent="0.3">
      <c r="A110" s="53">
        <v>2001000</v>
      </c>
      <c r="B110" s="53">
        <v>273</v>
      </c>
      <c r="C110" s="53">
        <v>662000000</v>
      </c>
      <c r="D110" s="54">
        <v>2.0905917148187472</v>
      </c>
      <c r="F110" s="53">
        <v>2001000</v>
      </c>
      <c r="G110" s="55">
        <v>273</v>
      </c>
      <c r="H110" s="55">
        <v>662000000</v>
      </c>
      <c r="I110" s="2">
        <f t="shared" si="15"/>
        <v>2424908.4249084247</v>
      </c>
    </row>
    <row r="111" spans="1:9" x14ac:dyDescent="0.3">
      <c r="A111" s="53">
        <v>3001000</v>
      </c>
      <c r="B111" s="53">
        <v>174</v>
      </c>
      <c r="C111" s="53">
        <v>663000000</v>
      </c>
      <c r="D111" s="54">
        <v>1.9474477365676262</v>
      </c>
      <c r="F111" s="53">
        <v>3001000</v>
      </c>
      <c r="G111" s="55">
        <v>174</v>
      </c>
      <c r="H111" s="55">
        <v>663000000</v>
      </c>
      <c r="I111" s="2">
        <f t="shared" si="15"/>
        <v>3810344.8275862071</v>
      </c>
    </row>
    <row r="112" spans="1:9" x14ac:dyDescent="0.3">
      <c r="A112" s="53">
        <v>5000000</v>
      </c>
      <c r="B112" s="53">
        <v>115</v>
      </c>
      <c r="C112" s="53">
        <v>1026000000</v>
      </c>
      <c r="D112" s="54">
        <v>1.7843478260869567</v>
      </c>
      <c r="F112" s="53">
        <v>5000000</v>
      </c>
      <c r="G112" s="55">
        <v>115</v>
      </c>
      <c r="H112" s="55">
        <v>1026000000</v>
      </c>
      <c r="I112" s="2">
        <f t="shared" si="15"/>
        <v>8921739.1304347832</v>
      </c>
    </row>
    <row r="113" spans="1:9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E113" s="53">
        <v>665500</v>
      </c>
      <c r="G113" s="2"/>
      <c r="H113" s="2"/>
    </row>
    <row r="114" spans="1:9" x14ac:dyDescent="0.3">
      <c r="A114" s="53">
        <v>151000</v>
      </c>
      <c r="B114" s="53"/>
      <c r="C114" s="53"/>
      <c r="D114" s="54"/>
      <c r="F114" s="53">
        <v>151000</v>
      </c>
      <c r="G114" s="2">
        <v>7787.7800117227662</v>
      </c>
      <c r="H114" s="2">
        <v>1351869571.9840343</v>
      </c>
      <c r="I114" s="2">
        <f>H114/G114</f>
        <v>173588.56695349587</v>
      </c>
    </row>
    <row r="115" spans="1:9" x14ac:dyDescent="0.3">
      <c r="A115" s="53">
        <v>201000</v>
      </c>
      <c r="B115" s="53"/>
      <c r="C115" s="53"/>
      <c r="D115" s="54"/>
      <c r="F115" s="53">
        <v>201000</v>
      </c>
      <c r="G115" s="2">
        <v>5469.5189058985779</v>
      </c>
      <c r="H115" s="2">
        <v>1358131771.4437776</v>
      </c>
      <c r="I115" s="2">
        <f>H115/G115</f>
        <v>248309.18309453258</v>
      </c>
    </row>
    <row r="116" spans="1:9" x14ac:dyDescent="0.3">
      <c r="A116" s="53">
        <v>301000</v>
      </c>
      <c r="B116" s="53"/>
      <c r="C116" s="53"/>
      <c r="D116" s="54"/>
      <c r="F116" s="53">
        <v>301000</v>
      </c>
      <c r="G116" s="2">
        <v>4906.0709293442087</v>
      </c>
      <c r="H116" s="2">
        <v>1864867641.5414956</v>
      </c>
      <c r="I116" s="2">
        <f t="shared" ref="I116:I122" si="16">H116/G116</f>
        <v>380114.28460753447</v>
      </c>
    </row>
    <row r="117" spans="1:9" x14ac:dyDescent="0.3">
      <c r="A117" s="53">
        <v>665500</v>
      </c>
      <c r="B117" s="53">
        <v>423</v>
      </c>
      <c r="C117" s="53">
        <v>305000000</v>
      </c>
      <c r="D117" s="54">
        <v>2.1906134401059951</v>
      </c>
      <c r="F117" s="53">
        <v>501000</v>
      </c>
      <c r="G117" s="2">
        <v>1608.6043448511805</v>
      </c>
      <c r="H117" s="2">
        <v>1000426274.3756415</v>
      </c>
      <c r="I117" s="2">
        <f t="shared" si="16"/>
        <v>621921.90241049952</v>
      </c>
    </row>
    <row r="118" spans="1:9" x14ac:dyDescent="0.3">
      <c r="A118" s="53">
        <v>801000</v>
      </c>
      <c r="B118" s="53">
        <v>611</v>
      </c>
      <c r="C118" s="53">
        <v>592000000</v>
      </c>
      <c r="D118" s="54">
        <v>2.1374179502375701</v>
      </c>
      <c r="F118" s="53">
        <v>801000</v>
      </c>
      <c r="G118" s="55">
        <v>611</v>
      </c>
      <c r="H118" s="55">
        <v>592000000</v>
      </c>
      <c r="I118" s="2">
        <f t="shared" si="16"/>
        <v>968903.43698854337</v>
      </c>
    </row>
    <row r="119" spans="1:9" x14ac:dyDescent="0.3">
      <c r="A119" s="53">
        <v>1201000</v>
      </c>
      <c r="B119" s="53">
        <v>354</v>
      </c>
      <c r="C119" s="53">
        <v>541000000</v>
      </c>
      <c r="D119" s="54">
        <v>2.0403051657494093</v>
      </c>
      <c r="F119" s="53">
        <v>1201000</v>
      </c>
      <c r="G119" s="55">
        <v>354</v>
      </c>
      <c r="H119" s="55">
        <v>541000000</v>
      </c>
      <c r="I119" s="2">
        <f t="shared" si="16"/>
        <v>1528248.5875706214</v>
      </c>
    </row>
    <row r="120" spans="1:9" x14ac:dyDescent="0.3">
      <c r="A120" s="53">
        <v>2001000</v>
      </c>
      <c r="B120" s="53">
        <v>137</v>
      </c>
      <c r="C120" s="53">
        <v>321000000</v>
      </c>
      <c r="D120" s="54">
        <v>1.8496498876998282</v>
      </c>
      <c r="F120" s="53">
        <v>2001000</v>
      </c>
      <c r="G120" s="55">
        <v>137</v>
      </c>
      <c r="H120" s="55">
        <v>321000000</v>
      </c>
      <c r="I120" s="2">
        <f t="shared" si="16"/>
        <v>2343065.693430657</v>
      </c>
    </row>
    <row r="121" spans="1:9" x14ac:dyDescent="0.3">
      <c r="A121" s="53">
        <v>3001000</v>
      </c>
      <c r="B121" s="53">
        <v>73</v>
      </c>
      <c r="C121" s="53">
        <v>277000000</v>
      </c>
      <c r="D121" s="54">
        <v>1.7332932033408219</v>
      </c>
      <c r="F121" s="53">
        <v>3001000</v>
      </c>
      <c r="G121" s="55">
        <v>73</v>
      </c>
      <c r="H121" s="55">
        <v>277000000</v>
      </c>
      <c r="I121" s="2">
        <f t="shared" si="16"/>
        <v>3794520.5479452056</v>
      </c>
    </row>
    <row r="122" spans="1:9" x14ac:dyDescent="0.3">
      <c r="A122" s="53">
        <v>5000000</v>
      </c>
      <c r="B122" s="53">
        <v>51</v>
      </c>
      <c r="C122" s="53">
        <v>368000000</v>
      </c>
      <c r="D122" s="54">
        <v>1.4431372549019608</v>
      </c>
      <c r="F122" s="53">
        <v>5000000</v>
      </c>
      <c r="G122" s="55">
        <v>51</v>
      </c>
      <c r="H122" s="55">
        <v>368000000</v>
      </c>
      <c r="I122" s="2">
        <f t="shared" si="16"/>
        <v>7215686.2745098043</v>
      </c>
    </row>
    <row r="123" spans="1:9" x14ac:dyDescent="0.3">
      <c r="A123" s="51" t="s">
        <v>56</v>
      </c>
      <c r="B123" s="51" t="s">
        <v>82</v>
      </c>
      <c r="C123" s="51" t="s">
        <v>83</v>
      </c>
      <c r="D123" s="52" t="s">
        <v>59</v>
      </c>
      <c r="E123" s="53">
        <v>726000</v>
      </c>
      <c r="G123" s="2"/>
      <c r="H123" s="2"/>
    </row>
    <row r="124" spans="1:9" x14ac:dyDescent="0.3">
      <c r="A124" s="53">
        <v>151000</v>
      </c>
      <c r="B124" s="53"/>
      <c r="C124" s="53"/>
      <c r="D124" s="54"/>
      <c r="F124" s="53">
        <v>151000</v>
      </c>
      <c r="G124" s="2">
        <v>3785.5493674004269</v>
      </c>
      <c r="H124" s="2">
        <v>657128089.818753</v>
      </c>
      <c r="I124" s="2">
        <f>H124/G124</f>
        <v>173588.56695349587</v>
      </c>
    </row>
    <row r="125" spans="1:9" x14ac:dyDescent="0.3">
      <c r="A125" s="53">
        <v>201000</v>
      </c>
      <c r="B125" s="53"/>
      <c r="C125" s="53"/>
      <c r="D125" s="54"/>
      <c r="F125" s="53">
        <v>201000</v>
      </c>
      <c r="G125" s="2">
        <v>2658.6695827362964</v>
      </c>
      <c r="H125" s="2">
        <v>660172072.20753157</v>
      </c>
      <c r="I125" s="2">
        <f>H125/G125</f>
        <v>248309.18309453258</v>
      </c>
    </row>
    <row r="126" spans="1:9" x14ac:dyDescent="0.3">
      <c r="A126" s="53">
        <v>301000</v>
      </c>
      <c r="B126" s="53"/>
      <c r="C126" s="53"/>
      <c r="D126" s="54"/>
      <c r="F126" s="53">
        <v>301000</v>
      </c>
      <c r="G126" s="2">
        <v>2384.7840687646967</v>
      </c>
      <c r="H126" s="2">
        <v>906490490.24193799</v>
      </c>
      <c r="I126" s="2">
        <f t="shared" ref="I126:I132" si="17">H126/G126</f>
        <v>380114.28460753447</v>
      </c>
    </row>
    <row r="127" spans="1:9" x14ac:dyDescent="0.3">
      <c r="A127" s="53">
        <v>726000</v>
      </c>
      <c r="B127" s="53">
        <v>89</v>
      </c>
      <c r="C127" s="53">
        <v>608000000</v>
      </c>
      <c r="D127" s="54">
        <v>3.4309716483011936</v>
      </c>
      <c r="F127" s="53">
        <v>501000</v>
      </c>
      <c r="G127" s="2">
        <v>781.9238795757783</v>
      </c>
      <c r="H127" s="2">
        <v>486295586.72596639</v>
      </c>
      <c r="I127" s="2">
        <f t="shared" si="17"/>
        <v>621921.90241049952</v>
      </c>
    </row>
    <row r="128" spans="1:9" x14ac:dyDescent="0.3">
      <c r="A128" s="53">
        <v>801000</v>
      </c>
      <c r="B128" s="53">
        <v>297</v>
      </c>
      <c r="C128" s="53">
        <v>288000000</v>
      </c>
      <c r="D128" s="54">
        <v>2.3994307557379493</v>
      </c>
      <c r="F128" s="53">
        <v>801000</v>
      </c>
      <c r="G128" s="55">
        <v>297</v>
      </c>
      <c r="H128" s="55">
        <v>288000000</v>
      </c>
      <c r="I128" s="2">
        <f t="shared" si="17"/>
        <v>969696.96969696973</v>
      </c>
    </row>
    <row r="129" spans="1:9" x14ac:dyDescent="0.3">
      <c r="A129" s="53">
        <v>1201000</v>
      </c>
      <c r="B129" s="53">
        <v>221</v>
      </c>
      <c r="C129" s="53">
        <v>329000000</v>
      </c>
      <c r="D129" s="54">
        <v>2.2167391048471821</v>
      </c>
      <c r="F129" s="53">
        <v>1201000</v>
      </c>
      <c r="G129" s="55">
        <v>221</v>
      </c>
      <c r="H129" s="55">
        <v>329000000</v>
      </c>
      <c r="I129" s="2">
        <f t="shared" si="17"/>
        <v>1488687.7828054298</v>
      </c>
    </row>
    <row r="130" spans="1:9" x14ac:dyDescent="0.3">
      <c r="A130" s="53">
        <v>2001000</v>
      </c>
      <c r="B130" s="53">
        <v>80</v>
      </c>
      <c r="C130" s="53">
        <v>188000000</v>
      </c>
      <c r="D130" s="54">
        <v>2.1355781736460959</v>
      </c>
      <c r="F130" s="53">
        <v>2001000</v>
      </c>
      <c r="G130" s="55">
        <v>80</v>
      </c>
      <c r="H130" s="55">
        <v>188000000</v>
      </c>
      <c r="I130" s="2">
        <f t="shared" si="17"/>
        <v>2350000</v>
      </c>
    </row>
    <row r="131" spans="1:9" x14ac:dyDescent="0.3">
      <c r="A131" s="53">
        <v>3001000</v>
      </c>
      <c r="B131" s="53">
        <v>49</v>
      </c>
      <c r="C131" s="53">
        <v>181000000</v>
      </c>
      <c r="D131" s="54">
        <v>2.0569275262155413</v>
      </c>
      <c r="F131" s="53">
        <v>3001000</v>
      </c>
      <c r="G131" s="55">
        <v>49</v>
      </c>
      <c r="H131" s="55">
        <v>181000000</v>
      </c>
      <c r="I131" s="2">
        <f t="shared" si="17"/>
        <v>3693877.551020408</v>
      </c>
    </row>
    <row r="132" spans="1:9" x14ac:dyDescent="0.3">
      <c r="A132" s="53">
        <v>5000000</v>
      </c>
      <c r="B132" s="53">
        <v>32</v>
      </c>
      <c r="C132" s="53">
        <v>319000000</v>
      </c>
      <c r="D132" s="54">
        <v>1.9937499999999999</v>
      </c>
      <c r="F132" s="53">
        <v>5000000</v>
      </c>
      <c r="G132" s="55">
        <v>32</v>
      </c>
      <c r="H132" s="55">
        <v>319000000</v>
      </c>
      <c r="I132" s="2">
        <f t="shared" si="17"/>
        <v>9968750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workbookViewId="0">
      <selection activeCell="O6" sqref="O6:O13"/>
    </sheetView>
  </sheetViews>
  <sheetFormatPr baseColWidth="10" defaultRowHeight="15.6" x14ac:dyDescent="0.3"/>
  <cols>
    <col min="3" max="3" width="14.69921875" customWidth="1"/>
    <col min="7" max="7" width="11" bestFit="1" customWidth="1"/>
    <col min="8" max="8" width="13.296875" bestFit="1" customWidth="1"/>
    <col min="12" max="12" width="14.296875" bestFit="1" customWidth="1"/>
  </cols>
  <sheetData>
    <row r="1" spans="1:15" x14ac:dyDescent="0.3">
      <c r="A1" s="79" t="s">
        <v>213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171000</v>
      </c>
      <c r="M3" t="s">
        <v>7</v>
      </c>
      <c r="N3" t="s">
        <v>8</v>
      </c>
      <c r="O3" t="s">
        <v>14</v>
      </c>
    </row>
    <row r="4" spans="1:15" x14ac:dyDescent="0.3">
      <c r="A4" s="53">
        <v>171000</v>
      </c>
      <c r="B4" s="53">
        <v>270336</v>
      </c>
      <c r="C4" s="53">
        <v>49924000000</v>
      </c>
      <c r="D4" s="54">
        <v>1.6407182901981594</v>
      </c>
      <c r="F4" s="53">
        <v>171000</v>
      </c>
      <c r="G4" s="55">
        <v>270336</v>
      </c>
      <c r="H4" s="55">
        <v>49924000000</v>
      </c>
      <c r="J4" s="53">
        <v>171000</v>
      </c>
      <c r="K4" s="2">
        <v>3601953.6926352293</v>
      </c>
      <c r="L4" s="2">
        <v>665186790331.73975</v>
      </c>
      <c r="M4">
        <v>0.21051906633063122</v>
      </c>
      <c r="N4">
        <v>1.7485109842305979</v>
      </c>
      <c r="O4">
        <f>(G4+G13+G31)/K4</f>
        <v>0.10384350690605043</v>
      </c>
    </row>
    <row r="5" spans="1:15" x14ac:dyDescent="0.3">
      <c r="A5" s="53">
        <v>201000</v>
      </c>
      <c r="B5" s="53">
        <v>477068</v>
      </c>
      <c r="C5" s="53">
        <v>114425000000</v>
      </c>
      <c r="D5" s="54">
        <v>1.5763574269814355</v>
      </c>
      <c r="F5" s="53">
        <v>201000</v>
      </c>
      <c r="G5" s="55">
        <v>477068</v>
      </c>
      <c r="H5" s="55">
        <v>114425000000</v>
      </c>
      <c r="J5" s="53">
        <v>201000</v>
      </c>
      <c r="K5" s="2">
        <v>6356448.4354214892</v>
      </c>
      <c r="L5" s="2">
        <v>1524597357657.8262</v>
      </c>
      <c r="M5">
        <v>0.42143972029233268</v>
      </c>
      <c r="N5">
        <v>1.6948883731911628</v>
      </c>
      <c r="O5">
        <f t="shared" ref="O5:O11" si="0">(G5+G14+G32)/K5</f>
        <v>0.10384350690605043</v>
      </c>
    </row>
    <row r="6" spans="1:15" x14ac:dyDescent="0.3">
      <c r="A6" s="53">
        <v>301000</v>
      </c>
      <c r="B6" s="53">
        <v>184796</v>
      </c>
      <c r="C6" s="53">
        <v>68345000000</v>
      </c>
      <c r="D6" s="54">
        <v>1.566838988673064</v>
      </c>
      <c r="F6" s="53">
        <v>301000</v>
      </c>
      <c r="G6" s="55">
        <v>184796</v>
      </c>
      <c r="H6" s="55">
        <v>68345000000</v>
      </c>
      <c r="I6" s="2">
        <f t="shared" ref="I6:I11" si="1">J6/655.957</f>
        <v>458.87154188460522</v>
      </c>
      <c r="J6" s="53">
        <v>301000</v>
      </c>
      <c r="K6" s="2">
        <v>2462219.7361217882</v>
      </c>
      <c r="L6" s="2">
        <v>925927330778.20203</v>
      </c>
      <c r="M6">
        <v>0.79365612707574673</v>
      </c>
      <c r="N6">
        <v>1.73601962319952</v>
      </c>
      <c r="O6">
        <f t="shared" si="0"/>
        <v>0.10384350690605045</v>
      </c>
    </row>
    <row r="7" spans="1:15" x14ac:dyDescent="0.3">
      <c r="A7" s="53">
        <v>501000</v>
      </c>
      <c r="B7" s="53">
        <v>35167</v>
      </c>
      <c r="C7" s="53">
        <v>20809000000</v>
      </c>
      <c r="D7" s="54">
        <v>1.6558561913894414</v>
      </c>
      <c r="F7" s="53">
        <v>501000</v>
      </c>
      <c r="G7" s="55">
        <v>35167</v>
      </c>
      <c r="H7" s="55">
        <v>20809000000</v>
      </c>
      <c r="I7" s="2">
        <f t="shared" si="1"/>
        <v>763.76957635942597</v>
      </c>
      <c r="J7" s="53">
        <v>501000</v>
      </c>
      <c r="K7" s="2">
        <v>686272.25412800268</v>
      </c>
      <c r="L7" s="2">
        <v>409375481819.09381</v>
      </c>
      <c r="M7">
        <v>0.9378370470031947</v>
      </c>
      <c r="N7">
        <v>1.7211708291992109</v>
      </c>
      <c r="O7">
        <f t="shared" si="0"/>
        <v>8.0775522639241829E-2</v>
      </c>
    </row>
    <row r="8" spans="1:15" x14ac:dyDescent="0.3">
      <c r="A8" s="53">
        <v>751000</v>
      </c>
      <c r="B8" s="53">
        <v>11843</v>
      </c>
      <c r="C8" s="53">
        <v>10798000000</v>
      </c>
      <c r="D8" s="54">
        <v>1.7457011754112024</v>
      </c>
      <c r="F8" s="53">
        <v>751000</v>
      </c>
      <c r="G8" s="55">
        <v>11843</v>
      </c>
      <c r="H8" s="55">
        <v>10798000000</v>
      </c>
      <c r="I8" s="2">
        <f t="shared" si="1"/>
        <v>1144.8921194529519</v>
      </c>
      <c r="J8" s="53">
        <v>751000</v>
      </c>
      <c r="K8" s="2">
        <v>252242.67410358565</v>
      </c>
      <c r="L8" s="2">
        <v>230036569721.11554</v>
      </c>
      <c r="M8">
        <v>0.97802329174376756</v>
      </c>
      <c r="N8">
        <v>1.795364291531917</v>
      </c>
      <c r="O8">
        <f t="shared" si="0"/>
        <v>7.7671234931304192E-2</v>
      </c>
    </row>
    <row r="9" spans="1:15" x14ac:dyDescent="0.3">
      <c r="A9" s="53">
        <v>1201000</v>
      </c>
      <c r="B9" s="53">
        <v>4473</v>
      </c>
      <c r="C9" s="53">
        <v>7200000000</v>
      </c>
      <c r="D9" s="54">
        <v>1.8032996123379952</v>
      </c>
      <c r="F9" s="53">
        <v>1201000</v>
      </c>
      <c r="G9" s="55">
        <v>4473</v>
      </c>
      <c r="H9" s="55">
        <v>7200000000</v>
      </c>
      <c r="I9" s="2">
        <f t="shared" si="1"/>
        <v>1830.9126970212988</v>
      </c>
      <c r="J9" s="53">
        <v>1201000</v>
      </c>
      <c r="K9" s="2">
        <v>97211</v>
      </c>
      <c r="L9" s="2">
        <v>156568000000</v>
      </c>
      <c r="M9">
        <v>0.99279393965291729</v>
      </c>
      <c r="N9">
        <v>1.8673898843439016</v>
      </c>
      <c r="O9">
        <f t="shared" si="0"/>
        <v>8.5875055292096575E-2</v>
      </c>
    </row>
    <row r="10" spans="1:15" x14ac:dyDescent="0.3">
      <c r="A10" s="53">
        <v>2501000</v>
      </c>
      <c r="B10" s="53">
        <v>822</v>
      </c>
      <c r="C10" s="53">
        <v>2694000000</v>
      </c>
      <c r="D10" s="54">
        <v>1.8051325267815443</v>
      </c>
      <c r="F10" s="53">
        <v>2501000</v>
      </c>
      <c r="G10" s="55">
        <v>822</v>
      </c>
      <c r="H10" s="55">
        <v>2694000000</v>
      </c>
      <c r="I10" s="2">
        <f t="shared" si="1"/>
        <v>3812.7499211076338</v>
      </c>
      <c r="J10" s="53">
        <v>2501000</v>
      </c>
      <c r="K10" s="2">
        <v>19796</v>
      </c>
      <c r="L10" s="2">
        <v>65959000000</v>
      </c>
      <c r="M10">
        <v>0.99848635256044416</v>
      </c>
      <c r="N10">
        <v>1.8472706859072303</v>
      </c>
      <c r="O10">
        <f t="shared" si="0"/>
        <v>9.2291371994342286E-2</v>
      </c>
    </row>
    <row r="11" spans="1:15" x14ac:dyDescent="0.3">
      <c r="A11" s="53">
        <v>5000000</v>
      </c>
      <c r="B11" s="53">
        <v>237</v>
      </c>
      <c r="C11" s="53">
        <v>2087000000</v>
      </c>
      <c r="D11" s="54">
        <v>1.7611814345991559</v>
      </c>
      <c r="F11" s="53">
        <v>5000000</v>
      </c>
      <c r="G11" s="55">
        <v>237</v>
      </c>
      <c r="H11" s="55">
        <v>2087000000</v>
      </c>
      <c r="I11" s="2">
        <f t="shared" si="1"/>
        <v>7622.4508618705195</v>
      </c>
      <c r="J11" s="53">
        <v>5000000</v>
      </c>
      <c r="K11" s="2">
        <v>6053</v>
      </c>
      <c r="L11" s="2">
        <v>53464000000</v>
      </c>
      <c r="M11">
        <v>0.99964555271184063</v>
      </c>
      <c r="N11">
        <v>1.7665289938873285</v>
      </c>
      <c r="O11">
        <f t="shared" si="0"/>
        <v>0.10688914587807699</v>
      </c>
    </row>
    <row r="12" spans="1:15" x14ac:dyDescent="0.3">
      <c r="A12" s="51" t="s">
        <v>56</v>
      </c>
      <c r="B12" s="51" t="s">
        <v>87</v>
      </c>
      <c r="C12" s="51" t="s">
        <v>88</v>
      </c>
      <c r="D12" s="52" t="s">
        <v>59</v>
      </c>
      <c r="E12" s="53">
        <v>256500</v>
      </c>
      <c r="G12" s="2"/>
      <c r="H12" s="2"/>
    </row>
    <row r="13" spans="1:15" x14ac:dyDescent="0.3">
      <c r="A13" s="53">
        <v>171000</v>
      </c>
      <c r="B13" s="53"/>
      <c r="C13" s="53"/>
      <c r="D13" s="54"/>
      <c r="F13" s="53">
        <v>171000</v>
      </c>
      <c r="G13" s="2">
        <v>92246.842399186135</v>
      </c>
      <c r="H13" s="2">
        <v>17035582977.98654</v>
      </c>
      <c r="K13" s="5">
        <v>17077292.455622979</v>
      </c>
    </row>
    <row r="14" spans="1:15" x14ac:dyDescent="0.3">
      <c r="A14" s="53">
        <v>210000</v>
      </c>
      <c r="B14" s="53">
        <v>63382</v>
      </c>
      <c r="C14" s="53">
        <v>16523000000</v>
      </c>
      <c r="D14" s="54">
        <v>2.1501289120976352</v>
      </c>
      <c r="F14" s="53">
        <v>201000</v>
      </c>
      <c r="G14" s="2">
        <v>162790.07091062577</v>
      </c>
      <c r="H14" s="2">
        <v>39045280471.438774</v>
      </c>
    </row>
    <row r="15" spans="1:15" x14ac:dyDescent="0.3">
      <c r="A15" s="53">
        <v>301000</v>
      </c>
      <c r="B15" s="53">
        <v>63058</v>
      </c>
      <c r="C15" s="53">
        <v>23745000000</v>
      </c>
      <c r="D15" s="54">
        <v>1.9323588282881665</v>
      </c>
      <c r="F15" s="53">
        <v>301000</v>
      </c>
      <c r="G15" s="55">
        <v>63058</v>
      </c>
      <c r="H15" s="55">
        <v>23745000000</v>
      </c>
    </row>
    <row r="16" spans="1:15" x14ac:dyDescent="0.3">
      <c r="A16" s="53">
        <v>501000</v>
      </c>
      <c r="B16" s="53">
        <v>18028</v>
      </c>
      <c r="C16" s="53">
        <v>10752000000</v>
      </c>
      <c r="D16" s="54">
        <v>2.0241076115616954</v>
      </c>
      <c r="F16" s="53">
        <v>501000</v>
      </c>
      <c r="G16" s="55">
        <v>18028</v>
      </c>
      <c r="H16" s="55">
        <v>10752000000</v>
      </c>
    </row>
    <row r="17" spans="1:8" x14ac:dyDescent="0.3">
      <c r="A17" s="53">
        <v>751000</v>
      </c>
      <c r="B17" s="53">
        <v>6936</v>
      </c>
      <c r="C17" s="53">
        <v>6399000000</v>
      </c>
      <c r="D17" s="54">
        <v>2.1944863837916091</v>
      </c>
      <c r="F17" s="53">
        <v>751000</v>
      </c>
      <c r="G17" s="55">
        <v>6936</v>
      </c>
      <c r="H17" s="55">
        <v>6399000000</v>
      </c>
    </row>
    <row r="18" spans="1:8" x14ac:dyDescent="0.3">
      <c r="A18" s="53">
        <v>1201000</v>
      </c>
      <c r="B18" s="53">
        <v>3593</v>
      </c>
      <c r="C18" s="53">
        <v>5947000000</v>
      </c>
      <c r="D18" s="54">
        <v>2.220203395908523</v>
      </c>
      <c r="F18" s="53">
        <v>1201000</v>
      </c>
      <c r="G18" s="55">
        <v>3593</v>
      </c>
      <c r="H18" s="55">
        <v>5947000000</v>
      </c>
    </row>
    <row r="19" spans="1:8" x14ac:dyDescent="0.3">
      <c r="A19" s="53">
        <v>2501000</v>
      </c>
      <c r="B19" s="53">
        <v>958</v>
      </c>
      <c r="C19" s="53">
        <v>3244000000</v>
      </c>
      <c r="D19" s="54">
        <v>2.1439495418449832</v>
      </c>
      <c r="F19" s="53">
        <v>2501000</v>
      </c>
      <c r="G19" s="55">
        <v>958</v>
      </c>
      <c r="H19" s="55">
        <v>3244000000</v>
      </c>
    </row>
    <row r="20" spans="1:8" x14ac:dyDescent="0.3">
      <c r="A20" s="53">
        <v>5000000</v>
      </c>
      <c r="B20" s="53">
        <v>390</v>
      </c>
      <c r="C20" s="53">
        <v>3984000000</v>
      </c>
      <c r="D20" s="54">
        <v>2.043076923076923</v>
      </c>
      <c r="F20" s="53">
        <v>5000000</v>
      </c>
      <c r="G20" s="55">
        <v>390</v>
      </c>
      <c r="H20" s="55">
        <v>3984000000</v>
      </c>
    </row>
    <row r="21" spans="1:8" x14ac:dyDescent="0.3">
      <c r="A21" s="51" t="s">
        <v>56</v>
      </c>
      <c r="B21" s="51" t="s">
        <v>64</v>
      </c>
      <c r="C21" s="51" t="s">
        <v>65</v>
      </c>
      <c r="D21" s="52" t="s">
        <v>59</v>
      </c>
      <c r="E21">
        <v>342000</v>
      </c>
      <c r="G21" s="2"/>
      <c r="H21" s="2"/>
    </row>
    <row r="22" spans="1:8" x14ac:dyDescent="0.3">
      <c r="A22" s="53">
        <v>171000</v>
      </c>
      <c r="B22" s="53"/>
      <c r="C22" s="53"/>
      <c r="D22" s="54"/>
      <c r="F22" s="53">
        <v>171000</v>
      </c>
      <c r="G22" s="2">
        <v>1173491.5876494648</v>
      </c>
      <c r="H22" s="2">
        <v>216713253217.52151</v>
      </c>
    </row>
    <row r="23" spans="1:8" x14ac:dyDescent="0.3">
      <c r="A23" s="53">
        <v>201000</v>
      </c>
      <c r="B23" s="53"/>
      <c r="C23" s="53"/>
      <c r="D23" s="54"/>
      <c r="F23" s="53">
        <v>201000</v>
      </c>
      <c r="G23" s="2">
        <v>2070886.9138285499</v>
      </c>
      <c r="H23" s="2">
        <v>496703268957.11261</v>
      </c>
    </row>
    <row r="24" spans="1:8" x14ac:dyDescent="0.3">
      <c r="A24" s="53">
        <v>301000</v>
      </c>
      <c r="B24" s="53">
        <v>655348</v>
      </c>
      <c r="C24" s="53">
        <v>250514000000</v>
      </c>
      <c r="D24" s="54">
        <v>1.8395483051098314</v>
      </c>
      <c r="F24" s="53">
        <v>301000</v>
      </c>
      <c r="G24" s="2">
        <v>802174.15154204576</v>
      </c>
      <c r="H24" s="2">
        <v>302065165853.11737</v>
      </c>
    </row>
    <row r="25" spans="1:8" x14ac:dyDescent="0.3">
      <c r="A25" s="53">
        <v>501000</v>
      </c>
      <c r="B25" s="53">
        <v>229338</v>
      </c>
      <c r="C25" s="53">
        <v>136861000000</v>
      </c>
      <c r="D25" s="54">
        <v>1.731003162390129</v>
      </c>
      <c r="F25" s="53">
        <v>501000</v>
      </c>
      <c r="G25" s="55">
        <v>229338</v>
      </c>
      <c r="H25" s="55">
        <v>136861000000</v>
      </c>
    </row>
    <row r="26" spans="1:8" x14ac:dyDescent="0.3">
      <c r="A26" s="53">
        <v>751000</v>
      </c>
      <c r="B26" s="53">
        <v>87741</v>
      </c>
      <c r="C26" s="53">
        <v>79890000000</v>
      </c>
      <c r="D26" s="54">
        <v>1.7949476759392298</v>
      </c>
      <c r="F26" s="53">
        <v>751000</v>
      </c>
      <c r="G26" s="55">
        <v>87741</v>
      </c>
      <c r="H26" s="55">
        <v>79890000000</v>
      </c>
    </row>
    <row r="27" spans="1:8" x14ac:dyDescent="0.3">
      <c r="A27" s="53">
        <v>1201000</v>
      </c>
      <c r="B27" s="53">
        <v>32183</v>
      </c>
      <c r="C27" s="53">
        <v>51721000000</v>
      </c>
      <c r="D27" s="54">
        <v>1.8967122410548647</v>
      </c>
      <c r="F27" s="53">
        <v>1201000</v>
      </c>
      <c r="G27" s="55">
        <v>32183</v>
      </c>
      <c r="H27" s="55">
        <v>51721000000</v>
      </c>
    </row>
    <row r="28" spans="1:8" x14ac:dyDescent="0.3">
      <c r="A28" s="53">
        <v>2501000</v>
      </c>
      <c r="B28" s="53">
        <v>6905</v>
      </c>
      <c r="C28" s="53">
        <v>23066000000</v>
      </c>
      <c r="D28" s="54">
        <v>1.8600872824391248</v>
      </c>
      <c r="F28" s="53">
        <v>2501000</v>
      </c>
      <c r="G28" s="55">
        <v>6905</v>
      </c>
      <c r="H28" s="55">
        <v>23066000000</v>
      </c>
    </row>
    <row r="29" spans="1:8" x14ac:dyDescent="0.3">
      <c r="A29" s="53">
        <v>5000000</v>
      </c>
      <c r="B29" s="53">
        <v>2189</v>
      </c>
      <c r="C29" s="53">
        <v>19240000000</v>
      </c>
      <c r="D29" s="54">
        <v>1.7578803106441296</v>
      </c>
      <c r="F29" s="53">
        <v>5000000</v>
      </c>
      <c r="G29" s="55">
        <v>2189</v>
      </c>
      <c r="H29" s="55">
        <v>19240000000</v>
      </c>
    </row>
    <row r="30" spans="1:8" x14ac:dyDescent="0.3">
      <c r="A30" s="51" t="s">
        <v>56</v>
      </c>
      <c r="B30" s="51" t="s">
        <v>66</v>
      </c>
      <c r="C30" s="51" t="s">
        <v>67</v>
      </c>
      <c r="D30" s="52" t="s">
        <v>59</v>
      </c>
      <c r="E30">
        <v>342000</v>
      </c>
      <c r="G30" s="2"/>
      <c r="H30" s="2"/>
    </row>
    <row r="31" spans="1:8" x14ac:dyDescent="0.3">
      <c r="A31" s="53">
        <v>171000</v>
      </c>
      <c r="B31" s="53"/>
      <c r="C31" s="53"/>
      <c r="D31" s="54"/>
      <c r="F31" s="53">
        <v>171000</v>
      </c>
      <c r="G31" s="2">
        <v>11456.660757254147</v>
      </c>
      <c r="H31" s="2">
        <v>2115746077.6409953</v>
      </c>
    </row>
    <row r="32" spans="1:8" x14ac:dyDescent="0.3">
      <c r="A32" s="53">
        <v>201000</v>
      </c>
      <c r="B32" s="53"/>
      <c r="C32" s="53"/>
      <c r="D32" s="54"/>
      <c r="F32" s="53">
        <v>201000</v>
      </c>
      <c r="G32" s="2">
        <v>20217.826091019033</v>
      </c>
      <c r="H32" s="2">
        <v>4849255767.447938</v>
      </c>
    </row>
    <row r="33" spans="1:8" x14ac:dyDescent="0.3">
      <c r="A33" s="53">
        <v>301000</v>
      </c>
      <c r="B33" s="53">
        <v>10449</v>
      </c>
      <c r="C33" s="53">
        <v>3928000000</v>
      </c>
      <c r="D33" s="54">
        <v>1.6263477937560717</v>
      </c>
      <c r="F33" s="53">
        <v>301000</v>
      </c>
      <c r="G33" s="2">
        <v>7831.532172176614</v>
      </c>
      <c r="H33" s="2">
        <v>2949026791.6574216</v>
      </c>
    </row>
    <row r="34" spans="1:8" x14ac:dyDescent="0.3">
      <c r="A34" s="53">
        <v>501000</v>
      </c>
      <c r="B34" s="53">
        <v>2239</v>
      </c>
      <c r="C34" s="53">
        <v>1327000000</v>
      </c>
      <c r="D34" s="54">
        <v>1.6738061659685626</v>
      </c>
      <c r="F34" s="53">
        <v>501000</v>
      </c>
      <c r="G34" s="55">
        <v>2239</v>
      </c>
      <c r="H34" s="55">
        <v>1327000000</v>
      </c>
    </row>
    <row r="35" spans="1:8" x14ac:dyDescent="0.3">
      <c r="A35" s="53">
        <v>751000</v>
      </c>
      <c r="B35" s="53">
        <v>813</v>
      </c>
      <c r="C35" s="53">
        <v>740000000</v>
      </c>
      <c r="D35" s="54">
        <v>1.7475265337553372</v>
      </c>
      <c r="F35" s="53">
        <v>751000</v>
      </c>
      <c r="G35" s="55">
        <v>813</v>
      </c>
      <c r="H35" s="55">
        <v>740000000</v>
      </c>
    </row>
    <row r="36" spans="1:8" x14ac:dyDescent="0.3">
      <c r="A36" s="53">
        <v>1201000</v>
      </c>
      <c r="B36" s="53">
        <v>282</v>
      </c>
      <c r="C36" s="53">
        <v>442000000</v>
      </c>
      <c r="D36" s="54">
        <v>1.8728423543894892</v>
      </c>
      <c r="F36" s="53">
        <v>1201000</v>
      </c>
      <c r="G36" s="55">
        <v>282</v>
      </c>
      <c r="H36" s="55">
        <v>442000000</v>
      </c>
    </row>
    <row r="37" spans="1:8" x14ac:dyDescent="0.3">
      <c r="A37" s="53">
        <v>2501000</v>
      </c>
      <c r="B37" s="53">
        <v>47</v>
      </c>
      <c r="C37" s="53">
        <v>163000000</v>
      </c>
      <c r="D37" s="54">
        <v>2.0469424170630255</v>
      </c>
      <c r="F37" s="53">
        <v>2501000</v>
      </c>
      <c r="G37" s="55">
        <v>47</v>
      </c>
      <c r="H37" s="55">
        <v>163000000</v>
      </c>
    </row>
    <row r="38" spans="1:8" x14ac:dyDescent="0.3">
      <c r="A38" s="53">
        <v>5000000</v>
      </c>
      <c r="B38" s="53">
        <v>20</v>
      </c>
      <c r="C38" s="53">
        <v>180000000</v>
      </c>
      <c r="D38" s="54">
        <v>1.8</v>
      </c>
      <c r="F38" s="53">
        <v>5000000</v>
      </c>
      <c r="G38" s="55">
        <v>20</v>
      </c>
      <c r="H38" s="55">
        <v>180000000</v>
      </c>
    </row>
    <row r="39" spans="1:8" x14ac:dyDescent="0.3">
      <c r="A39" s="51" t="s">
        <v>56</v>
      </c>
      <c r="B39" s="51" t="s">
        <v>68</v>
      </c>
      <c r="C39" s="51" t="s">
        <v>69</v>
      </c>
      <c r="D39" s="52" t="s">
        <v>59</v>
      </c>
      <c r="E39">
        <v>427500</v>
      </c>
      <c r="G39" s="2"/>
      <c r="H39" s="2"/>
    </row>
    <row r="40" spans="1:8" x14ac:dyDescent="0.3">
      <c r="A40" s="53">
        <v>171000</v>
      </c>
      <c r="B40" s="53"/>
      <c r="C40" s="53"/>
      <c r="D40" s="54"/>
      <c r="F40" s="53">
        <v>171000</v>
      </c>
      <c r="G40" s="2">
        <v>866500.15451314521</v>
      </c>
      <c r="H40" s="2">
        <v>160019951889.18338</v>
      </c>
    </row>
    <row r="41" spans="1:8" x14ac:dyDescent="0.3">
      <c r="A41" s="53">
        <v>201000</v>
      </c>
      <c r="B41" s="53"/>
      <c r="C41" s="53"/>
      <c r="D41" s="54"/>
      <c r="F41" s="53">
        <v>201000</v>
      </c>
      <c r="G41" s="2">
        <v>1529132.2491761257</v>
      </c>
      <c r="H41" s="2">
        <v>366763139870.99988</v>
      </c>
    </row>
    <row r="42" spans="1:8" x14ac:dyDescent="0.3">
      <c r="A42" s="53">
        <v>350000</v>
      </c>
      <c r="B42" s="53">
        <v>240755</v>
      </c>
      <c r="C42" s="53">
        <v>103962000000</v>
      </c>
      <c r="D42" s="54">
        <v>1.8076701578290115</v>
      </c>
      <c r="F42" s="53">
        <v>301000</v>
      </c>
      <c r="G42" s="2">
        <v>592321.26891502109</v>
      </c>
      <c r="H42" s="2">
        <v>223043365320.61237</v>
      </c>
    </row>
    <row r="43" spans="1:8" x14ac:dyDescent="0.3">
      <c r="A43" s="53">
        <v>501000</v>
      </c>
      <c r="B43" s="53">
        <v>169342</v>
      </c>
      <c r="C43" s="53">
        <v>101068000000</v>
      </c>
      <c r="D43" s="54">
        <v>1.6404709652420495</v>
      </c>
      <c r="F43" s="53">
        <v>501000</v>
      </c>
      <c r="G43" s="55">
        <v>169342</v>
      </c>
      <c r="H43" s="55">
        <v>101068000000</v>
      </c>
    </row>
    <row r="44" spans="1:8" x14ac:dyDescent="0.3">
      <c r="A44" s="53">
        <v>751000</v>
      </c>
      <c r="B44" s="53">
        <v>61119</v>
      </c>
      <c r="C44" s="53">
        <v>55449000000</v>
      </c>
      <c r="D44" s="54">
        <v>1.682582842066167</v>
      </c>
      <c r="F44" s="53">
        <v>751000</v>
      </c>
      <c r="G44" s="55">
        <v>61119</v>
      </c>
      <c r="H44" s="55">
        <v>55449000000</v>
      </c>
    </row>
    <row r="45" spans="1:8" x14ac:dyDescent="0.3">
      <c r="A45" s="53">
        <v>1201000</v>
      </c>
      <c r="B45" s="53">
        <v>20398</v>
      </c>
      <c r="C45" s="53">
        <v>32488000000</v>
      </c>
      <c r="D45" s="54">
        <v>1.7731946763906474</v>
      </c>
      <c r="F45" s="53">
        <v>1201000</v>
      </c>
      <c r="G45" s="55">
        <v>20398</v>
      </c>
      <c r="H45" s="55">
        <v>32488000000</v>
      </c>
    </row>
    <row r="46" spans="1:8" x14ac:dyDescent="0.3">
      <c r="A46" s="53">
        <v>2501000</v>
      </c>
      <c r="B46" s="53">
        <v>3731</v>
      </c>
      <c r="C46" s="53">
        <v>12347000000</v>
      </c>
      <c r="D46" s="54">
        <v>1.7724140627660607</v>
      </c>
      <c r="F46" s="53">
        <v>2501000</v>
      </c>
      <c r="G46" s="55">
        <v>3731</v>
      </c>
      <c r="H46" s="55">
        <v>12347000000</v>
      </c>
    </row>
    <row r="47" spans="1:8" x14ac:dyDescent="0.3">
      <c r="A47" s="53">
        <v>5000000</v>
      </c>
      <c r="B47" s="53">
        <v>1024</v>
      </c>
      <c r="C47" s="53">
        <v>8731000000</v>
      </c>
      <c r="D47" s="54">
        <v>1.7052734375</v>
      </c>
      <c r="F47" s="53">
        <v>5000000</v>
      </c>
      <c r="G47" s="55">
        <v>1024</v>
      </c>
      <c r="H47" s="55">
        <v>8731000000</v>
      </c>
    </row>
    <row r="48" spans="1:8" x14ac:dyDescent="0.3">
      <c r="A48" s="51" t="s">
        <v>56</v>
      </c>
      <c r="B48" s="51" t="s">
        <v>70</v>
      </c>
      <c r="C48" s="51" t="s">
        <v>71</v>
      </c>
      <c r="D48" s="52" t="s">
        <v>59</v>
      </c>
      <c r="E48">
        <v>513000</v>
      </c>
      <c r="G48" s="2"/>
      <c r="H48" s="2"/>
    </row>
    <row r="49" spans="1:8" x14ac:dyDescent="0.3">
      <c r="A49" s="53">
        <v>171000</v>
      </c>
      <c r="B49" s="53"/>
      <c r="C49" s="53"/>
      <c r="D49" s="54"/>
      <c r="F49" s="53">
        <v>171000</v>
      </c>
      <c r="G49" s="2">
        <v>610529.66596236976</v>
      </c>
      <c r="H49" s="2">
        <v>112748886731.71669</v>
      </c>
    </row>
    <row r="50" spans="1:8" x14ac:dyDescent="0.3">
      <c r="A50" s="53">
        <v>201000</v>
      </c>
      <c r="B50" s="53"/>
      <c r="C50" s="53"/>
      <c r="D50" s="54"/>
      <c r="F50" s="53">
        <v>201000</v>
      </c>
      <c r="G50" s="2">
        <v>1077415.3892982651</v>
      </c>
      <c r="H50" s="2">
        <v>258418623593.39542</v>
      </c>
    </row>
    <row r="51" spans="1:8" x14ac:dyDescent="0.3">
      <c r="A51" s="53">
        <v>420000</v>
      </c>
      <c r="B51" s="53">
        <v>41007</v>
      </c>
      <c r="C51" s="53">
        <v>19475000000</v>
      </c>
      <c r="D51" s="54">
        <v>1.8936308512901976</v>
      </c>
      <c r="F51" s="53">
        <v>301000</v>
      </c>
      <c r="G51" s="2">
        <v>417345.23019938916</v>
      </c>
      <c r="H51" s="2">
        <v>157154722494.9173</v>
      </c>
    </row>
    <row r="52" spans="1:8" x14ac:dyDescent="0.3">
      <c r="A52" s="53">
        <v>501000</v>
      </c>
      <c r="B52" s="53">
        <v>99985</v>
      </c>
      <c r="C52" s="53">
        <v>60154000000</v>
      </c>
      <c r="D52" s="54">
        <v>1.7480591868090996</v>
      </c>
      <c r="F52" s="53">
        <v>501000</v>
      </c>
      <c r="G52" s="2">
        <v>119317.13359184541</v>
      </c>
      <c r="H52" s="2">
        <v>71211772967.489655</v>
      </c>
    </row>
    <row r="53" spans="1:8" x14ac:dyDescent="0.3">
      <c r="A53" s="53">
        <v>751000</v>
      </c>
      <c r="B53" s="53">
        <v>43064</v>
      </c>
      <c r="C53" s="53">
        <v>39305000000</v>
      </c>
      <c r="D53" s="54">
        <v>1.74250377592248</v>
      </c>
      <c r="F53" s="53">
        <v>751000</v>
      </c>
      <c r="G53" s="55">
        <v>43064</v>
      </c>
      <c r="H53" s="55">
        <v>39305000000</v>
      </c>
    </row>
    <row r="54" spans="1:8" x14ac:dyDescent="0.3">
      <c r="A54" s="53">
        <v>1201000</v>
      </c>
      <c r="B54" s="53">
        <v>16465</v>
      </c>
      <c r="C54" s="53">
        <v>26455000000</v>
      </c>
      <c r="D54" s="54">
        <v>1.7901974546783077</v>
      </c>
      <c r="F54" s="53">
        <v>1201000</v>
      </c>
      <c r="G54" s="55">
        <v>16465</v>
      </c>
      <c r="H54" s="55">
        <v>26455000000</v>
      </c>
    </row>
    <row r="55" spans="1:8" x14ac:dyDescent="0.3">
      <c r="A55" s="53">
        <v>2501000</v>
      </c>
      <c r="B55" s="53">
        <v>2987</v>
      </c>
      <c r="C55" s="53">
        <v>9916000000</v>
      </c>
      <c r="D55" s="54">
        <v>1.8013858174476394</v>
      </c>
      <c r="F55" s="53">
        <v>2501000</v>
      </c>
      <c r="G55" s="55">
        <v>2987</v>
      </c>
      <c r="H55" s="55">
        <v>9916000000</v>
      </c>
    </row>
    <row r="56" spans="1:8" x14ac:dyDescent="0.3">
      <c r="A56" s="53">
        <v>5000000</v>
      </c>
      <c r="B56" s="53">
        <v>811</v>
      </c>
      <c r="C56" s="53">
        <v>7195000000</v>
      </c>
      <c r="D56" s="54">
        <v>1.7743526510480889</v>
      </c>
      <c r="F56" s="53">
        <v>5000000</v>
      </c>
      <c r="G56" s="55">
        <v>811</v>
      </c>
      <c r="H56" s="55">
        <v>7195000000</v>
      </c>
    </row>
    <row r="57" spans="1:8" x14ac:dyDescent="0.3">
      <c r="A57" s="51" t="s">
        <v>56</v>
      </c>
      <c r="B57" s="51" t="s">
        <v>72</v>
      </c>
      <c r="C57" s="51" t="s">
        <v>73</v>
      </c>
      <c r="D57" s="52" t="s">
        <v>59</v>
      </c>
      <c r="E57">
        <v>598500</v>
      </c>
      <c r="G57" s="2"/>
      <c r="H57" s="2"/>
    </row>
    <row r="58" spans="1:8" x14ac:dyDescent="0.3">
      <c r="A58" s="53">
        <v>171000</v>
      </c>
      <c r="B58" s="53"/>
      <c r="C58" s="53"/>
      <c r="D58" s="54"/>
      <c r="F58" s="53">
        <v>171000</v>
      </c>
      <c r="G58" s="2">
        <v>308511.42627269006</v>
      </c>
      <c r="H58" s="2">
        <v>56974004369.517143</v>
      </c>
    </row>
    <row r="59" spans="1:8" x14ac:dyDescent="0.3">
      <c r="A59" s="53">
        <v>201000</v>
      </c>
      <c r="B59" s="53"/>
      <c r="C59" s="53"/>
      <c r="D59" s="54"/>
      <c r="F59" s="53">
        <v>201000</v>
      </c>
      <c r="G59" s="2">
        <v>544437.0306176747</v>
      </c>
      <c r="H59" s="2">
        <v>130583495913.4283</v>
      </c>
    </row>
    <row r="60" spans="1:8" x14ac:dyDescent="0.3">
      <c r="A60" s="53">
        <v>301000</v>
      </c>
      <c r="B60" s="53"/>
      <c r="C60" s="53"/>
      <c r="D60" s="54"/>
      <c r="F60" s="53">
        <v>301000</v>
      </c>
      <c r="G60" s="2">
        <v>210891.9179446616</v>
      </c>
      <c r="H60" s="2">
        <v>79413057686.510666</v>
      </c>
    </row>
    <row r="61" spans="1:8" x14ac:dyDescent="0.3">
      <c r="A61" s="53">
        <v>501000</v>
      </c>
      <c r="B61" s="53">
        <v>37678</v>
      </c>
      <c r="C61" s="53">
        <v>23403000000</v>
      </c>
      <c r="D61" s="54">
        <v>1.9783598878999582</v>
      </c>
      <c r="F61" s="53">
        <v>501000</v>
      </c>
      <c r="G61" s="2">
        <v>60293.055547374788</v>
      </c>
      <c r="H61" s="2">
        <v>35984566959.537949</v>
      </c>
    </row>
    <row r="62" spans="1:8" x14ac:dyDescent="0.3">
      <c r="A62" s="53">
        <v>751000</v>
      </c>
      <c r="B62" s="53">
        <v>21761</v>
      </c>
      <c r="C62" s="53">
        <v>19980000000</v>
      </c>
      <c r="D62" s="54">
        <v>1.859965608943364</v>
      </c>
      <c r="F62" s="53">
        <v>751000</v>
      </c>
      <c r="G62" s="55">
        <v>21761</v>
      </c>
      <c r="H62" s="55">
        <v>19980000000</v>
      </c>
    </row>
    <row r="63" spans="1:8" x14ac:dyDescent="0.3">
      <c r="A63" s="53">
        <v>1201000</v>
      </c>
      <c r="B63" s="53">
        <v>10026</v>
      </c>
      <c r="C63" s="53">
        <v>16248000000</v>
      </c>
      <c r="D63" s="54">
        <v>1.8510805224320575</v>
      </c>
      <c r="F63" s="53">
        <v>1201000</v>
      </c>
      <c r="G63" s="55">
        <v>10026</v>
      </c>
      <c r="H63" s="55">
        <v>16248000000</v>
      </c>
    </row>
    <row r="64" spans="1:8" x14ac:dyDescent="0.3">
      <c r="A64" s="53">
        <v>2501000</v>
      </c>
      <c r="B64" s="53">
        <v>1993</v>
      </c>
      <c r="C64" s="53">
        <v>6624000000</v>
      </c>
      <c r="D64" s="54">
        <v>1.8251614083048953</v>
      </c>
      <c r="F64" s="53">
        <v>2501000</v>
      </c>
      <c r="G64" s="55">
        <v>1993</v>
      </c>
      <c r="H64" s="55">
        <v>6624000000</v>
      </c>
    </row>
    <row r="65" spans="1:8" x14ac:dyDescent="0.3">
      <c r="A65" s="53">
        <v>5000000</v>
      </c>
      <c r="B65" s="53">
        <v>587</v>
      </c>
      <c r="C65" s="53">
        <v>5153000000</v>
      </c>
      <c r="D65" s="54">
        <v>1.7557069846678022</v>
      </c>
      <c r="F65" s="53">
        <v>5000000</v>
      </c>
      <c r="G65" s="55">
        <v>587</v>
      </c>
      <c r="H65" s="55">
        <v>5153000000</v>
      </c>
    </row>
    <row r="66" spans="1:8" x14ac:dyDescent="0.3">
      <c r="A66" s="51" t="s">
        <v>56</v>
      </c>
      <c r="B66" s="51" t="s">
        <v>74</v>
      </c>
      <c r="C66" s="51" t="s">
        <v>75</v>
      </c>
      <c r="D66" s="52" t="s">
        <v>59</v>
      </c>
      <c r="E66">
        <v>684500</v>
      </c>
      <c r="G66" s="2"/>
      <c r="H66" s="2"/>
    </row>
    <row r="67" spans="1:8" x14ac:dyDescent="0.3">
      <c r="A67" s="53">
        <v>171000</v>
      </c>
      <c r="B67" s="53"/>
      <c r="C67" s="53"/>
      <c r="D67" s="54"/>
      <c r="F67" s="53">
        <v>171000</v>
      </c>
      <c r="G67" s="2">
        <v>137859.70815107937</v>
      </c>
      <c r="H67" s="2">
        <v>25459088207.765484</v>
      </c>
    </row>
    <row r="68" spans="1:8" x14ac:dyDescent="0.3">
      <c r="A68" s="53">
        <v>201000</v>
      </c>
      <c r="B68" s="53"/>
      <c r="C68" s="53"/>
      <c r="D68" s="54"/>
      <c r="F68" s="53">
        <v>201000</v>
      </c>
      <c r="G68" s="2">
        <v>243284.11772098104</v>
      </c>
      <c r="H68" s="2">
        <v>58351818127.024338</v>
      </c>
    </row>
    <row r="69" spans="1:8" x14ac:dyDescent="0.3">
      <c r="A69" s="53">
        <v>301000</v>
      </c>
      <c r="B69" s="53"/>
      <c r="C69" s="53"/>
      <c r="D69" s="54"/>
      <c r="F69" s="53">
        <v>301000</v>
      </c>
      <c r="G69" s="2">
        <v>94237.995041307353</v>
      </c>
      <c r="H69" s="2">
        <v>35486079359.571236</v>
      </c>
    </row>
    <row r="70" spans="1:8" x14ac:dyDescent="0.3">
      <c r="A70" s="53">
        <v>560000</v>
      </c>
      <c r="B70" s="53">
        <v>8758</v>
      </c>
      <c r="C70" s="53">
        <v>5855000000</v>
      </c>
      <c r="D70" s="54">
        <v>2.1211167686938612</v>
      </c>
      <c r="F70" s="53">
        <v>501000</v>
      </c>
      <c r="G70" s="2">
        <v>26942.221044192473</v>
      </c>
      <c r="H70" s="2">
        <v>16079864395.687101</v>
      </c>
    </row>
    <row r="71" spans="1:8" x14ac:dyDescent="0.3">
      <c r="A71" s="53">
        <v>751000</v>
      </c>
      <c r="B71" s="53">
        <v>9724</v>
      </c>
      <c r="C71" s="53">
        <v>8960000000</v>
      </c>
      <c r="D71" s="54">
        <v>1.9552020942222608</v>
      </c>
      <c r="F71" s="53">
        <v>751000</v>
      </c>
      <c r="G71" s="55">
        <v>9724</v>
      </c>
      <c r="H71" s="55">
        <v>8960000000</v>
      </c>
    </row>
    <row r="72" spans="1:8" x14ac:dyDescent="0.3">
      <c r="A72" s="53">
        <v>1201000</v>
      </c>
      <c r="B72" s="53">
        <v>5020</v>
      </c>
      <c r="C72" s="53">
        <v>8195000000</v>
      </c>
      <c r="D72" s="54">
        <v>1.905137621649037</v>
      </c>
      <c r="F72" s="53">
        <v>1201000</v>
      </c>
      <c r="G72" s="55">
        <v>5020</v>
      </c>
      <c r="H72" s="55">
        <v>8195000000</v>
      </c>
    </row>
    <row r="73" spans="1:8" x14ac:dyDescent="0.3">
      <c r="A73" s="53">
        <v>2501000</v>
      </c>
      <c r="B73" s="53">
        <v>1133</v>
      </c>
      <c r="C73" s="53">
        <v>3801000000</v>
      </c>
      <c r="D73" s="54">
        <v>1.8112645949794468</v>
      </c>
      <c r="F73" s="53">
        <v>2501000</v>
      </c>
      <c r="G73" s="55">
        <v>1133</v>
      </c>
      <c r="H73" s="55">
        <v>3801000000</v>
      </c>
    </row>
    <row r="74" spans="1:8" x14ac:dyDescent="0.3">
      <c r="A74" s="53">
        <v>5000000</v>
      </c>
      <c r="B74" s="53">
        <v>335</v>
      </c>
      <c r="C74" s="53">
        <v>2849000000</v>
      </c>
      <c r="D74" s="54">
        <v>1.7008955223880597</v>
      </c>
      <c r="F74" s="53">
        <v>5000000</v>
      </c>
      <c r="G74" s="55">
        <v>335</v>
      </c>
      <c r="H74" s="55">
        <v>2849000000</v>
      </c>
    </row>
    <row r="75" spans="1:8" x14ac:dyDescent="0.3">
      <c r="A75" s="51" t="s">
        <v>56</v>
      </c>
      <c r="B75" s="51" t="s">
        <v>76</v>
      </c>
      <c r="C75" s="51" t="s">
        <v>77</v>
      </c>
      <c r="D75" s="52" t="s">
        <v>59</v>
      </c>
      <c r="E75">
        <v>769500</v>
      </c>
      <c r="G75" s="2"/>
      <c r="H75" s="2"/>
    </row>
    <row r="76" spans="1:8" x14ac:dyDescent="0.3">
      <c r="A76" s="53">
        <v>171000</v>
      </c>
      <c r="B76" s="53"/>
      <c r="C76" s="53"/>
      <c r="D76" s="54"/>
      <c r="F76" s="53">
        <v>171000</v>
      </c>
      <c r="G76" s="2">
        <v>70632.503857485266</v>
      </c>
      <c r="H76" s="2">
        <v>13043979057.843189</v>
      </c>
    </row>
    <row r="77" spans="1:8" x14ac:dyDescent="0.3">
      <c r="A77" s="53">
        <v>201000</v>
      </c>
      <c r="B77" s="53"/>
      <c r="C77" s="53"/>
      <c r="D77" s="54"/>
      <c r="F77" s="53">
        <v>201000</v>
      </c>
      <c r="G77" s="2">
        <v>124646.76310325958</v>
      </c>
      <c r="H77" s="2">
        <v>29896588888.985371</v>
      </c>
    </row>
    <row r="78" spans="1:8" x14ac:dyDescent="0.3">
      <c r="A78" s="53">
        <v>301000</v>
      </c>
      <c r="B78" s="53"/>
      <c r="C78" s="53"/>
      <c r="D78" s="54"/>
      <c r="F78" s="53">
        <v>301000</v>
      </c>
      <c r="G78" s="2">
        <v>48282.893076940731</v>
      </c>
      <c r="H78" s="2">
        <v>18181313966.696651</v>
      </c>
    </row>
    <row r="79" spans="1:8" x14ac:dyDescent="0.3">
      <c r="A79" s="53">
        <v>630000</v>
      </c>
      <c r="B79" s="53">
        <v>1539</v>
      </c>
      <c r="C79" s="53">
        <v>1095000000</v>
      </c>
      <c r="D79" s="54">
        <v>2.2704397015728981</v>
      </c>
      <c r="F79" s="53">
        <v>501000</v>
      </c>
      <c r="G79" s="2">
        <v>13803.863052920922</v>
      </c>
      <c r="H79" s="2">
        <v>8238528132.6109991</v>
      </c>
    </row>
    <row r="80" spans="1:8" x14ac:dyDescent="0.3">
      <c r="A80" s="53">
        <v>751000</v>
      </c>
      <c r="B80" s="53">
        <v>4308</v>
      </c>
      <c r="C80" s="53">
        <v>3993000000</v>
      </c>
      <c r="D80" s="54">
        <v>2.0955043443845622</v>
      </c>
      <c r="F80" s="53">
        <v>751000</v>
      </c>
      <c r="G80" s="2">
        <v>4982.0972111553783</v>
      </c>
      <c r="H80" s="2">
        <v>4590661354.5816727</v>
      </c>
    </row>
    <row r="81" spans="1:8" x14ac:dyDescent="0.3">
      <c r="A81" s="53">
        <v>1201000</v>
      </c>
      <c r="B81" s="53">
        <v>2572</v>
      </c>
      <c r="C81" s="53">
        <v>4239000000</v>
      </c>
      <c r="D81" s="54">
        <v>1.9907652713647717</v>
      </c>
      <c r="F81" s="53">
        <v>1201000</v>
      </c>
      <c r="G81" s="55">
        <v>2572</v>
      </c>
      <c r="H81" s="55">
        <v>4239000000</v>
      </c>
    </row>
    <row r="82" spans="1:8" x14ac:dyDescent="0.3">
      <c r="A82" s="53">
        <v>2501000</v>
      </c>
      <c r="B82" s="53">
        <v>632</v>
      </c>
      <c r="C82" s="53">
        <v>2110000000</v>
      </c>
      <c r="D82" s="54">
        <v>1.8675107522623409</v>
      </c>
      <c r="F82" s="53">
        <v>2501000</v>
      </c>
      <c r="G82" s="55">
        <v>632</v>
      </c>
      <c r="H82" s="55">
        <v>2110000000</v>
      </c>
    </row>
    <row r="83" spans="1:8" x14ac:dyDescent="0.3">
      <c r="A83" s="53">
        <v>5000000</v>
      </c>
      <c r="B83" s="53">
        <v>206</v>
      </c>
      <c r="C83" s="53">
        <v>1804000000</v>
      </c>
      <c r="D83" s="54">
        <v>1.7514563106796115</v>
      </c>
      <c r="F83" s="53">
        <v>5000000</v>
      </c>
      <c r="G83" s="55">
        <v>206</v>
      </c>
      <c r="H83" s="55">
        <v>1804000000</v>
      </c>
    </row>
    <row r="84" spans="1:8" x14ac:dyDescent="0.3">
      <c r="A84" s="51" t="s">
        <v>56</v>
      </c>
      <c r="B84" s="51" t="s">
        <v>78</v>
      </c>
      <c r="C84" s="51" t="s">
        <v>79</v>
      </c>
      <c r="D84" s="52" t="s">
        <v>59</v>
      </c>
      <c r="E84">
        <v>855000</v>
      </c>
      <c r="G84" s="2"/>
      <c r="H84" s="2"/>
    </row>
    <row r="85" spans="1:8" x14ac:dyDescent="0.3">
      <c r="A85" s="53">
        <v>171000</v>
      </c>
      <c r="B85" s="53"/>
      <c r="C85" s="53"/>
      <c r="D85" s="54"/>
      <c r="F85" s="53">
        <v>171000</v>
      </c>
      <c r="G85" s="2">
        <v>34821.934250113271</v>
      </c>
      <c r="H85" s="2">
        <v>6430701961.6427555</v>
      </c>
    </row>
    <row r="86" spans="1:8" x14ac:dyDescent="0.3">
      <c r="A86" s="53">
        <v>201000</v>
      </c>
      <c r="B86" s="53"/>
      <c r="C86" s="53"/>
      <c r="D86" s="54"/>
      <c r="F86" s="53">
        <v>201000</v>
      </c>
      <c r="G86" s="2">
        <v>61451.048061793605</v>
      </c>
      <c r="H86" s="2">
        <v>14739064817.742399</v>
      </c>
    </row>
    <row r="87" spans="1:8" x14ac:dyDescent="0.3">
      <c r="A87" s="53">
        <v>301000</v>
      </c>
      <c r="B87" s="53"/>
      <c r="C87" s="53"/>
      <c r="D87" s="54"/>
      <c r="F87" s="53">
        <v>301000</v>
      </c>
      <c r="G87" s="2">
        <v>23803.541376967671</v>
      </c>
      <c r="H87" s="2">
        <v>8963416061.3418941</v>
      </c>
    </row>
    <row r="88" spans="1:8" x14ac:dyDescent="0.3">
      <c r="A88" s="53">
        <v>501000</v>
      </c>
      <c r="B88" s="53"/>
      <c r="C88" s="53"/>
      <c r="D88" s="54"/>
      <c r="F88" s="53">
        <v>501000</v>
      </c>
      <c r="G88" s="2">
        <v>6805.3259529952293</v>
      </c>
      <c r="H88" s="2">
        <v>4061607182.0181751</v>
      </c>
    </row>
    <row r="89" spans="1:8" x14ac:dyDescent="0.3">
      <c r="A89" s="53">
        <v>751000</v>
      </c>
      <c r="B89" s="53">
        <v>2005</v>
      </c>
      <c r="C89" s="53">
        <v>1871000000</v>
      </c>
      <c r="D89" s="54">
        <v>2.2747006466406852</v>
      </c>
      <c r="F89" s="53">
        <v>751000</v>
      </c>
      <c r="G89" s="2">
        <v>2456.1816733067731</v>
      </c>
      <c r="H89" s="2">
        <v>2263203187.2509961</v>
      </c>
    </row>
    <row r="90" spans="1:8" x14ac:dyDescent="0.3">
      <c r="A90" s="53">
        <v>1201000</v>
      </c>
      <c r="B90" s="53">
        <v>1268</v>
      </c>
      <c r="C90" s="53">
        <v>2090000000</v>
      </c>
      <c r="D90" s="54">
        <v>2.1551500589825578</v>
      </c>
      <c r="F90" s="53">
        <v>1201000</v>
      </c>
      <c r="G90" s="55">
        <v>1268</v>
      </c>
      <c r="H90" s="55">
        <v>2090000000</v>
      </c>
    </row>
    <row r="91" spans="1:8" x14ac:dyDescent="0.3">
      <c r="A91" s="53">
        <v>2501000</v>
      </c>
      <c r="B91" s="53">
        <v>348</v>
      </c>
      <c r="C91" s="53">
        <v>1171000000</v>
      </c>
      <c r="D91" s="54">
        <v>1.9919742946195014</v>
      </c>
      <c r="F91" s="53">
        <v>2501000</v>
      </c>
      <c r="G91" s="55">
        <v>348</v>
      </c>
      <c r="H91" s="55">
        <v>1171000000</v>
      </c>
    </row>
    <row r="92" spans="1:8" x14ac:dyDescent="0.3">
      <c r="A92" s="53">
        <v>5000000</v>
      </c>
      <c r="B92" s="53">
        <v>150</v>
      </c>
      <c r="C92" s="53">
        <v>1310000000</v>
      </c>
      <c r="D92" s="54">
        <v>1.7466666666666668</v>
      </c>
      <c r="F92" s="53">
        <v>5000000</v>
      </c>
      <c r="G92" s="55">
        <v>150</v>
      </c>
      <c r="H92" s="55">
        <v>1310000000</v>
      </c>
    </row>
    <row r="93" spans="1:8" x14ac:dyDescent="0.3">
      <c r="A93" s="51" t="s">
        <v>56</v>
      </c>
      <c r="B93" s="51" t="s">
        <v>80</v>
      </c>
      <c r="C93" s="51" t="s">
        <v>81</v>
      </c>
      <c r="D93" s="52" t="s">
        <v>59</v>
      </c>
      <c r="E93">
        <v>940500</v>
      </c>
      <c r="G93" s="2"/>
      <c r="H93" s="2"/>
    </row>
    <row r="94" spans="1:8" x14ac:dyDescent="0.3">
      <c r="A94" s="53">
        <v>171000</v>
      </c>
      <c r="B94" s="53"/>
      <c r="C94" s="53"/>
      <c r="D94" s="54"/>
      <c r="F94" s="53">
        <v>171000</v>
      </c>
      <c r="G94" s="2">
        <v>16779.338980141332</v>
      </c>
      <c r="H94" s="2">
        <v>3098705755.9650822</v>
      </c>
    </row>
    <row r="95" spans="1:8" x14ac:dyDescent="0.3">
      <c r="A95" s="53">
        <v>201000</v>
      </c>
      <c r="B95" s="53"/>
      <c r="C95" s="53"/>
      <c r="D95" s="54"/>
      <c r="F95" s="53">
        <v>201000</v>
      </c>
      <c r="G95" s="2">
        <v>29610.875682772788</v>
      </c>
      <c r="H95" s="2">
        <v>7102183441.356946</v>
      </c>
    </row>
    <row r="96" spans="1:8" x14ac:dyDescent="0.3">
      <c r="A96" s="53">
        <v>301000</v>
      </c>
      <c r="B96" s="53"/>
      <c r="C96" s="53"/>
      <c r="D96" s="54"/>
      <c r="F96" s="53">
        <v>301000</v>
      </c>
      <c r="G96" s="2">
        <v>11470.002982119282</v>
      </c>
      <c r="H96" s="2">
        <v>4319122408.1071749</v>
      </c>
    </row>
    <row r="97" spans="1:8" x14ac:dyDescent="0.3">
      <c r="A97" s="53">
        <v>501000</v>
      </c>
      <c r="B97" s="53"/>
      <c r="C97" s="53"/>
      <c r="D97" s="54"/>
      <c r="F97" s="53">
        <v>501000</v>
      </c>
      <c r="G97" s="2">
        <v>3279.2225215142635</v>
      </c>
      <c r="H97" s="2">
        <v>1957130905.5308404</v>
      </c>
    </row>
    <row r="98" spans="1:8" x14ac:dyDescent="0.3">
      <c r="A98" s="53">
        <v>770000</v>
      </c>
      <c r="B98" s="53">
        <v>690</v>
      </c>
      <c r="C98" s="53">
        <v>681000000</v>
      </c>
      <c r="D98" s="54">
        <v>2.3991663913386025</v>
      </c>
      <c r="F98" s="53">
        <v>751000</v>
      </c>
      <c r="G98" s="2">
        <v>1183.538645418327</v>
      </c>
      <c r="H98" s="2">
        <v>1090549800.7968128</v>
      </c>
    </row>
    <row r="99" spans="1:8" x14ac:dyDescent="0.3">
      <c r="A99" s="53">
        <v>1201000</v>
      </c>
      <c r="B99" s="53">
        <v>611</v>
      </c>
      <c r="C99" s="53">
        <v>1012000000</v>
      </c>
      <c r="D99" s="54">
        <v>2.1245640495316773</v>
      </c>
      <c r="F99" s="53">
        <v>1201000</v>
      </c>
      <c r="G99" s="55">
        <v>611</v>
      </c>
      <c r="H99" s="55">
        <v>1012000000</v>
      </c>
    </row>
    <row r="100" spans="1:8" x14ac:dyDescent="0.3">
      <c r="A100" s="53">
        <v>2501000</v>
      </c>
      <c r="B100" s="53">
        <v>160</v>
      </c>
      <c r="C100" s="53">
        <v>544000000</v>
      </c>
      <c r="D100" s="54">
        <v>1.9630079002881606</v>
      </c>
      <c r="F100" s="53">
        <v>2501000</v>
      </c>
      <c r="G100" s="55">
        <v>160</v>
      </c>
      <c r="H100" s="55">
        <v>544000000</v>
      </c>
    </row>
    <row r="101" spans="1:8" x14ac:dyDescent="0.3">
      <c r="A101" s="53">
        <v>5000000</v>
      </c>
      <c r="B101" s="53">
        <v>72</v>
      </c>
      <c r="C101" s="53">
        <v>595000000</v>
      </c>
      <c r="D101" s="54">
        <v>1.6527777777777779</v>
      </c>
      <c r="F101" s="53">
        <v>5000000</v>
      </c>
      <c r="G101" s="55">
        <v>72</v>
      </c>
      <c r="H101" s="55">
        <v>595000000</v>
      </c>
    </row>
    <row r="102" spans="1:8" x14ac:dyDescent="0.3">
      <c r="A102" s="51" t="s">
        <v>56</v>
      </c>
      <c r="B102" s="51" t="s">
        <v>82</v>
      </c>
      <c r="C102" s="51" t="s">
        <v>83</v>
      </c>
      <c r="D102" s="52" t="s">
        <v>59</v>
      </c>
      <c r="E102">
        <v>1026000</v>
      </c>
      <c r="G102" s="2"/>
      <c r="H102" s="2"/>
    </row>
    <row r="103" spans="1:8" x14ac:dyDescent="0.3">
      <c r="A103" s="53">
        <v>171000</v>
      </c>
      <c r="B103" s="53"/>
      <c r="C103" s="53"/>
      <c r="D103" s="54"/>
      <c r="F103" s="53">
        <v>171000</v>
      </c>
      <c r="G103" s="2">
        <v>8787.8698422998805</v>
      </c>
      <c r="H103" s="2">
        <v>1622890084.9571626</v>
      </c>
    </row>
    <row r="104" spans="1:8" x14ac:dyDescent="0.3">
      <c r="A104" s="53">
        <v>201000</v>
      </c>
      <c r="B104" s="53"/>
      <c r="C104" s="53"/>
      <c r="D104" s="54"/>
      <c r="F104" s="53">
        <v>201000</v>
      </c>
      <c r="G104" s="2">
        <v>15508.150930421101</v>
      </c>
      <c r="H104" s="2">
        <v>3719637808.8939819</v>
      </c>
    </row>
    <row r="105" spans="1:8" x14ac:dyDescent="0.3">
      <c r="A105" s="53">
        <v>301000</v>
      </c>
      <c r="B105" s="53"/>
      <c r="C105" s="53"/>
      <c r="D105" s="54"/>
      <c r="F105" s="53">
        <v>301000</v>
      </c>
      <c r="G105" s="2">
        <v>6007.2028711590356</v>
      </c>
      <c r="H105" s="2">
        <v>2262060835.6698794</v>
      </c>
    </row>
    <row r="106" spans="1:8" x14ac:dyDescent="0.3">
      <c r="A106" s="53">
        <v>501000</v>
      </c>
      <c r="B106" s="53"/>
      <c r="C106" s="53"/>
      <c r="D106" s="54"/>
      <c r="F106" s="53">
        <v>501000</v>
      </c>
      <c r="G106" s="2">
        <v>1717.4324171596797</v>
      </c>
      <c r="H106" s="2">
        <v>1025011276.2190981</v>
      </c>
    </row>
    <row r="107" spans="1:8" x14ac:dyDescent="0.3">
      <c r="A107" s="53">
        <v>840000</v>
      </c>
      <c r="B107" s="53">
        <v>229</v>
      </c>
      <c r="C107" s="53">
        <v>238000000</v>
      </c>
      <c r="D107" s="54">
        <v>2.4926158057776817</v>
      </c>
      <c r="F107" s="53">
        <v>751000</v>
      </c>
      <c r="G107" s="2">
        <v>619.85657370517947</v>
      </c>
      <c r="H107" s="2">
        <v>571155378.48605585</v>
      </c>
    </row>
    <row r="108" spans="1:8" x14ac:dyDescent="0.3">
      <c r="A108" s="53">
        <v>1201000</v>
      </c>
      <c r="B108" s="53">
        <v>320</v>
      </c>
      <c r="C108" s="53">
        <v>531000000</v>
      </c>
      <c r="D108" s="54">
        <v>2.208807475252105</v>
      </c>
      <c r="F108" s="53">
        <v>1201000</v>
      </c>
      <c r="G108" s="55">
        <v>320</v>
      </c>
      <c r="H108" s="55">
        <v>531000000</v>
      </c>
    </row>
    <row r="109" spans="1:8" x14ac:dyDescent="0.3">
      <c r="A109" s="53">
        <v>2501000</v>
      </c>
      <c r="B109" s="53">
        <v>80</v>
      </c>
      <c r="C109" s="53">
        <v>279000000</v>
      </c>
      <c r="D109" s="54">
        <v>2.1955503512880559</v>
      </c>
      <c r="F109" s="53">
        <v>2501000</v>
      </c>
      <c r="G109" s="55">
        <v>80</v>
      </c>
      <c r="H109" s="55">
        <v>279000000</v>
      </c>
    </row>
    <row r="110" spans="1:8" x14ac:dyDescent="0.3">
      <c r="A110" s="53">
        <v>5000000</v>
      </c>
      <c r="B110" s="53">
        <v>32</v>
      </c>
      <c r="C110" s="53">
        <v>336000000</v>
      </c>
      <c r="D110" s="54">
        <v>2.1</v>
      </c>
      <c r="F110" s="53">
        <v>5000000</v>
      </c>
      <c r="G110" s="55">
        <v>32</v>
      </c>
      <c r="H110" s="55">
        <v>336000000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opLeftCell="C1" workbookViewId="0">
      <selection activeCell="O6" sqref="O6:O13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4.5" customWidth="1"/>
  </cols>
  <sheetData>
    <row r="1" spans="1:15" x14ac:dyDescent="0.3">
      <c r="A1" s="79" t="s">
        <v>214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3">
      <c r="A4" s="53">
        <v>221000</v>
      </c>
      <c r="B4" s="53">
        <v>657593</v>
      </c>
      <c r="C4" s="53">
        <v>179507000000</v>
      </c>
      <c r="D4" s="54">
        <v>1.6309265613163639</v>
      </c>
      <c r="F4" s="53">
        <v>221000</v>
      </c>
      <c r="G4" s="55">
        <v>657593</v>
      </c>
      <c r="H4" s="55">
        <v>179507000000</v>
      </c>
      <c r="J4" s="53">
        <v>221000</v>
      </c>
      <c r="K4" s="2">
        <v>8355019.9275379842</v>
      </c>
      <c r="L4" s="2">
        <v>2280718563203.3203</v>
      </c>
      <c r="M4">
        <v>0.25699725350241576</v>
      </c>
      <c r="N4">
        <v>1.767200649246317</v>
      </c>
      <c r="O4">
        <f>(G4+G12+G28)/K4</f>
        <v>0.10716220753584367</v>
      </c>
    </row>
    <row r="5" spans="1:15" x14ac:dyDescent="0.3">
      <c r="A5" s="53">
        <v>351000</v>
      </c>
      <c r="B5" s="53">
        <v>249298</v>
      </c>
      <c r="C5" s="53">
        <v>108828000000</v>
      </c>
      <c r="D5" s="54">
        <v>1.5523205053699956</v>
      </c>
      <c r="F5" s="53">
        <v>351000</v>
      </c>
      <c r="G5" s="55">
        <v>249298</v>
      </c>
      <c r="H5" s="55">
        <v>108828000000</v>
      </c>
      <c r="I5" s="2">
        <f t="shared" ref="I5:I10" si="0">J5/655.957</f>
        <v>535.09605050331038</v>
      </c>
      <c r="J5" s="53">
        <v>351000</v>
      </c>
      <c r="K5" s="2">
        <v>3167445.1490441114</v>
      </c>
      <c r="L5" s="2">
        <v>1419369057731.4365</v>
      </c>
      <c r="M5">
        <v>0.74262315964143988</v>
      </c>
      <c r="N5">
        <v>1.744718334167108</v>
      </c>
      <c r="O5">
        <f>(G5+G13+G29)/K5</f>
        <v>0.10716220753584367</v>
      </c>
    </row>
    <row r="6" spans="1:15" x14ac:dyDescent="0.3">
      <c r="A6" s="53">
        <v>601000</v>
      </c>
      <c r="B6" s="53">
        <v>42511</v>
      </c>
      <c r="C6" s="53">
        <v>30204000000</v>
      </c>
      <c r="D6" s="54">
        <v>1.6250770443008686</v>
      </c>
      <c r="F6" s="53">
        <v>601000</v>
      </c>
      <c r="G6" s="55">
        <v>42511</v>
      </c>
      <c r="H6" s="55">
        <v>30204000000</v>
      </c>
      <c r="I6" s="2">
        <f t="shared" si="0"/>
        <v>916.2185935968364</v>
      </c>
      <c r="J6" s="53">
        <v>601000</v>
      </c>
      <c r="K6" s="2">
        <v>813356.49347175867</v>
      </c>
      <c r="L6" s="2">
        <v>583502158277.58484</v>
      </c>
      <c r="M6">
        <v>0.92672725921160937</v>
      </c>
      <c r="N6">
        <v>1.7057822414132491</v>
      </c>
      <c r="O6">
        <f t="shared" ref="O6:O10" si="1">(G6+G14+G30)/K6</f>
        <v>8.1538661745869198E-2</v>
      </c>
    </row>
    <row r="7" spans="1:15" x14ac:dyDescent="0.3">
      <c r="A7" s="53">
        <v>901000</v>
      </c>
      <c r="B7" s="53">
        <v>14519</v>
      </c>
      <c r="C7" s="53">
        <v>16134000000</v>
      </c>
      <c r="D7" s="54">
        <v>1.7109740494696357</v>
      </c>
      <c r="F7" s="53">
        <v>901000</v>
      </c>
      <c r="G7" s="55">
        <v>14519</v>
      </c>
      <c r="H7" s="55">
        <v>16134000000</v>
      </c>
      <c r="I7" s="2">
        <f t="shared" si="0"/>
        <v>1373.5656453090676</v>
      </c>
      <c r="J7" s="53">
        <v>901000</v>
      </c>
      <c r="K7" s="2">
        <v>317330.79018358933</v>
      </c>
      <c r="L7" s="2">
        <v>352724678156.61292</v>
      </c>
      <c r="M7">
        <v>0.97400266819709991</v>
      </c>
      <c r="N7">
        <v>1.7589955370642112</v>
      </c>
      <c r="O7">
        <f t="shared" si="1"/>
        <v>7.424744376796516E-2</v>
      </c>
    </row>
    <row r="8" spans="1:15" x14ac:dyDescent="0.3">
      <c r="A8" s="53">
        <v>1501000</v>
      </c>
      <c r="B8" s="53">
        <v>4383</v>
      </c>
      <c r="C8" s="53">
        <v>8643000000</v>
      </c>
      <c r="D8" s="54">
        <v>1.7823960824036622</v>
      </c>
      <c r="F8" s="53">
        <v>1501000</v>
      </c>
      <c r="G8" s="55">
        <v>4383</v>
      </c>
      <c r="H8" s="55">
        <v>8643000000</v>
      </c>
      <c r="I8" s="2">
        <f t="shared" si="0"/>
        <v>2288.2597487335297</v>
      </c>
      <c r="J8" s="53">
        <v>1501000</v>
      </c>
      <c r="K8" s="2">
        <v>101371</v>
      </c>
      <c r="L8" s="2">
        <v>200741000000</v>
      </c>
      <c r="M8">
        <v>0.99244715472917799</v>
      </c>
      <c r="N8">
        <v>1.8259338938111935</v>
      </c>
      <c r="O8">
        <f t="shared" si="1"/>
        <v>8.2005701827938954E-2</v>
      </c>
    </row>
    <row r="9" spans="1:15" x14ac:dyDescent="0.3">
      <c r="A9" s="53">
        <v>3001000</v>
      </c>
      <c r="B9" s="53">
        <v>905</v>
      </c>
      <c r="C9" s="53">
        <v>3572000000</v>
      </c>
      <c r="D9" s="54">
        <v>1.8022952160154653</v>
      </c>
      <c r="F9" s="53">
        <v>3001000</v>
      </c>
      <c r="G9" s="55">
        <v>905</v>
      </c>
      <c r="H9" s="55">
        <v>3572000000</v>
      </c>
      <c r="I9" s="2">
        <f t="shared" si="0"/>
        <v>4574.9950072946858</v>
      </c>
      <c r="J9" s="53">
        <v>3001000</v>
      </c>
      <c r="K9" s="2">
        <v>22304</v>
      </c>
      <c r="L9" s="2">
        <v>88727000000</v>
      </c>
      <c r="M9">
        <v>0.998339227298504</v>
      </c>
      <c r="N9">
        <v>1.8122961917534388</v>
      </c>
      <c r="O9">
        <f t="shared" si="1"/>
        <v>8.8862984218077479E-2</v>
      </c>
    </row>
    <row r="10" spans="1:15" x14ac:dyDescent="0.3">
      <c r="A10" s="53">
        <v>6000000</v>
      </c>
      <c r="B10" s="53">
        <v>223</v>
      </c>
      <c r="C10" s="53">
        <v>2529000000</v>
      </c>
      <c r="D10" s="54">
        <v>1.8901345291479821</v>
      </c>
      <c r="F10" s="53">
        <v>6000000</v>
      </c>
      <c r="G10" s="55">
        <v>223</v>
      </c>
      <c r="H10" s="55">
        <v>2529000000</v>
      </c>
      <c r="I10" s="2">
        <f t="shared" si="0"/>
        <v>9146.9410342446226</v>
      </c>
      <c r="J10" s="53">
        <v>6000000</v>
      </c>
      <c r="K10" s="2">
        <v>6269</v>
      </c>
      <c r="L10" s="2">
        <v>66673000000</v>
      </c>
      <c r="M10">
        <v>0.99963562159851338</v>
      </c>
      <c r="N10">
        <v>1.7725580900728453</v>
      </c>
      <c r="O10">
        <f t="shared" si="1"/>
        <v>9.7304195246450786E-2</v>
      </c>
    </row>
    <row r="11" spans="1:15" x14ac:dyDescent="0.3">
      <c r="A11" s="51" t="s">
        <v>56</v>
      </c>
      <c r="B11" s="51" t="s">
        <v>87</v>
      </c>
      <c r="C11" s="51" t="s">
        <v>88</v>
      </c>
      <c r="D11" s="52" t="s">
        <v>59</v>
      </c>
      <c r="E11">
        <v>331500</v>
      </c>
      <c r="G11" s="2"/>
      <c r="H11" s="2"/>
    </row>
    <row r="12" spans="1:15" x14ac:dyDescent="0.3">
      <c r="A12" s="53">
        <v>331500</v>
      </c>
      <c r="B12" s="53">
        <v>13244</v>
      </c>
      <c r="C12" s="53">
        <v>4510000000</v>
      </c>
      <c r="D12" s="54">
        <v>1.9062452241657308</v>
      </c>
      <c r="F12" s="53">
        <v>221000</v>
      </c>
      <c r="G12" s="2">
        <v>215221.65463020161</v>
      </c>
      <c r="H12" s="2">
        <v>58750311450.553154</v>
      </c>
      <c r="K12" s="5">
        <v>17204642.136917062</v>
      </c>
    </row>
    <row r="13" spans="1:15" x14ac:dyDescent="0.3">
      <c r="A13" s="53">
        <v>351000</v>
      </c>
      <c r="B13" s="53">
        <v>81592</v>
      </c>
      <c r="C13" s="53">
        <v>36643000000</v>
      </c>
      <c r="D13" s="54">
        <v>1.8947756796574531</v>
      </c>
      <c r="F13" s="53">
        <v>351000</v>
      </c>
      <c r="G13" s="55">
        <v>81592</v>
      </c>
      <c r="H13" s="55">
        <v>36643000000</v>
      </c>
    </row>
    <row r="14" spans="1:15" x14ac:dyDescent="0.3">
      <c r="A14" s="53">
        <v>601000</v>
      </c>
      <c r="B14" s="53">
        <v>21553</v>
      </c>
      <c r="C14" s="53">
        <v>15333000000</v>
      </c>
      <c r="D14" s="54">
        <v>1.9482221863580791</v>
      </c>
      <c r="F14" s="53">
        <v>601000</v>
      </c>
      <c r="G14" s="55">
        <v>21553</v>
      </c>
      <c r="H14" s="55">
        <v>15333000000</v>
      </c>
    </row>
    <row r="15" spans="1:15" x14ac:dyDescent="0.3">
      <c r="A15" s="53">
        <v>901000</v>
      </c>
      <c r="B15" s="53">
        <v>8243</v>
      </c>
      <c r="C15" s="53">
        <v>9318000000</v>
      </c>
      <c r="D15" s="54">
        <v>2.1269318008262088</v>
      </c>
      <c r="F15" s="53">
        <v>901000</v>
      </c>
      <c r="G15" s="55">
        <v>8243</v>
      </c>
      <c r="H15" s="55">
        <v>9318000000</v>
      </c>
    </row>
    <row r="16" spans="1:15" x14ac:dyDescent="0.3">
      <c r="A16" s="53">
        <v>1501000</v>
      </c>
      <c r="B16" s="53">
        <v>3641</v>
      </c>
      <c r="C16" s="53">
        <v>7363000000</v>
      </c>
      <c r="D16" s="54">
        <v>2.1329429127523394</v>
      </c>
      <c r="F16" s="53">
        <v>1501000</v>
      </c>
      <c r="G16" s="55">
        <v>3641</v>
      </c>
      <c r="H16" s="55">
        <v>7363000000</v>
      </c>
    </row>
    <row r="17" spans="1:8" x14ac:dyDescent="0.3">
      <c r="A17" s="53">
        <v>3001000</v>
      </c>
      <c r="B17" s="53">
        <v>1027</v>
      </c>
      <c r="C17" s="53">
        <v>4108000000</v>
      </c>
      <c r="D17" s="54">
        <v>2.0888275336792494</v>
      </c>
      <c r="F17" s="53">
        <v>3001000</v>
      </c>
      <c r="G17" s="55">
        <v>1027</v>
      </c>
      <c r="H17" s="55">
        <v>4108000000</v>
      </c>
    </row>
    <row r="18" spans="1:8" x14ac:dyDescent="0.3">
      <c r="A18" s="53">
        <v>6000000</v>
      </c>
      <c r="B18" s="53">
        <v>373</v>
      </c>
      <c r="C18" s="53">
        <v>4668000000</v>
      </c>
      <c r="D18" s="54">
        <v>2.0857908847184987</v>
      </c>
      <c r="F18" s="53">
        <v>6000000</v>
      </c>
      <c r="G18" s="55">
        <v>373</v>
      </c>
      <c r="H18" s="55">
        <v>4668000000</v>
      </c>
    </row>
    <row r="19" spans="1:8" x14ac:dyDescent="0.3">
      <c r="A19" s="51" t="s">
        <v>56</v>
      </c>
      <c r="B19" s="51" t="s">
        <v>64</v>
      </c>
      <c r="C19" s="51" t="s">
        <v>65</v>
      </c>
      <c r="D19" s="52" t="s">
        <v>59</v>
      </c>
      <c r="E19">
        <v>442000</v>
      </c>
      <c r="G19" s="2"/>
      <c r="H19" s="2"/>
    </row>
    <row r="20" spans="1:8" x14ac:dyDescent="0.3">
      <c r="A20" s="53">
        <v>221000</v>
      </c>
      <c r="B20" s="53"/>
      <c r="C20" s="53"/>
      <c r="D20" s="54"/>
      <c r="F20" s="53">
        <v>221000</v>
      </c>
      <c r="G20" s="2">
        <v>2746704.8303810037</v>
      </c>
      <c r="H20" s="2">
        <v>749784051818.07422</v>
      </c>
    </row>
    <row r="21" spans="1:8" x14ac:dyDescent="0.3">
      <c r="A21" s="53">
        <v>442000</v>
      </c>
      <c r="B21" s="53">
        <v>399244</v>
      </c>
      <c r="C21" s="53">
        <v>204302000000</v>
      </c>
      <c r="D21" s="54">
        <v>1.7683221111763645</v>
      </c>
      <c r="F21" s="53">
        <v>351000</v>
      </c>
      <c r="G21" s="2">
        <v>1041294.5709645989</v>
      </c>
      <c r="H21" s="2">
        <v>467645810420.82312</v>
      </c>
    </row>
    <row r="22" spans="1:8" x14ac:dyDescent="0.3">
      <c r="A22" s="53">
        <v>601000</v>
      </c>
      <c r="B22" s="53">
        <v>275064</v>
      </c>
      <c r="C22" s="53">
        <v>197635000000</v>
      </c>
      <c r="D22" s="54">
        <v>1.7161543176794993</v>
      </c>
      <c r="F22" s="53">
        <v>601000</v>
      </c>
      <c r="G22" s="55">
        <v>275064</v>
      </c>
      <c r="H22" s="55">
        <v>197635000000</v>
      </c>
    </row>
    <row r="23" spans="1:8" x14ac:dyDescent="0.3">
      <c r="A23" s="53">
        <v>901000</v>
      </c>
      <c r="B23" s="53">
        <v>112361</v>
      </c>
      <c r="C23" s="53">
        <v>124582000000</v>
      </c>
      <c r="D23" s="54">
        <v>1.7561044688133285</v>
      </c>
      <c r="F23" s="53">
        <v>901000</v>
      </c>
      <c r="G23" s="55">
        <v>112361</v>
      </c>
      <c r="H23" s="55">
        <v>124582000000</v>
      </c>
    </row>
    <row r="24" spans="1:8" x14ac:dyDescent="0.3">
      <c r="A24" s="53">
        <v>1501000</v>
      </c>
      <c r="B24" s="53">
        <v>33839</v>
      </c>
      <c r="C24" s="53">
        <v>67029000000</v>
      </c>
      <c r="D24" s="54">
        <v>1.8617282244453388</v>
      </c>
      <c r="F24" s="53">
        <v>1501000</v>
      </c>
      <c r="G24" s="55">
        <v>33839</v>
      </c>
      <c r="H24" s="55">
        <v>67029000000</v>
      </c>
    </row>
    <row r="25" spans="1:8" x14ac:dyDescent="0.3">
      <c r="A25" s="53">
        <v>3001000</v>
      </c>
      <c r="B25" s="53">
        <v>7686</v>
      </c>
      <c r="C25" s="53">
        <v>30711000000</v>
      </c>
      <c r="D25" s="54">
        <v>1.8441459573846235</v>
      </c>
      <c r="F25" s="53">
        <v>3001000</v>
      </c>
      <c r="G25" s="55">
        <v>7686</v>
      </c>
      <c r="H25" s="55">
        <v>30711000000</v>
      </c>
    </row>
    <row r="26" spans="1:8" x14ac:dyDescent="0.3">
      <c r="A26" s="53">
        <v>6000000</v>
      </c>
      <c r="B26" s="53">
        <v>2363</v>
      </c>
      <c r="C26" s="53">
        <v>24903000000</v>
      </c>
      <c r="D26" s="54">
        <v>1.7564536606009311</v>
      </c>
      <c r="F26" s="53">
        <v>6000000</v>
      </c>
      <c r="G26" s="55">
        <v>2363</v>
      </c>
      <c r="H26" s="55">
        <v>24903000000</v>
      </c>
    </row>
    <row r="27" spans="1:8" x14ac:dyDescent="0.3">
      <c r="A27" s="51" t="s">
        <v>56</v>
      </c>
      <c r="B27" s="51" t="s">
        <v>66</v>
      </c>
      <c r="C27" s="51" t="s">
        <v>67</v>
      </c>
      <c r="D27" s="52" t="s">
        <v>59</v>
      </c>
      <c r="E27">
        <v>442000</v>
      </c>
      <c r="G27" s="2"/>
      <c r="H27" s="2"/>
    </row>
    <row r="28" spans="1:8" x14ac:dyDescent="0.3">
      <c r="A28" s="53">
        <v>221000</v>
      </c>
      <c r="B28" s="53"/>
      <c r="C28" s="53"/>
      <c r="D28" s="54"/>
      <c r="F28" s="53">
        <v>221000</v>
      </c>
      <c r="G28" s="2">
        <v>22527.724810733303</v>
      </c>
      <c r="H28" s="2">
        <v>6149524550.2922068</v>
      </c>
    </row>
    <row r="29" spans="1:8" x14ac:dyDescent="0.3">
      <c r="A29" s="53">
        <v>442000</v>
      </c>
      <c r="B29" s="53">
        <v>4917</v>
      </c>
      <c r="C29" s="53">
        <v>2498000000</v>
      </c>
      <c r="D29" s="54">
        <v>1.6039568980745453</v>
      </c>
      <c r="F29" s="53">
        <v>351000</v>
      </c>
      <c r="G29" s="2">
        <v>8540.414420266321</v>
      </c>
      <c r="H29" s="2">
        <v>3835503549.3898768</v>
      </c>
    </row>
    <row r="30" spans="1:8" x14ac:dyDescent="0.3">
      <c r="A30" s="53">
        <v>601000</v>
      </c>
      <c r="B30" s="53">
        <v>2256</v>
      </c>
      <c r="C30" s="53">
        <v>1598000000</v>
      </c>
      <c r="D30" s="54">
        <v>1.6619405841594213</v>
      </c>
      <c r="F30" s="53">
        <v>601000</v>
      </c>
      <c r="G30" s="55">
        <v>2256</v>
      </c>
      <c r="H30" s="55">
        <v>1598000000</v>
      </c>
    </row>
    <row r="31" spans="1:8" x14ac:dyDescent="0.3">
      <c r="A31" s="53">
        <v>901000</v>
      </c>
      <c r="B31" s="53">
        <v>799</v>
      </c>
      <c r="C31" s="53">
        <v>891000000</v>
      </c>
      <c r="D31" s="54">
        <v>1.7399648538660746</v>
      </c>
      <c r="F31" s="53">
        <v>901000</v>
      </c>
      <c r="G31" s="55">
        <v>799</v>
      </c>
      <c r="H31" s="55">
        <v>891000000</v>
      </c>
    </row>
    <row r="32" spans="1:8" x14ac:dyDescent="0.3">
      <c r="A32" s="53">
        <v>1501000</v>
      </c>
      <c r="B32" s="53">
        <v>289</v>
      </c>
      <c r="C32" s="53">
        <v>579000000</v>
      </c>
      <c r="D32" s="54">
        <v>1.7268940630703233</v>
      </c>
      <c r="F32" s="53">
        <v>1501000</v>
      </c>
      <c r="G32" s="55">
        <v>289</v>
      </c>
      <c r="H32" s="55">
        <v>579000000</v>
      </c>
    </row>
    <row r="33" spans="1:8" x14ac:dyDescent="0.3">
      <c r="A33" s="53">
        <v>3001000</v>
      </c>
      <c r="B33" s="53">
        <v>50</v>
      </c>
      <c r="C33" s="53">
        <v>204000000</v>
      </c>
      <c r="D33" s="54">
        <v>1.7494168610463179</v>
      </c>
      <c r="F33" s="53">
        <v>3001000</v>
      </c>
      <c r="G33" s="55">
        <v>50</v>
      </c>
      <c r="H33" s="55">
        <v>204000000</v>
      </c>
    </row>
    <row r="34" spans="1:8" x14ac:dyDescent="0.3">
      <c r="A34" s="53">
        <v>6000000</v>
      </c>
      <c r="B34" s="53">
        <v>14</v>
      </c>
      <c r="C34" s="53">
        <v>132000000</v>
      </c>
      <c r="D34" s="54">
        <v>1.5714285714285716</v>
      </c>
      <c r="F34" s="53">
        <v>6000000</v>
      </c>
      <c r="G34" s="55">
        <v>14</v>
      </c>
      <c r="H34" s="55">
        <v>132000000</v>
      </c>
    </row>
    <row r="35" spans="1:8" x14ac:dyDescent="0.3">
      <c r="A35" s="51" t="s">
        <v>56</v>
      </c>
      <c r="B35" s="51" t="s">
        <v>68</v>
      </c>
      <c r="C35" s="51" t="s">
        <v>69</v>
      </c>
      <c r="D35" s="52" t="s">
        <v>59</v>
      </c>
      <c r="E35">
        <v>552500</v>
      </c>
      <c r="G35" s="2"/>
      <c r="H35" s="2"/>
    </row>
    <row r="36" spans="1:8" x14ac:dyDescent="0.3">
      <c r="A36" s="53">
        <v>221000</v>
      </c>
      <c r="B36" s="53"/>
      <c r="C36" s="53"/>
      <c r="D36" s="54"/>
      <c r="F36" s="53">
        <v>221000</v>
      </c>
      <c r="G36" s="2">
        <v>1972623.8465143216</v>
      </c>
      <c r="H36" s="2">
        <v>538478646847.28455</v>
      </c>
    </row>
    <row r="37" spans="1:8" x14ac:dyDescent="0.3">
      <c r="A37" s="53">
        <v>552500</v>
      </c>
      <c r="B37" s="53">
        <v>67943</v>
      </c>
      <c r="C37" s="53">
        <v>39087000000</v>
      </c>
      <c r="D37" s="54">
        <v>1.6403017910206206</v>
      </c>
      <c r="F37" s="53">
        <v>351000</v>
      </c>
      <c r="G37" s="2">
        <v>747835.18025332899</v>
      </c>
      <c r="H37" s="2">
        <v>335853080081.65918</v>
      </c>
    </row>
    <row r="38" spans="1:8" x14ac:dyDescent="0.3">
      <c r="A38" s="53">
        <v>601000</v>
      </c>
      <c r="B38" s="53">
        <v>197545</v>
      </c>
      <c r="C38" s="53">
        <v>141777000000</v>
      </c>
      <c r="D38" s="54">
        <v>1.6327271400219798</v>
      </c>
      <c r="F38" s="53">
        <v>601000</v>
      </c>
      <c r="G38" s="55">
        <v>197545</v>
      </c>
      <c r="H38" s="55">
        <v>141777000000</v>
      </c>
    </row>
    <row r="39" spans="1:8" x14ac:dyDescent="0.3">
      <c r="A39" s="53">
        <v>901000</v>
      </c>
      <c r="B39" s="53">
        <v>75929</v>
      </c>
      <c r="C39" s="53">
        <v>83934000000</v>
      </c>
      <c r="D39" s="54">
        <v>1.6541010395288924</v>
      </c>
      <c r="F39" s="53">
        <v>901000</v>
      </c>
      <c r="G39" s="55">
        <v>75929</v>
      </c>
      <c r="H39" s="55">
        <v>83934000000</v>
      </c>
    </row>
    <row r="40" spans="1:8" x14ac:dyDescent="0.3">
      <c r="A40" s="53">
        <v>1501000</v>
      </c>
      <c r="B40" s="53">
        <v>21137</v>
      </c>
      <c r="C40" s="53">
        <v>41500000000</v>
      </c>
      <c r="D40" s="54">
        <v>1.7318498610034803</v>
      </c>
      <c r="F40" s="53">
        <v>1501000</v>
      </c>
      <c r="G40" s="55">
        <v>21137</v>
      </c>
      <c r="H40" s="55">
        <v>41500000000</v>
      </c>
    </row>
    <row r="41" spans="1:8" x14ac:dyDescent="0.3">
      <c r="A41" s="53">
        <v>3001000</v>
      </c>
      <c r="B41" s="53">
        <v>4178</v>
      </c>
      <c r="C41" s="53">
        <v>16507000000</v>
      </c>
      <c r="D41" s="54">
        <v>1.7256860412217603</v>
      </c>
      <c r="F41" s="53">
        <v>3001000</v>
      </c>
      <c r="G41" s="55">
        <v>4178</v>
      </c>
      <c r="H41" s="55">
        <v>16507000000</v>
      </c>
    </row>
    <row r="42" spans="1:8" x14ac:dyDescent="0.3">
      <c r="A42" s="53">
        <v>6000000</v>
      </c>
      <c r="B42" s="53">
        <v>1035</v>
      </c>
      <c r="C42" s="53">
        <v>10490000000</v>
      </c>
      <c r="D42" s="54">
        <v>1.6892109500805152</v>
      </c>
      <c r="F42" s="53">
        <v>6000000</v>
      </c>
      <c r="G42" s="55">
        <v>1035</v>
      </c>
      <c r="H42" s="55">
        <v>10490000000</v>
      </c>
    </row>
    <row r="43" spans="1:8" x14ac:dyDescent="0.3">
      <c r="A43" s="51" t="s">
        <v>56</v>
      </c>
      <c r="B43" s="51" t="s">
        <v>70</v>
      </c>
      <c r="C43" s="51" t="s">
        <v>71</v>
      </c>
      <c r="D43" s="52" t="s">
        <v>59</v>
      </c>
      <c r="E43">
        <v>663000</v>
      </c>
      <c r="G43" s="2"/>
      <c r="H43" s="2"/>
    </row>
    <row r="44" spans="1:8" x14ac:dyDescent="0.3">
      <c r="A44" s="53">
        <v>221000</v>
      </c>
      <c r="B44" s="53"/>
      <c r="C44" s="53"/>
      <c r="D44" s="54"/>
      <c r="F44" s="53">
        <v>221000</v>
      </c>
      <c r="G44" s="2">
        <v>1406782.7663330743</v>
      </c>
      <c r="H44" s="2">
        <v>384017704014.71918</v>
      </c>
    </row>
    <row r="45" spans="1:8" x14ac:dyDescent="0.3">
      <c r="A45" s="53">
        <v>351000</v>
      </c>
      <c r="B45" s="53"/>
      <c r="C45" s="53"/>
      <c r="D45" s="54"/>
      <c r="F45" s="53">
        <v>351000</v>
      </c>
      <c r="G45" s="2">
        <v>533320.96004869696</v>
      </c>
      <c r="H45" s="2">
        <v>239514657553.00034</v>
      </c>
    </row>
    <row r="46" spans="1:8" x14ac:dyDescent="0.3">
      <c r="A46" s="53">
        <v>663000</v>
      </c>
      <c r="B46" s="53">
        <v>80674</v>
      </c>
      <c r="C46" s="53">
        <v>61549000000</v>
      </c>
      <c r="D46" s="54">
        <v>1.7228414196726671</v>
      </c>
      <c r="F46" s="53">
        <v>601000</v>
      </c>
      <c r="G46" s="2">
        <v>140879.8246388073</v>
      </c>
      <c r="H46" s="2">
        <v>101108703828.57671</v>
      </c>
    </row>
    <row r="47" spans="1:8" x14ac:dyDescent="0.3">
      <c r="A47" s="53">
        <v>901000</v>
      </c>
      <c r="B47" s="53">
        <v>54149</v>
      </c>
      <c r="C47" s="53">
        <v>60165000000</v>
      </c>
      <c r="D47" s="54">
        <v>1.7168268046287902</v>
      </c>
      <c r="F47" s="53">
        <v>901000</v>
      </c>
      <c r="G47" s="55">
        <v>54149</v>
      </c>
      <c r="H47" s="55">
        <v>60165000000</v>
      </c>
    </row>
    <row r="48" spans="1:8" x14ac:dyDescent="0.3">
      <c r="A48" s="53">
        <v>1501000</v>
      </c>
      <c r="B48" s="53">
        <v>17166</v>
      </c>
      <c r="C48" s="53">
        <v>33863000000</v>
      </c>
      <c r="D48" s="54">
        <v>1.7624391132512836</v>
      </c>
      <c r="F48" s="53">
        <v>1501000</v>
      </c>
      <c r="G48" s="55">
        <v>17166</v>
      </c>
      <c r="H48" s="55">
        <v>33863000000</v>
      </c>
    </row>
    <row r="49" spans="1:8" x14ac:dyDescent="0.3">
      <c r="A49" s="53">
        <v>3001000</v>
      </c>
      <c r="B49" s="53">
        <v>3442</v>
      </c>
      <c r="C49" s="53">
        <v>13632000000</v>
      </c>
      <c r="D49" s="54">
        <v>1.7737344372341148</v>
      </c>
      <c r="F49" s="53">
        <v>3001000</v>
      </c>
      <c r="G49" s="55">
        <v>3442</v>
      </c>
      <c r="H49" s="55">
        <v>13632000000</v>
      </c>
    </row>
    <row r="50" spans="1:8" x14ac:dyDescent="0.3">
      <c r="A50" s="53">
        <v>6000000</v>
      </c>
      <c r="B50" s="53">
        <v>871</v>
      </c>
      <c r="C50" s="53">
        <v>9326000000</v>
      </c>
      <c r="D50" s="54">
        <v>1.7845388442403367</v>
      </c>
      <c r="F50" s="53">
        <v>6000000</v>
      </c>
      <c r="G50" s="55">
        <v>871</v>
      </c>
      <c r="H50" s="55">
        <v>9326000000</v>
      </c>
    </row>
    <row r="51" spans="1:8" x14ac:dyDescent="0.3">
      <c r="A51" s="51" t="s">
        <v>56</v>
      </c>
      <c r="B51" s="51" t="s">
        <v>72</v>
      </c>
      <c r="C51" s="51" t="s">
        <v>73</v>
      </c>
      <c r="D51" s="52" t="s">
        <v>59</v>
      </c>
      <c r="E51">
        <v>773500</v>
      </c>
      <c r="G51" s="2"/>
      <c r="H51" s="2"/>
    </row>
    <row r="52" spans="1:8" x14ac:dyDescent="0.3">
      <c r="A52" s="53">
        <v>221000</v>
      </c>
      <c r="B52" s="53"/>
      <c r="C52" s="53"/>
      <c r="D52" s="54"/>
      <c r="F52" s="53">
        <v>221000</v>
      </c>
      <c r="G52" s="2">
        <v>718524.64437891438</v>
      </c>
      <c r="H52" s="2">
        <v>196139866663.00555</v>
      </c>
    </row>
    <row r="53" spans="1:8" x14ac:dyDescent="0.3">
      <c r="A53" s="53">
        <v>351000</v>
      </c>
      <c r="B53" s="53"/>
      <c r="C53" s="53"/>
      <c r="D53" s="54"/>
      <c r="F53" s="53">
        <v>351000</v>
      </c>
      <c r="G53" s="2">
        <v>272397.60276398103</v>
      </c>
      <c r="H53" s="2">
        <v>122333872905.19362</v>
      </c>
    </row>
    <row r="54" spans="1:8" x14ac:dyDescent="0.3">
      <c r="A54" s="53">
        <v>773500</v>
      </c>
      <c r="B54" s="53">
        <v>15776</v>
      </c>
      <c r="C54" s="53">
        <v>13113000000</v>
      </c>
      <c r="D54" s="54">
        <v>1.8334713897149397</v>
      </c>
      <c r="F54" s="53">
        <v>601000</v>
      </c>
      <c r="G54" s="2">
        <v>71955.406564026911</v>
      </c>
      <c r="H54" s="2">
        <v>51642014105.282562</v>
      </c>
    </row>
    <row r="55" spans="1:8" x14ac:dyDescent="0.3">
      <c r="A55" s="53">
        <v>901000</v>
      </c>
      <c r="B55" s="53">
        <v>27657</v>
      </c>
      <c r="C55" s="53">
        <v>30990000000</v>
      </c>
      <c r="D55" s="54">
        <v>1.8236809021330971</v>
      </c>
      <c r="F55" s="53">
        <v>901000</v>
      </c>
      <c r="G55" s="55">
        <v>27657</v>
      </c>
      <c r="H55" s="55">
        <v>30990000000</v>
      </c>
    </row>
    <row r="56" spans="1:8" x14ac:dyDescent="0.3">
      <c r="A56" s="53">
        <v>1501000</v>
      </c>
      <c r="B56" s="53">
        <v>10584</v>
      </c>
      <c r="C56" s="53">
        <v>20995000000</v>
      </c>
      <c r="D56" s="54">
        <v>1.8074799381216866</v>
      </c>
      <c r="F56" s="53">
        <v>1501000</v>
      </c>
      <c r="G56" s="55">
        <v>10584</v>
      </c>
      <c r="H56" s="55">
        <v>20995000000</v>
      </c>
    </row>
    <row r="57" spans="1:8" x14ac:dyDescent="0.3">
      <c r="A57" s="53">
        <v>3001000</v>
      </c>
      <c r="B57" s="53">
        <v>2321</v>
      </c>
      <c r="C57" s="53">
        <v>9205000000</v>
      </c>
      <c r="D57" s="54">
        <v>1.7831832314723983</v>
      </c>
      <c r="F57" s="53">
        <v>3001000</v>
      </c>
      <c r="G57" s="55">
        <v>2321</v>
      </c>
      <c r="H57" s="55">
        <v>9205000000</v>
      </c>
    </row>
    <row r="58" spans="1:8" x14ac:dyDescent="0.3">
      <c r="A58" s="53">
        <v>6000000</v>
      </c>
      <c r="B58" s="53">
        <v>605</v>
      </c>
      <c r="C58" s="53">
        <v>6453000000</v>
      </c>
      <c r="D58" s="54">
        <v>1.777685950413223</v>
      </c>
      <c r="F58" s="53">
        <v>6000000</v>
      </c>
      <c r="G58" s="55">
        <v>605</v>
      </c>
      <c r="H58" s="55">
        <v>6453000000</v>
      </c>
    </row>
    <row r="59" spans="1:8" x14ac:dyDescent="0.3">
      <c r="A59" s="51" t="s">
        <v>56</v>
      </c>
      <c r="B59" s="51" t="s">
        <v>74</v>
      </c>
      <c r="C59" s="51" t="s">
        <v>75</v>
      </c>
      <c r="D59" s="52" t="s">
        <v>59</v>
      </c>
      <c r="E59">
        <v>884000</v>
      </c>
      <c r="G59" s="2"/>
      <c r="H59" s="2"/>
    </row>
    <row r="60" spans="1:8" x14ac:dyDescent="0.3">
      <c r="A60" s="53">
        <v>221000</v>
      </c>
      <c r="B60" s="53"/>
      <c r="C60" s="53"/>
      <c r="D60" s="54"/>
      <c r="F60" s="53">
        <v>221000</v>
      </c>
      <c r="G60" s="2">
        <v>317759.51568855991</v>
      </c>
      <c r="H60" s="2">
        <v>86740669962.585266</v>
      </c>
    </row>
    <row r="61" spans="1:8" x14ac:dyDescent="0.3">
      <c r="A61" s="53">
        <v>351000</v>
      </c>
      <c r="B61" s="53"/>
      <c r="C61" s="53"/>
      <c r="D61" s="54"/>
      <c r="F61" s="53">
        <v>351000</v>
      </c>
      <c r="G61" s="2">
        <v>120464.80382565902</v>
      </c>
      <c r="H61" s="2">
        <v>54100791824.978226</v>
      </c>
    </row>
    <row r="62" spans="1:8" x14ac:dyDescent="0.3">
      <c r="A62" s="53">
        <v>884000</v>
      </c>
      <c r="B62" s="53">
        <v>895</v>
      </c>
      <c r="C62" s="53">
        <v>797000000</v>
      </c>
      <c r="D62" s="54">
        <v>1.9236109159382817</v>
      </c>
      <c r="F62" s="53">
        <v>601000</v>
      </c>
      <c r="G62" s="2">
        <v>31821.476576802008</v>
      </c>
      <c r="H62" s="2">
        <v>22838105164.034821</v>
      </c>
    </row>
    <row r="63" spans="1:8" x14ac:dyDescent="0.3">
      <c r="A63" s="53">
        <v>901000</v>
      </c>
      <c r="B63" s="53">
        <v>12231</v>
      </c>
      <c r="C63" s="53">
        <v>13800000000</v>
      </c>
      <c r="D63" s="54">
        <v>1.9291559675705563</v>
      </c>
      <c r="F63" s="53">
        <v>901000</v>
      </c>
      <c r="G63" s="55">
        <v>12231</v>
      </c>
      <c r="H63" s="55">
        <v>13800000000</v>
      </c>
    </row>
    <row r="64" spans="1:8" x14ac:dyDescent="0.3">
      <c r="A64" s="53">
        <v>1501000</v>
      </c>
      <c r="B64" s="53">
        <v>5338</v>
      </c>
      <c r="C64" s="53">
        <v>10708000000</v>
      </c>
      <c r="D64" s="54">
        <v>1.8680692844766345</v>
      </c>
      <c r="F64" s="53">
        <v>1501000</v>
      </c>
      <c r="G64" s="55">
        <v>5338</v>
      </c>
      <c r="H64" s="55">
        <v>10708000000</v>
      </c>
    </row>
    <row r="65" spans="1:8" x14ac:dyDescent="0.3">
      <c r="A65" s="53">
        <v>3001000</v>
      </c>
      <c r="B65" s="53">
        <v>1310</v>
      </c>
      <c r="C65" s="53">
        <v>5231000000</v>
      </c>
      <c r="D65" s="54">
        <v>1.7888879504544042</v>
      </c>
      <c r="F65" s="53">
        <v>3001000</v>
      </c>
      <c r="G65" s="55">
        <v>1310</v>
      </c>
      <c r="H65" s="55">
        <v>5231000000</v>
      </c>
    </row>
    <row r="66" spans="1:8" x14ac:dyDescent="0.3">
      <c r="A66" s="53">
        <v>6000000</v>
      </c>
      <c r="B66" s="53">
        <v>351</v>
      </c>
      <c r="C66" s="53">
        <v>3686000000</v>
      </c>
      <c r="D66" s="54">
        <v>1.7502374169040835</v>
      </c>
      <c r="F66" s="53">
        <v>6000000</v>
      </c>
      <c r="G66" s="55">
        <v>351</v>
      </c>
      <c r="H66" s="55">
        <v>3686000000</v>
      </c>
    </row>
    <row r="67" spans="1:8" x14ac:dyDescent="0.3">
      <c r="A67" s="51" t="s">
        <v>56</v>
      </c>
      <c r="B67" s="51" t="s">
        <v>76</v>
      </c>
      <c r="C67" s="51" t="s">
        <v>77</v>
      </c>
      <c r="D67" s="52" t="s">
        <v>59</v>
      </c>
      <c r="E67">
        <v>994500</v>
      </c>
      <c r="G67" s="2"/>
      <c r="H67" s="2"/>
    </row>
    <row r="68" spans="1:8" x14ac:dyDescent="0.3">
      <c r="A68" s="53">
        <v>221000</v>
      </c>
      <c r="B68" s="53"/>
      <c r="C68" s="53"/>
      <c r="D68" s="54"/>
      <c r="F68" s="53">
        <v>221000</v>
      </c>
      <c r="G68" s="2">
        <v>159653.61953479165</v>
      </c>
      <c r="H68" s="2">
        <v>43581580524.476158</v>
      </c>
    </row>
    <row r="69" spans="1:8" x14ac:dyDescent="0.3">
      <c r="A69" s="53">
        <v>351000</v>
      </c>
      <c r="B69" s="53"/>
      <c r="C69" s="53"/>
      <c r="D69" s="54"/>
      <c r="F69" s="53">
        <v>351000</v>
      </c>
      <c r="G69" s="2">
        <v>60525.778167931348</v>
      </c>
      <c r="H69" s="2">
        <v>27182151306.592663</v>
      </c>
    </row>
    <row r="70" spans="1:8" x14ac:dyDescent="0.3">
      <c r="A70" s="53">
        <v>601000</v>
      </c>
      <c r="B70" s="53"/>
      <c r="C70" s="53"/>
      <c r="D70" s="54"/>
      <c r="F70" s="53">
        <v>601000</v>
      </c>
      <c r="G70" s="2">
        <v>15988.235327647619</v>
      </c>
      <c r="H70" s="2">
        <v>11474671796.542038</v>
      </c>
    </row>
    <row r="71" spans="1:8" x14ac:dyDescent="0.3">
      <c r="A71" s="53">
        <v>994500</v>
      </c>
      <c r="B71" s="53">
        <v>3738</v>
      </c>
      <c r="C71" s="53">
        <v>4486000000</v>
      </c>
      <c r="D71" s="54">
        <v>2.0383262049461162</v>
      </c>
      <c r="F71" s="53">
        <v>901000</v>
      </c>
      <c r="G71" s="2">
        <v>6145.286998875984</v>
      </c>
      <c r="H71" s="2">
        <v>6933608092.9186964</v>
      </c>
    </row>
    <row r="72" spans="1:8" x14ac:dyDescent="0.3">
      <c r="A72" s="53">
        <v>1501000</v>
      </c>
      <c r="B72" s="53">
        <v>2682</v>
      </c>
      <c r="C72" s="53">
        <v>5405000000</v>
      </c>
      <c r="D72" s="54">
        <v>1.9224432623923216</v>
      </c>
      <c r="F72" s="53">
        <v>1501000</v>
      </c>
      <c r="G72" s="55">
        <v>2682</v>
      </c>
      <c r="H72" s="55">
        <v>5405000000</v>
      </c>
    </row>
    <row r="73" spans="1:8" x14ac:dyDescent="0.3">
      <c r="A73" s="53">
        <v>3001000</v>
      </c>
      <c r="B73" s="53">
        <v>710</v>
      </c>
      <c r="C73" s="53">
        <v>2831000000</v>
      </c>
      <c r="D73" s="54">
        <v>1.8078848581122215</v>
      </c>
      <c r="F73" s="53">
        <v>3001000</v>
      </c>
      <c r="G73" s="55">
        <v>710</v>
      </c>
      <c r="H73" s="55">
        <v>2831000000</v>
      </c>
    </row>
    <row r="74" spans="1:8" x14ac:dyDescent="0.3">
      <c r="A74" s="53">
        <v>6000000</v>
      </c>
      <c r="B74" s="53">
        <v>209</v>
      </c>
      <c r="C74" s="53">
        <v>2155000000</v>
      </c>
      <c r="D74" s="54">
        <v>1.7185007974481656</v>
      </c>
      <c r="F74" s="53">
        <v>6000000</v>
      </c>
      <c r="G74" s="55">
        <v>209</v>
      </c>
      <c r="H74" s="55">
        <v>2155000000</v>
      </c>
    </row>
    <row r="75" spans="1:8" x14ac:dyDescent="0.3">
      <c r="A75" s="51" t="s">
        <v>56</v>
      </c>
      <c r="B75" s="51" t="s">
        <v>78</v>
      </c>
      <c r="C75" s="51" t="s">
        <v>79</v>
      </c>
      <c r="D75" s="52" t="s">
        <v>59</v>
      </c>
      <c r="E75">
        <v>1105000</v>
      </c>
      <c r="G75" s="2"/>
      <c r="H75" s="2"/>
    </row>
    <row r="76" spans="1:8" x14ac:dyDescent="0.3">
      <c r="A76" s="53">
        <v>221000</v>
      </c>
      <c r="B76" s="53"/>
      <c r="C76" s="53"/>
      <c r="D76" s="54"/>
      <c r="F76" s="53">
        <v>221000</v>
      </c>
      <c r="G76" s="2">
        <v>80183.976701478139</v>
      </c>
      <c r="H76" s="2">
        <v>21888288205.245857</v>
      </c>
    </row>
    <row r="77" spans="1:8" x14ac:dyDescent="0.3">
      <c r="A77" s="53">
        <v>351000</v>
      </c>
      <c r="B77" s="53"/>
      <c r="C77" s="53"/>
      <c r="D77" s="54"/>
      <c r="F77" s="53">
        <v>351000</v>
      </c>
      <c r="G77" s="2">
        <v>30398.293509397288</v>
      </c>
      <c r="H77" s="2">
        <v>13651885835.190275</v>
      </c>
    </row>
    <row r="78" spans="1:8" x14ac:dyDescent="0.3">
      <c r="A78" s="53">
        <v>601000</v>
      </c>
      <c r="B78" s="53"/>
      <c r="C78" s="53"/>
      <c r="D78" s="54"/>
      <c r="F78" s="53">
        <v>601000</v>
      </c>
      <c r="G78" s="2">
        <v>8029.8855280914777</v>
      </c>
      <c r="H78" s="2">
        <v>5763006304.9746923</v>
      </c>
    </row>
    <row r="79" spans="1:8" x14ac:dyDescent="0.3">
      <c r="A79" s="53">
        <v>1105000</v>
      </c>
      <c r="B79" s="53">
        <v>1199</v>
      </c>
      <c r="C79" s="53">
        <v>1532000000</v>
      </c>
      <c r="D79" s="54">
        <v>2.1411593342226518</v>
      </c>
      <c r="F79" s="53">
        <v>901000</v>
      </c>
      <c r="G79" s="2">
        <v>3086.3913450730615</v>
      </c>
      <c r="H79" s="2">
        <v>3482315473.9602852</v>
      </c>
    </row>
    <row r="80" spans="1:8" x14ac:dyDescent="0.3">
      <c r="A80" s="53">
        <v>1501000</v>
      </c>
      <c r="B80" s="53">
        <v>1347</v>
      </c>
      <c r="C80" s="53">
        <v>2708000000</v>
      </c>
      <c r="D80" s="54">
        <v>2.0426296632002128</v>
      </c>
      <c r="F80" s="53">
        <v>1501000</v>
      </c>
      <c r="G80" s="55">
        <v>1347</v>
      </c>
      <c r="H80" s="55">
        <v>2708000000</v>
      </c>
    </row>
    <row r="81" spans="1:8" x14ac:dyDescent="0.3">
      <c r="A81" s="53">
        <v>3001000</v>
      </c>
      <c r="B81" s="53">
        <v>382</v>
      </c>
      <c r="C81" s="53">
        <v>1542000000</v>
      </c>
      <c r="D81" s="54">
        <v>1.9381031596817824</v>
      </c>
      <c r="F81" s="53">
        <v>3001000</v>
      </c>
      <c r="G81" s="55">
        <v>382</v>
      </c>
      <c r="H81" s="55">
        <v>1542000000</v>
      </c>
    </row>
    <row r="82" spans="1:8" x14ac:dyDescent="0.3">
      <c r="A82" s="53">
        <v>6000000</v>
      </c>
      <c r="B82" s="53">
        <v>135</v>
      </c>
      <c r="C82" s="53">
        <v>1465000000</v>
      </c>
      <c r="D82" s="54">
        <v>1.808641975308642</v>
      </c>
      <c r="F82" s="53">
        <v>6000000</v>
      </c>
      <c r="G82" s="55">
        <v>135</v>
      </c>
      <c r="H82" s="55">
        <v>1465000000</v>
      </c>
    </row>
    <row r="83" spans="1:8" x14ac:dyDescent="0.3">
      <c r="A83" s="51" t="s">
        <v>56</v>
      </c>
      <c r="B83" s="51" t="s">
        <v>80</v>
      </c>
      <c r="C83" s="51" t="s">
        <v>81</v>
      </c>
      <c r="D83" s="52" t="s">
        <v>59</v>
      </c>
      <c r="E83">
        <v>1215500</v>
      </c>
      <c r="G83" s="2"/>
      <c r="H83" s="2"/>
    </row>
    <row r="84" spans="1:8" x14ac:dyDescent="0.3">
      <c r="A84" s="53">
        <v>221000</v>
      </c>
      <c r="B84" s="53"/>
      <c r="C84" s="53"/>
      <c r="D84" s="54"/>
      <c r="F84" s="53">
        <v>221000</v>
      </c>
      <c r="G84" s="2">
        <v>38574.028880889266</v>
      </c>
      <c r="H84" s="2">
        <v>10529777844.83988</v>
      </c>
    </row>
    <row r="85" spans="1:8" x14ac:dyDescent="0.3">
      <c r="A85" s="53">
        <v>351000</v>
      </c>
      <c r="B85" s="53"/>
      <c r="C85" s="53"/>
      <c r="D85" s="54"/>
      <c r="F85" s="53">
        <v>351000</v>
      </c>
      <c r="G85" s="2">
        <v>14623.677946614287</v>
      </c>
      <c r="H85" s="2">
        <v>6567499644.5458794</v>
      </c>
    </row>
    <row r="86" spans="1:8" x14ac:dyDescent="0.3">
      <c r="A86" s="53">
        <v>601000</v>
      </c>
      <c r="B86" s="53"/>
      <c r="C86" s="53"/>
      <c r="D86" s="54"/>
      <c r="F86" s="53">
        <v>601000</v>
      </c>
      <c r="G86" s="2">
        <v>3862.9293409081497</v>
      </c>
      <c r="H86" s="2">
        <v>2772403923.9967337</v>
      </c>
    </row>
    <row r="87" spans="1:8" x14ac:dyDescent="0.3">
      <c r="A87" s="53">
        <v>1215500</v>
      </c>
      <c r="B87" s="53">
        <v>361</v>
      </c>
      <c r="C87" s="53">
        <v>486000000</v>
      </c>
      <c r="D87" s="54">
        <v>2.0590430262599524</v>
      </c>
      <c r="F87" s="53">
        <v>901000</v>
      </c>
      <c r="G87" s="2">
        <v>1484.7673285874862</v>
      </c>
      <c r="H87" s="2">
        <v>1675234170.101162</v>
      </c>
    </row>
    <row r="88" spans="1:8" x14ac:dyDescent="0.3">
      <c r="A88" s="53">
        <v>1501000</v>
      </c>
      <c r="B88" s="53">
        <v>648</v>
      </c>
      <c r="C88" s="53">
        <v>1295000000</v>
      </c>
      <c r="D88" s="54">
        <v>1.9750844569696897</v>
      </c>
      <c r="F88" s="53">
        <v>1501000</v>
      </c>
      <c r="G88" s="55">
        <v>648</v>
      </c>
      <c r="H88" s="55">
        <v>1295000000</v>
      </c>
    </row>
    <row r="89" spans="1:8" x14ac:dyDescent="0.3">
      <c r="A89" s="53">
        <v>3001000</v>
      </c>
      <c r="B89" s="53">
        <v>195</v>
      </c>
      <c r="C89" s="53">
        <v>778000000</v>
      </c>
      <c r="D89" s="54">
        <v>1.802784488503832</v>
      </c>
      <c r="F89" s="53">
        <v>3001000</v>
      </c>
      <c r="G89" s="55">
        <v>195</v>
      </c>
      <c r="H89" s="55">
        <v>778000000</v>
      </c>
    </row>
    <row r="90" spans="1:8" x14ac:dyDescent="0.3">
      <c r="A90" s="53">
        <v>6000000</v>
      </c>
      <c r="B90" s="53">
        <v>61</v>
      </c>
      <c r="C90" s="53">
        <v>607000000</v>
      </c>
      <c r="D90" s="54">
        <v>1.6584699453551912</v>
      </c>
      <c r="F90" s="53">
        <v>6000000</v>
      </c>
      <c r="G90" s="55">
        <v>61</v>
      </c>
      <c r="H90" s="55">
        <v>607000000</v>
      </c>
    </row>
    <row r="91" spans="1:8" x14ac:dyDescent="0.3">
      <c r="A91" s="51" t="s">
        <v>56</v>
      </c>
      <c r="B91" s="51" t="s">
        <v>82</v>
      </c>
      <c r="C91" s="51" t="s">
        <v>83</v>
      </c>
      <c r="D91" s="52" t="s">
        <v>59</v>
      </c>
      <c r="E91">
        <v>1326000</v>
      </c>
      <c r="G91" s="2"/>
      <c r="H91" s="2"/>
    </row>
    <row r="92" spans="1:8" x14ac:dyDescent="0.3">
      <c r="A92" s="53">
        <v>221000</v>
      </c>
      <c r="B92" s="51"/>
      <c r="C92" s="51"/>
      <c r="D92" s="52"/>
      <c r="F92" s="53">
        <v>221000</v>
      </c>
      <c r="G92" s="2">
        <v>18870.31968401527</v>
      </c>
      <c r="H92" s="2">
        <v>5151141322.2441998</v>
      </c>
    </row>
    <row r="93" spans="1:8" x14ac:dyDescent="0.3">
      <c r="A93" s="53">
        <v>351000</v>
      </c>
      <c r="B93" s="51"/>
      <c r="C93" s="51"/>
      <c r="D93" s="52"/>
      <c r="F93" s="53">
        <v>351000</v>
      </c>
      <c r="G93" s="2">
        <v>7153.8671436369268</v>
      </c>
      <c r="H93" s="2">
        <v>3212804610.0633388</v>
      </c>
    </row>
    <row r="94" spans="1:8" x14ac:dyDescent="0.3">
      <c r="A94" s="53">
        <v>601000</v>
      </c>
      <c r="B94" s="51"/>
      <c r="C94" s="51"/>
      <c r="D94" s="52"/>
      <c r="F94" s="53">
        <v>601000</v>
      </c>
      <c r="G94" s="2">
        <v>1889.7354954751288</v>
      </c>
      <c r="H94" s="2">
        <v>1356253154.1774147</v>
      </c>
    </row>
    <row r="95" spans="1:8" x14ac:dyDescent="0.3">
      <c r="A95" s="53">
        <v>1326000</v>
      </c>
      <c r="B95" s="53">
        <v>102</v>
      </c>
      <c r="C95" s="53">
        <v>143000000</v>
      </c>
      <c r="D95" s="54">
        <v>2.0179669500936472</v>
      </c>
      <c r="F95" s="53">
        <v>901000</v>
      </c>
      <c r="G95" s="2">
        <v>726.34451105282892</v>
      </c>
      <c r="H95" s="2">
        <v>819520419.63282156</v>
      </c>
    </row>
    <row r="96" spans="1:8" x14ac:dyDescent="0.3">
      <c r="A96" s="53">
        <v>1501000</v>
      </c>
      <c r="B96" s="53">
        <v>317</v>
      </c>
      <c r="C96" s="53">
        <v>653000000</v>
      </c>
      <c r="D96" s="54">
        <v>1.9776605386198991</v>
      </c>
      <c r="F96" s="53">
        <v>1501000</v>
      </c>
      <c r="G96" s="55">
        <v>317</v>
      </c>
      <c r="H96" s="55">
        <v>653000000</v>
      </c>
    </row>
    <row r="97" spans="1:8" x14ac:dyDescent="0.3">
      <c r="A97" s="53">
        <v>3001000</v>
      </c>
      <c r="B97" s="53">
        <v>98</v>
      </c>
      <c r="C97" s="53">
        <v>406000000</v>
      </c>
      <c r="D97" s="54">
        <v>1.7448252157417343</v>
      </c>
      <c r="F97" s="53">
        <v>3001000</v>
      </c>
      <c r="G97" s="55">
        <v>98</v>
      </c>
      <c r="H97" s="55">
        <v>406000000</v>
      </c>
    </row>
    <row r="98" spans="1:8" x14ac:dyDescent="0.3">
      <c r="A98" s="53">
        <v>6000000</v>
      </c>
      <c r="B98" s="53">
        <v>29</v>
      </c>
      <c r="C98" s="53">
        <v>259000000</v>
      </c>
      <c r="D98" s="54">
        <v>1.4885057471264367</v>
      </c>
      <c r="F98" s="53">
        <v>6000000</v>
      </c>
      <c r="G98" s="55">
        <v>29</v>
      </c>
      <c r="H98" s="55">
        <v>259000000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opLeftCell="A3" zoomScale="120" zoomScaleNormal="120" zoomScalePageLayoutView="120" workbookViewId="0">
      <selection activeCell="A16" sqref="A16:A25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1923</v>
      </c>
      <c r="C1" s="8" t="s">
        <v>24</v>
      </c>
      <c r="D1" s="10">
        <f>1000*[1]TD1!$C$30</f>
        <v>15608585.132378414</v>
      </c>
      <c r="E1" s="8" t="s">
        <v>30</v>
      </c>
      <c r="F1" s="21">
        <f>(SUMPRODUCT(D4:D14,H4:H14,I4:I14)/(D2*B2))/((1-SUMPRODUCT(D4:D14,H4:H14,I4:I14)/B2)/(1-D2))</f>
        <v>0.7217908064366283</v>
      </c>
      <c r="G1" s="19"/>
      <c r="H1" s="16"/>
    </row>
    <row r="2" spans="1:12" x14ac:dyDescent="0.3">
      <c r="A2" s="8" t="s">
        <v>12</v>
      </c>
      <c r="B2" s="11">
        <f>[1]TD2!$M$30</f>
        <v>5231.5912472695236</v>
      </c>
      <c r="C2" s="8" t="s">
        <v>15</v>
      </c>
      <c r="D2" s="14">
        <f>[1]TD1!$F$30</f>
        <v>0.21361062676505393</v>
      </c>
      <c r="E2" s="18" t="s">
        <v>26</v>
      </c>
      <c r="I2" s="8"/>
      <c r="L2" s="14">
        <f>D2</f>
        <v>0.21361062676505393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0.23734191939541016</v>
      </c>
      <c r="E4" s="14"/>
      <c r="F4" s="8"/>
      <c r="G4" s="8"/>
      <c r="H4" s="17">
        <f>((1-B4)*B2-(1-B5)*C5*A5)/(B5-B4)</f>
        <v>2943.5967599395776</v>
      </c>
      <c r="I4" s="18">
        <f t="shared" ref="I4" si="0">B5-B4</f>
        <v>0.82721012830734253</v>
      </c>
      <c r="L4" s="14"/>
    </row>
    <row r="5" spans="1:12" x14ac:dyDescent="0.3">
      <c r="A5" s="11">
        <v>7000</v>
      </c>
      <c r="B5" s="12">
        <v>0.82721012830734253</v>
      </c>
      <c r="C5" s="8">
        <v>2.3121545314788818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8283.4978861073523</v>
      </c>
      <c r="I5" s="18">
        <f t="shared" ref="I5:I13" si="3">B6-B5</f>
        <v>9.9219679832458496E-2</v>
      </c>
      <c r="L5" s="14">
        <v>0.1</v>
      </c>
    </row>
    <row r="6" spans="1:12" x14ac:dyDescent="0.3">
      <c r="A6" s="11">
        <v>10000</v>
      </c>
      <c r="B6" s="12">
        <v>0.92642980813980103</v>
      </c>
      <c r="C6" s="8">
        <v>2.6841471195220947</v>
      </c>
      <c r="D6" s="14">
        <f t="shared" si="1"/>
        <v>0.1</v>
      </c>
      <c r="E6" s="14"/>
      <c r="F6" s="8"/>
      <c r="G6" s="8"/>
      <c r="H6" s="17">
        <f t="shared" si="2"/>
        <v>14286.398020806024</v>
      </c>
      <c r="I6" s="18">
        <f t="shared" si="3"/>
        <v>4.9361109733581543E-2</v>
      </c>
      <c r="L6" s="14">
        <v>0.1</v>
      </c>
    </row>
    <row r="7" spans="1:12" x14ac:dyDescent="0.3">
      <c r="A7" s="11">
        <v>20000</v>
      </c>
      <c r="B7" s="12">
        <v>0.97579091787338257</v>
      </c>
      <c r="C7" s="8">
        <v>2.6220319271087646</v>
      </c>
      <c r="D7" s="14">
        <f t="shared" si="1"/>
        <v>0.1</v>
      </c>
      <c r="E7" s="14"/>
      <c r="G7" s="50"/>
      <c r="H7" s="17">
        <f t="shared" si="2"/>
        <v>24398.180958865658</v>
      </c>
      <c r="I7" s="18">
        <f t="shared" si="3"/>
        <v>1.1438190937042236E-2</v>
      </c>
      <c r="L7" s="14">
        <v>0.1</v>
      </c>
    </row>
    <row r="8" spans="1:12" x14ac:dyDescent="0.3">
      <c r="A8" s="11">
        <v>30000</v>
      </c>
      <c r="B8" s="12">
        <v>0.9872291088104248</v>
      </c>
      <c r="C8" s="8">
        <v>2.5852246284484863</v>
      </c>
      <c r="D8" s="14">
        <f t="shared" si="1"/>
        <v>0.1</v>
      </c>
      <c r="E8" s="14"/>
      <c r="G8" s="50"/>
      <c r="H8" s="17">
        <f t="shared" si="2"/>
        <v>38004.447531208003</v>
      </c>
      <c r="I8" s="18">
        <f t="shared" si="3"/>
        <v>6.947636604309082E-3</v>
      </c>
      <c r="L8" s="14">
        <v>0.1</v>
      </c>
    </row>
    <row r="9" spans="1:12" x14ac:dyDescent="0.3">
      <c r="A9" s="11">
        <v>50000</v>
      </c>
      <c r="B9" s="12">
        <v>0.99417674541473389</v>
      </c>
      <c r="C9" s="12">
        <v>2.4949195384979248</v>
      </c>
      <c r="D9" s="14">
        <f t="shared" si="1"/>
        <v>0.1</v>
      </c>
      <c r="E9" s="14"/>
      <c r="G9" s="50"/>
      <c r="H9" s="17">
        <f t="shared" si="2"/>
        <v>69736.556814201118</v>
      </c>
      <c r="I9" s="18">
        <f t="shared" si="3"/>
        <v>3.7696957588195801E-3</v>
      </c>
      <c r="L9" s="14">
        <v>0.1</v>
      </c>
    </row>
    <row r="10" spans="1:12" x14ac:dyDescent="0.3">
      <c r="A10" s="11">
        <v>100000</v>
      </c>
      <c r="B10" s="12">
        <v>0.99794644117355347</v>
      </c>
      <c r="C10" s="12">
        <v>2.2572617530822754</v>
      </c>
      <c r="D10" s="14">
        <f t="shared" si="1"/>
        <v>0.1</v>
      </c>
      <c r="E10" s="14"/>
      <c r="G10" s="50"/>
      <c r="H10" s="17">
        <f t="shared" si="2"/>
        <v>136834.13910195703</v>
      </c>
      <c r="I10" s="18">
        <f t="shared" si="3"/>
        <v>1.380622386932373E-3</v>
      </c>
      <c r="L10" s="14">
        <v>0.1</v>
      </c>
    </row>
    <row r="11" spans="1:12" x14ac:dyDescent="0.3">
      <c r="A11" s="11">
        <v>200000</v>
      </c>
      <c r="B11" s="12">
        <v>0.99932706356048584</v>
      </c>
      <c r="C11" s="12">
        <v>2.0405025482177734</v>
      </c>
      <c r="D11" s="14">
        <f t="shared" si="1"/>
        <v>0.1</v>
      </c>
      <c r="E11" s="14"/>
      <c r="G11" s="50"/>
      <c r="H11" s="17">
        <f t="shared" si="2"/>
        <v>242094.62582241377</v>
      </c>
      <c r="I11" s="18">
        <f t="shared" si="3"/>
        <v>3.5369396209716797E-4</v>
      </c>
      <c r="L11" s="14">
        <v>0.1</v>
      </c>
    </row>
    <row r="12" spans="1:12" x14ac:dyDescent="0.3">
      <c r="A12" s="11">
        <v>300000</v>
      </c>
      <c r="B12" s="12">
        <v>0.99968075752258301</v>
      </c>
      <c r="C12" s="12">
        <v>1.9734038114547729</v>
      </c>
      <c r="D12" s="14">
        <f t="shared" si="1"/>
        <v>0.1</v>
      </c>
      <c r="E12" s="14"/>
      <c r="G12" s="50"/>
      <c r="H12" s="17">
        <f t="shared" si="2"/>
        <v>377478.32762302161</v>
      </c>
      <c r="I12" s="18">
        <f t="shared" si="3"/>
        <v>2.0849704742431641E-4</v>
      </c>
      <c r="L12" s="14">
        <v>0.1</v>
      </c>
    </row>
    <row r="13" spans="1:12" x14ac:dyDescent="0.3">
      <c r="A13" s="11">
        <v>500000</v>
      </c>
      <c r="B13" s="12">
        <v>0.99988925457000732</v>
      </c>
      <c r="C13" s="12">
        <v>1.9918687343597412</v>
      </c>
      <c r="D13" s="14">
        <f t="shared" si="1"/>
        <v>0.1</v>
      </c>
      <c r="E13" s="14"/>
      <c r="G13" s="50"/>
      <c r="H13" s="17">
        <f t="shared" si="2"/>
        <v>661673.17122651718</v>
      </c>
      <c r="I13" s="18">
        <f t="shared" si="3"/>
        <v>8.6605548858642578E-5</v>
      </c>
      <c r="L13" s="14">
        <v>0.1</v>
      </c>
    </row>
    <row r="14" spans="1:12" x14ac:dyDescent="0.3">
      <c r="A14" s="17">
        <v>1000000</v>
      </c>
      <c r="B14" s="18">
        <v>0.99997586011886597</v>
      </c>
      <c r="C14" s="18">
        <v>2.1951479911804199</v>
      </c>
      <c r="D14" s="14">
        <f t="shared" si="1"/>
        <v>0.1</v>
      </c>
      <c r="E14" s="14"/>
      <c r="G14" s="50"/>
      <c r="H14" s="17">
        <f>C14*A14</f>
        <v>2195147.9911804199</v>
      </c>
      <c r="I14" s="18">
        <f>1-B14</f>
        <v>2.4139881134033203E-5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4.69921875" customWidth="1"/>
  </cols>
  <sheetData>
    <row r="1" spans="1:15" x14ac:dyDescent="0.3">
      <c r="A1" s="79" t="s">
        <v>215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3">
      <c r="A4" s="53">
        <v>221000</v>
      </c>
      <c r="B4" s="53">
        <v>753433</v>
      </c>
      <c r="C4" s="53">
        <v>209074000000</v>
      </c>
      <c r="D4" s="54">
        <v>1.727054306752666</v>
      </c>
      <c r="F4" s="53">
        <v>221000</v>
      </c>
      <c r="G4" s="55">
        <v>753433</v>
      </c>
      <c r="H4" s="55">
        <v>209074000000</v>
      </c>
      <c r="J4" s="53">
        <v>221000</v>
      </c>
      <c r="K4" s="2">
        <v>7465505.8518050229</v>
      </c>
      <c r="L4" s="2">
        <v>2071641632979.021</v>
      </c>
      <c r="M4">
        <v>0.25461873178411376</v>
      </c>
      <c r="N4">
        <v>1.9548297064630431</v>
      </c>
      <c r="O4">
        <f>(G4+G13+G31)/K4</f>
        <v>0.13349017147510867</v>
      </c>
    </row>
    <row r="5" spans="1:15" x14ac:dyDescent="0.3">
      <c r="A5" s="53">
        <v>351000</v>
      </c>
      <c r="B5" s="53">
        <v>367231</v>
      </c>
      <c r="C5" s="53">
        <v>160703000000</v>
      </c>
      <c r="D5" s="54">
        <v>1.565381764408857</v>
      </c>
      <c r="F5" s="53">
        <v>351000</v>
      </c>
      <c r="G5" s="55">
        <v>367231</v>
      </c>
      <c r="H5" s="55">
        <v>160703000000</v>
      </c>
      <c r="J5" s="53">
        <v>351000</v>
      </c>
      <c r="K5" s="2">
        <v>3638764.4016975751</v>
      </c>
      <c r="L5" s="2">
        <v>1629586684017.6409</v>
      </c>
      <c r="M5">
        <v>0.68609538215283394</v>
      </c>
      <c r="N5">
        <v>1.8359413626530636</v>
      </c>
      <c r="O5">
        <f t="shared" ref="O5:O11" si="0">(G5+G14+G32)/K5</f>
        <v>0.13349017147510869</v>
      </c>
    </row>
    <row r="6" spans="1:15" x14ac:dyDescent="0.3">
      <c r="A6" s="53">
        <v>601000</v>
      </c>
      <c r="B6" s="53">
        <v>69308</v>
      </c>
      <c r="C6" s="53">
        <v>49108000000</v>
      </c>
      <c r="D6" s="54">
        <v>1.5932344530854194</v>
      </c>
      <c r="F6" s="53">
        <v>601000</v>
      </c>
      <c r="G6" s="55">
        <v>69308</v>
      </c>
      <c r="H6" s="55">
        <v>49108000000</v>
      </c>
      <c r="I6" s="2">
        <f t="shared" ref="I6:I11" si="1">J6/655.957</f>
        <v>916.2185935968364</v>
      </c>
      <c r="J6" s="53">
        <v>601000</v>
      </c>
      <c r="K6" s="2">
        <v>1117422.9885268938</v>
      </c>
      <c r="L6" s="2">
        <v>804463001614.95032</v>
      </c>
      <c r="M6">
        <v>0.89640154314067955</v>
      </c>
      <c r="N6">
        <v>1.7362139997202939</v>
      </c>
      <c r="O6">
        <f t="shared" si="0"/>
        <v>9.6002141625367271E-2</v>
      </c>
    </row>
    <row r="7" spans="1:15" x14ac:dyDescent="0.3">
      <c r="A7" s="53">
        <v>901000</v>
      </c>
      <c r="B7" s="53">
        <v>22807</v>
      </c>
      <c r="C7" s="53">
        <v>25287000000</v>
      </c>
      <c r="D7" s="54">
        <v>1.673936874060042</v>
      </c>
      <c r="F7" s="53">
        <v>901000</v>
      </c>
      <c r="G7" s="55">
        <v>22807</v>
      </c>
      <c r="H7" s="55">
        <v>25287000000</v>
      </c>
      <c r="I7" s="2">
        <f t="shared" si="1"/>
        <v>1373.5656453090676</v>
      </c>
      <c r="J7" s="53">
        <v>901000</v>
      </c>
      <c r="K7" s="2">
        <v>477121.76525283401</v>
      </c>
      <c r="L7" s="2">
        <v>531951366322.76147</v>
      </c>
      <c r="M7">
        <v>0.96098416322100755</v>
      </c>
      <c r="N7">
        <v>1.7525127095667881</v>
      </c>
      <c r="O7">
        <f t="shared" si="0"/>
        <v>7.6278222144643248E-2</v>
      </c>
    </row>
    <row r="8" spans="1:15" x14ac:dyDescent="0.3">
      <c r="A8" s="53">
        <v>1501000</v>
      </c>
      <c r="B8" s="53">
        <v>6956</v>
      </c>
      <c r="C8" s="53">
        <v>13704000000</v>
      </c>
      <c r="D8" s="54">
        <v>1.7164016486078448</v>
      </c>
      <c r="F8" s="53">
        <v>1501000</v>
      </c>
      <c r="G8" s="55">
        <v>6956</v>
      </c>
      <c r="H8" s="55">
        <v>13704000000</v>
      </c>
      <c r="I8" s="2">
        <f t="shared" si="1"/>
        <v>2288.2597487335297</v>
      </c>
      <c r="J8" s="53">
        <v>1501000</v>
      </c>
      <c r="K8" s="2">
        <v>155807</v>
      </c>
      <c r="L8" s="2">
        <v>308400000000</v>
      </c>
      <c r="M8">
        <v>0.98855991028703238</v>
      </c>
      <c r="N8">
        <v>1.7972649862361281</v>
      </c>
      <c r="O8">
        <f t="shared" si="0"/>
        <v>8.0317315653340354E-2</v>
      </c>
    </row>
    <row r="9" spans="1:15" x14ac:dyDescent="0.3">
      <c r="A9" s="53">
        <v>3001000</v>
      </c>
      <c r="B9" s="53">
        <v>1244</v>
      </c>
      <c r="C9" s="53">
        <v>4939000000</v>
      </c>
      <c r="D9" s="54">
        <v>1.7512163459278929</v>
      </c>
      <c r="F9" s="53">
        <v>3001000</v>
      </c>
      <c r="G9" s="55">
        <v>1244</v>
      </c>
      <c r="H9" s="55">
        <v>4939000000</v>
      </c>
      <c r="I9" s="2">
        <f t="shared" si="1"/>
        <v>4574.9950072946858</v>
      </c>
      <c r="J9" s="53">
        <v>3001000</v>
      </c>
      <c r="K9" s="2">
        <v>33034</v>
      </c>
      <c r="L9" s="2">
        <v>131444000000</v>
      </c>
      <c r="M9">
        <v>0.99756493738077512</v>
      </c>
      <c r="N9">
        <v>1.7841057632835007</v>
      </c>
      <c r="O9">
        <f t="shared" si="0"/>
        <v>8.2581582611854457E-2</v>
      </c>
    </row>
    <row r="10" spans="1:15" x14ac:dyDescent="0.3">
      <c r="A10" s="53">
        <v>6000000</v>
      </c>
      <c r="B10" s="53">
        <v>219</v>
      </c>
      <c r="C10" s="53">
        <v>1627000000</v>
      </c>
      <c r="D10" s="54">
        <v>1.6833333333333333</v>
      </c>
      <c r="F10" s="53">
        <v>6000000</v>
      </c>
      <c r="G10" s="55">
        <v>219</v>
      </c>
      <c r="H10" s="55">
        <v>1627000000</v>
      </c>
      <c r="I10" s="2">
        <f t="shared" si="1"/>
        <v>9146.9410342446226</v>
      </c>
      <c r="J10" s="53">
        <v>6000000</v>
      </c>
      <c r="K10" s="2">
        <v>6248</v>
      </c>
      <c r="L10" s="2">
        <v>46622000000</v>
      </c>
      <c r="M10">
        <v>0.99947417165789165</v>
      </c>
      <c r="N10">
        <v>1.7244632519967757</v>
      </c>
      <c r="O10">
        <f t="shared" si="0"/>
        <v>8.8988476312419976E-2</v>
      </c>
    </row>
    <row r="11" spans="1:15" x14ac:dyDescent="0.3">
      <c r="A11" s="53">
        <v>10000000</v>
      </c>
      <c r="B11" s="53">
        <v>111</v>
      </c>
      <c r="C11" s="53">
        <v>1706000000</v>
      </c>
      <c r="D11" s="54">
        <v>1.536936936936937</v>
      </c>
      <c r="F11" s="53">
        <v>10000000</v>
      </c>
      <c r="G11" s="55">
        <v>111</v>
      </c>
      <c r="H11" s="55">
        <v>1706000000</v>
      </c>
      <c r="I11" s="2">
        <f t="shared" si="1"/>
        <v>15244.901723741039</v>
      </c>
      <c r="J11" s="53">
        <v>10000000</v>
      </c>
      <c r="K11" s="2">
        <v>2850</v>
      </c>
      <c r="L11" s="2">
        <v>47513000000</v>
      </c>
      <c r="M11">
        <v>0.99983528129533872</v>
      </c>
      <c r="N11">
        <v>1.6671228070175439</v>
      </c>
      <c r="O11">
        <f t="shared" si="0"/>
        <v>0.10842105263157895</v>
      </c>
    </row>
    <row r="12" spans="1:15" x14ac:dyDescent="0.3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3">
      <c r="A13" s="53">
        <v>331500</v>
      </c>
      <c r="B13" s="53">
        <v>16755</v>
      </c>
      <c r="C13" s="53">
        <v>5708000000</v>
      </c>
      <c r="D13" s="54">
        <v>1.9384390353715222</v>
      </c>
      <c r="F13" s="53">
        <v>221000</v>
      </c>
      <c r="G13" s="2">
        <v>218637.15502776182</v>
      </c>
      <c r="H13" s="2">
        <v>60670749157.886993</v>
      </c>
      <c r="K13" s="5">
        <v>17302224.45507849</v>
      </c>
    </row>
    <row r="14" spans="1:15" x14ac:dyDescent="0.3">
      <c r="A14" s="53">
        <v>351000</v>
      </c>
      <c r="B14" s="53">
        <v>106566</v>
      </c>
      <c r="C14" s="53">
        <v>47847000000</v>
      </c>
      <c r="D14" s="54">
        <v>1.9207896753817033</v>
      </c>
      <c r="F14" s="53">
        <v>351000</v>
      </c>
      <c r="G14" s="55">
        <v>106566</v>
      </c>
      <c r="H14" s="55">
        <v>47847000000</v>
      </c>
    </row>
    <row r="15" spans="1:15" x14ac:dyDescent="0.3">
      <c r="A15" s="53">
        <v>601000</v>
      </c>
      <c r="B15" s="53">
        <v>34141</v>
      </c>
      <c r="C15" s="53">
        <v>24330000000</v>
      </c>
      <c r="D15" s="54">
        <v>1.8682798767548037</v>
      </c>
      <c r="F15" s="53">
        <v>601000</v>
      </c>
      <c r="G15" s="55">
        <v>34141</v>
      </c>
      <c r="H15" s="55">
        <v>24330000000</v>
      </c>
    </row>
    <row r="16" spans="1:15" x14ac:dyDescent="0.3">
      <c r="A16" s="53">
        <v>901000</v>
      </c>
      <c r="B16" s="53">
        <v>12280</v>
      </c>
      <c r="C16" s="53">
        <v>13765000000</v>
      </c>
      <c r="D16" s="54">
        <v>2.0493715308429699</v>
      </c>
      <c r="F16" s="53">
        <v>901000</v>
      </c>
      <c r="G16" s="55">
        <v>12280</v>
      </c>
      <c r="H16" s="55">
        <v>13765000000</v>
      </c>
    </row>
    <row r="17" spans="1:8" x14ac:dyDescent="0.3">
      <c r="A17" s="53">
        <v>1501000</v>
      </c>
      <c r="B17" s="53">
        <v>5162</v>
      </c>
      <c r="C17" s="53">
        <v>10323000000</v>
      </c>
      <c r="D17" s="54">
        <v>2.0694060126558731</v>
      </c>
      <c r="F17" s="53">
        <v>1501000</v>
      </c>
      <c r="G17" s="55">
        <v>5162</v>
      </c>
      <c r="H17" s="55">
        <v>10323000000</v>
      </c>
    </row>
    <row r="18" spans="1:8" x14ac:dyDescent="0.3">
      <c r="A18" s="53">
        <v>3001000</v>
      </c>
      <c r="B18" s="53">
        <v>1403</v>
      </c>
      <c r="C18" s="53">
        <v>5624000000</v>
      </c>
      <c r="D18" s="54">
        <v>2.0308946381208006</v>
      </c>
      <c r="F18" s="53">
        <v>3001000</v>
      </c>
      <c r="G18" s="55">
        <v>1403</v>
      </c>
      <c r="H18" s="55">
        <v>5624000000</v>
      </c>
    </row>
    <row r="19" spans="1:8" x14ac:dyDescent="0.3">
      <c r="A19" s="53">
        <v>6000000</v>
      </c>
      <c r="B19" s="53">
        <v>318</v>
      </c>
      <c r="C19" s="53">
        <v>2383000000</v>
      </c>
      <c r="D19" s="54">
        <v>1.9760498687664041</v>
      </c>
      <c r="F19" s="53">
        <v>6000000</v>
      </c>
      <c r="G19" s="55">
        <v>318</v>
      </c>
      <c r="H19" s="55">
        <v>2383000000</v>
      </c>
    </row>
    <row r="20" spans="1:8" x14ac:dyDescent="0.3">
      <c r="A20" s="53">
        <v>10000000</v>
      </c>
      <c r="B20" s="53">
        <v>190</v>
      </c>
      <c r="C20" s="53">
        <v>3640000000</v>
      </c>
      <c r="D20" s="54">
        <v>1.9157894736842107</v>
      </c>
      <c r="F20" s="53">
        <v>10000000</v>
      </c>
      <c r="G20" s="55">
        <v>190</v>
      </c>
      <c r="H20" s="55">
        <v>3640000000</v>
      </c>
    </row>
    <row r="21" spans="1:8" x14ac:dyDescent="0.3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3">
      <c r="A22" s="53">
        <v>221000</v>
      </c>
      <c r="B22" s="53"/>
      <c r="C22" s="53"/>
      <c r="D22" s="54"/>
      <c r="F22" s="53">
        <v>221000</v>
      </c>
      <c r="G22" s="2">
        <v>2463681.6678537633</v>
      </c>
      <c r="H22" s="2">
        <v>683659703019.19031</v>
      </c>
    </row>
    <row r="23" spans="1:8" x14ac:dyDescent="0.3">
      <c r="A23" s="53">
        <v>442000</v>
      </c>
      <c r="B23" s="53">
        <v>468479</v>
      </c>
      <c r="C23" s="53">
        <v>241149000000</v>
      </c>
      <c r="D23" s="54">
        <v>1.8460268984602879</v>
      </c>
      <c r="F23" s="53">
        <v>351000</v>
      </c>
      <c r="G23" s="2">
        <v>1200823.8059224978</v>
      </c>
      <c r="H23" s="2">
        <v>539157110541.57751</v>
      </c>
    </row>
    <row r="24" spans="1:8" x14ac:dyDescent="0.3">
      <c r="A24" s="53">
        <v>601000</v>
      </c>
      <c r="B24" s="53">
        <v>384713</v>
      </c>
      <c r="C24" s="53">
        <v>277352000000</v>
      </c>
      <c r="D24" s="54">
        <v>1.7344550464214683</v>
      </c>
      <c r="F24" s="53">
        <v>601000</v>
      </c>
      <c r="G24" s="55">
        <v>384713</v>
      </c>
      <c r="H24" s="55">
        <v>277352000000</v>
      </c>
    </row>
    <row r="25" spans="1:8" x14ac:dyDescent="0.3">
      <c r="A25" s="53">
        <v>901000</v>
      </c>
      <c r="B25" s="53">
        <v>172275</v>
      </c>
      <c r="C25" s="53">
        <v>191227000000</v>
      </c>
      <c r="D25" s="54">
        <v>1.7328149994891351</v>
      </c>
      <c r="F25" s="53">
        <v>901000</v>
      </c>
      <c r="G25" s="55">
        <v>172275</v>
      </c>
      <c r="H25" s="55">
        <v>191227000000</v>
      </c>
    </row>
    <row r="26" spans="1:8" x14ac:dyDescent="0.3">
      <c r="A26" s="53">
        <v>1501000</v>
      </c>
      <c r="B26" s="53">
        <v>51715</v>
      </c>
      <c r="C26" s="53">
        <v>102063000000</v>
      </c>
      <c r="D26" s="54">
        <v>1.8238605085739834</v>
      </c>
      <c r="F26" s="53">
        <v>1501000</v>
      </c>
      <c r="G26" s="55">
        <v>51715</v>
      </c>
      <c r="H26" s="55">
        <v>102063000000</v>
      </c>
    </row>
    <row r="27" spans="1:8" x14ac:dyDescent="0.3">
      <c r="A27" s="53">
        <v>3001000</v>
      </c>
      <c r="B27" s="53">
        <v>11068</v>
      </c>
      <c r="C27" s="53">
        <v>44163000000</v>
      </c>
      <c r="D27" s="54">
        <v>1.828421213062118</v>
      </c>
      <c r="F27" s="53">
        <v>3001000</v>
      </c>
      <c r="G27" s="55">
        <v>11068</v>
      </c>
      <c r="H27" s="55">
        <v>44163000000</v>
      </c>
    </row>
    <row r="28" spans="1:8" x14ac:dyDescent="0.3">
      <c r="A28" s="53">
        <v>6000000</v>
      </c>
      <c r="B28" s="53">
        <v>2210</v>
      </c>
      <c r="C28" s="53">
        <v>16589000000</v>
      </c>
      <c r="D28" s="54">
        <v>1.750529821374508</v>
      </c>
      <c r="F28" s="53">
        <v>6000000</v>
      </c>
      <c r="G28" s="55">
        <v>2210</v>
      </c>
      <c r="H28" s="55">
        <v>16589000000</v>
      </c>
    </row>
    <row r="29" spans="1:8" x14ac:dyDescent="0.3">
      <c r="A29" s="53">
        <v>10000000</v>
      </c>
      <c r="B29" s="53">
        <v>1093</v>
      </c>
      <c r="C29" s="53">
        <v>18103000000</v>
      </c>
      <c r="D29" s="54">
        <v>1.6562671546203109</v>
      </c>
      <c r="F29" s="53">
        <v>10000000</v>
      </c>
      <c r="G29" s="55">
        <v>1093</v>
      </c>
      <c r="H29" s="55">
        <v>18103000000</v>
      </c>
    </row>
    <row r="30" spans="1:8" x14ac:dyDescent="0.3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3">
      <c r="A31" s="53">
        <v>221000</v>
      </c>
      <c r="B31" s="53"/>
      <c r="C31" s="53"/>
      <c r="D31" s="54"/>
      <c r="F31" s="53">
        <v>221000</v>
      </c>
      <c r="G31" s="2">
        <v>24501.501278117714</v>
      </c>
      <c r="H31" s="2">
        <v>6799047663.4567146</v>
      </c>
    </row>
    <row r="32" spans="1:8" x14ac:dyDescent="0.3">
      <c r="A32" s="53">
        <v>442000</v>
      </c>
      <c r="B32" s="53">
        <v>7336</v>
      </c>
      <c r="C32" s="53">
        <v>3746000000</v>
      </c>
      <c r="D32" s="54">
        <v>1.6204905907954321</v>
      </c>
      <c r="F32" s="53">
        <v>351000</v>
      </c>
      <c r="G32" s="2">
        <v>11942.283940130636</v>
      </c>
      <c r="H32" s="2">
        <v>5361958407.7795029</v>
      </c>
    </row>
    <row r="33" spans="1:8" x14ac:dyDescent="0.3">
      <c r="A33" s="53">
        <v>601000</v>
      </c>
      <c r="B33" s="53">
        <v>3826</v>
      </c>
      <c r="C33" s="53">
        <v>2713000000</v>
      </c>
      <c r="D33" s="54">
        <v>1.6370327143838383</v>
      </c>
      <c r="F33" s="53">
        <v>601000</v>
      </c>
      <c r="G33" s="55">
        <v>3826</v>
      </c>
      <c r="H33" s="55">
        <v>2713000000</v>
      </c>
    </row>
    <row r="34" spans="1:8" x14ac:dyDescent="0.3">
      <c r="A34" s="53">
        <v>901000</v>
      </c>
      <c r="B34" s="53">
        <v>1307</v>
      </c>
      <c r="C34" s="53">
        <v>1457000000</v>
      </c>
      <c r="D34" s="54">
        <v>1.7362143173637981</v>
      </c>
      <c r="F34" s="53">
        <v>901000</v>
      </c>
      <c r="G34" s="55">
        <v>1307</v>
      </c>
      <c r="H34" s="55">
        <v>1457000000</v>
      </c>
    </row>
    <row r="35" spans="1:8" x14ac:dyDescent="0.3">
      <c r="A35" s="53">
        <v>1501000</v>
      </c>
      <c r="B35" s="53">
        <v>396</v>
      </c>
      <c r="C35" s="53">
        <v>784000000</v>
      </c>
      <c r="D35" s="54">
        <v>1.8188932246227381</v>
      </c>
      <c r="F35" s="53">
        <v>1501000</v>
      </c>
      <c r="G35" s="55">
        <v>396</v>
      </c>
      <c r="H35" s="55">
        <v>784000000</v>
      </c>
    </row>
    <row r="36" spans="1:8" x14ac:dyDescent="0.3">
      <c r="A36" s="53">
        <v>3001000</v>
      </c>
      <c r="B36" s="53">
        <v>81</v>
      </c>
      <c r="C36" s="53">
        <v>314000000</v>
      </c>
      <c r="D36" s="54">
        <v>1.8265516432794007</v>
      </c>
      <c r="F36" s="53">
        <v>3001000</v>
      </c>
      <c r="G36" s="55">
        <v>81</v>
      </c>
      <c r="H36" s="55">
        <v>314000000</v>
      </c>
    </row>
    <row r="37" spans="1:8" x14ac:dyDescent="0.3">
      <c r="A37" s="53">
        <v>6000000</v>
      </c>
      <c r="B37" s="53">
        <v>19</v>
      </c>
      <c r="C37" s="53">
        <v>140000000</v>
      </c>
      <c r="D37" s="54">
        <v>1.7160493827160495</v>
      </c>
      <c r="F37" s="53">
        <v>6000000</v>
      </c>
      <c r="G37" s="55">
        <v>19</v>
      </c>
      <c r="H37" s="55">
        <v>140000000</v>
      </c>
    </row>
    <row r="38" spans="1:8" x14ac:dyDescent="0.3">
      <c r="A38" s="53">
        <v>10000000</v>
      </c>
      <c r="B38" s="53">
        <v>8</v>
      </c>
      <c r="C38" s="53">
        <v>138000000</v>
      </c>
      <c r="D38" s="54">
        <v>1.7250000000000001</v>
      </c>
      <c r="F38" s="53">
        <v>10000000</v>
      </c>
      <c r="G38" s="55">
        <v>8</v>
      </c>
      <c r="H38" s="55">
        <v>138000000</v>
      </c>
    </row>
    <row r="39" spans="1:8" x14ac:dyDescent="0.3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3">
      <c r="A40" s="53">
        <v>221000</v>
      </c>
      <c r="B40" s="53"/>
      <c r="C40" s="53"/>
      <c r="D40" s="54"/>
      <c r="F40" s="53">
        <v>221000</v>
      </c>
      <c r="G40" s="2">
        <v>1742270.6327044594</v>
      </c>
      <c r="H40" s="2">
        <v>483471642816.35132</v>
      </c>
    </row>
    <row r="41" spans="1:8" x14ac:dyDescent="0.3">
      <c r="A41" s="53">
        <v>552500</v>
      </c>
      <c r="B41" s="53">
        <v>84659</v>
      </c>
      <c r="C41" s="53">
        <v>48713000000</v>
      </c>
      <c r="D41" s="54">
        <v>1.6905953562390423</v>
      </c>
      <c r="F41" s="53">
        <v>351000</v>
      </c>
      <c r="G41" s="2">
        <v>849200.64122316276</v>
      </c>
      <c r="H41" s="2">
        <v>381282051316.59882</v>
      </c>
    </row>
    <row r="42" spans="1:8" x14ac:dyDescent="0.3">
      <c r="A42" s="53">
        <v>601000</v>
      </c>
      <c r="B42" s="53">
        <v>272062</v>
      </c>
      <c r="C42" s="53">
        <v>196166000000</v>
      </c>
      <c r="D42" s="54">
        <v>1.6716556953128834</v>
      </c>
      <c r="F42" s="53">
        <v>601000</v>
      </c>
      <c r="G42" s="55">
        <v>272062</v>
      </c>
      <c r="H42" s="55">
        <v>196166000000</v>
      </c>
    </row>
    <row r="43" spans="1:8" x14ac:dyDescent="0.3">
      <c r="A43" s="53">
        <v>901000</v>
      </c>
      <c r="B43" s="53">
        <v>116776</v>
      </c>
      <c r="C43" s="53">
        <v>129739000000</v>
      </c>
      <c r="D43" s="54">
        <v>1.657304875301518</v>
      </c>
      <c r="F43" s="53">
        <v>901000</v>
      </c>
      <c r="G43" s="55">
        <v>116776</v>
      </c>
      <c r="H43" s="55">
        <v>129739000000</v>
      </c>
    </row>
    <row r="44" spans="1:8" x14ac:dyDescent="0.3">
      <c r="A44" s="53">
        <v>1501000</v>
      </c>
      <c r="B44" s="53">
        <v>33322</v>
      </c>
      <c r="C44" s="53">
        <v>65428000000</v>
      </c>
      <c r="D44" s="54">
        <v>1.717182633883845</v>
      </c>
      <c r="F44" s="53">
        <v>1501000</v>
      </c>
      <c r="G44" s="55">
        <v>33322</v>
      </c>
      <c r="H44" s="55">
        <v>65428000000</v>
      </c>
    </row>
    <row r="45" spans="1:8" x14ac:dyDescent="0.3">
      <c r="A45" s="53">
        <v>3001000</v>
      </c>
      <c r="B45" s="53">
        <v>6303</v>
      </c>
      <c r="C45" s="53">
        <v>25012000000</v>
      </c>
      <c r="D45" s="54">
        <v>1.7280063538229053</v>
      </c>
      <c r="F45" s="53">
        <v>3001000</v>
      </c>
      <c r="G45" s="55">
        <v>6303</v>
      </c>
      <c r="H45" s="55">
        <v>25012000000</v>
      </c>
    </row>
    <row r="46" spans="1:8" x14ac:dyDescent="0.3">
      <c r="A46" s="53">
        <v>6000000</v>
      </c>
      <c r="B46" s="53">
        <v>1084</v>
      </c>
      <c r="C46" s="53">
        <v>8017000000</v>
      </c>
      <c r="D46" s="54">
        <v>1.6942461605018386</v>
      </c>
      <c r="F46" s="53">
        <v>6000000</v>
      </c>
      <c r="G46" s="55">
        <v>1084</v>
      </c>
      <c r="H46" s="55">
        <v>8017000000</v>
      </c>
    </row>
    <row r="47" spans="1:8" x14ac:dyDescent="0.3">
      <c r="A47" s="53">
        <v>10000000</v>
      </c>
      <c r="B47" s="53">
        <v>457</v>
      </c>
      <c r="C47" s="53">
        <v>7648000000</v>
      </c>
      <c r="D47" s="54">
        <v>1.6735229759299781</v>
      </c>
      <c r="F47" s="53">
        <v>10000000</v>
      </c>
      <c r="G47" s="55">
        <v>457</v>
      </c>
      <c r="H47" s="55">
        <v>7648000000</v>
      </c>
    </row>
    <row r="48" spans="1:8" x14ac:dyDescent="0.3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3">
      <c r="A49" s="53">
        <v>221000</v>
      </c>
      <c r="B49" s="53"/>
      <c r="C49" s="53"/>
      <c r="D49" s="54"/>
      <c r="F49" s="53">
        <v>221000</v>
      </c>
      <c r="G49" s="2">
        <v>1206770.3796642073</v>
      </c>
      <c r="H49" s="2">
        <v>334872922154.87561</v>
      </c>
    </row>
    <row r="50" spans="1:8" x14ac:dyDescent="0.3">
      <c r="A50" s="53">
        <v>351000</v>
      </c>
      <c r="B50" s="53"/>
      <c r="C50" s="53"/>
      <c r="D50" s="54"/>
      <c r="F50" s="53">
        <v>351000</v>
      </c>
      <c r="G50" s="2">
        <v>588192.30547967297</v>
      </c>
      <c r="H50" s="2">
        <v>264092086033.87491</v>
      </c>
    </row>
    <row r="51" spans="1:8" x14ac:dyDescent="0.3">
      <c r="A51" s="53">
        <v>663000</v>
      </c>
      <c r="B51" s="53">
        <v>110438</v>
      </c>
      <c r="C51" s="53">
        <v>84392000000</v>
      </c>
      <c r="D51" s="54">
        <v>1.7656219141779841</v>
      </c>
      <c r="F51" s="53">
        <v>601000</v>
      </c>
      <c r="G51" s="2">
        <v>188441.6558881962</v>
      </c>
      <c r="H51" s="2">
        <v>135872874083.71584</v>
      </c>
    </row>
    <row r="52" spans="1:8" x14ac:dyDescent="0.3">
      <c r="A52" s="53">
        <v>901000</v>
      </c>
      <c r="B52" s="53">
        <v>80884</v>
      </c>
      <c r="C52" s="53">
        <v>90530000000</v>
      </c>
      <c r="D52" s="54">
        <v>1.7321672487656787</v>
      </c>
      <c r="F52" s="53">
        <v>901000</v>
      </c>
      <c r="G52" s="55">
        <v>80884</v>
      </c>
      <c r="H52" s="55">
        <v>90530000000</v>
      </c>
    </row>
    <row r="53" spans="1:8" x14ac:dyDescent="0.3">
      <c r="A53" s="53">
        <v>1501000</v>
      </c>
      <c r="B53" s="53">
        <v>27479</v>
      </c>
      <c r="C53" s="53">
        <v>54372000000</v>
      </c>
      <c r="D53" s="54">
        <v>1.7354911486327045</v>
      </c>
      <c r="F53" s="53">
        <v>1501000</v>
      </c>
      <c r="G53" s="55">
        <v>27479</v>
      </c>
      <c r="H53" s="55">
        <v>54372000000</v>
      </c>
    </row>
    <row r="54" spans="1:8" x14ac:dyDescent="0.3">
      <c r="A54" s="53">
        <v>3001000</v>
      </c>
      <c r="B54" s="53">
        <v>5369</v>
      </c>
      <c r="C54" s="53">
        <v>21173000000</v>
      </c>
      <c r="D54" s="54">
        <v>1.7225669226335969</v>
      </c>
      <c r="F54" s="53">
        <v>3001000</v>
      </c>
      <c r="G54" s="55">
        <v>5369</v>
      </c>
      <c r="H54" s="55">
        <v>21173000000</v>
      </c>
    </row>
    <row r="55" spans="1:8" x14ac:dyDescent="0.3">
      <c r="A55" s="53">
        <v>6000000</v>
      </c>
      <c r="B55" s="53">
        <v>944</v>
      </c>
      <c r="C55" s="53">
        <v>7028000000</v>
      </c>
      <c r="D55" s="54">
        <v>1.6789617486338799</v>
      </c>
      <c r="F55" s="53">
        <v>6000000</v>
      </c>
      <c r="G55" s="55">
        <v>944</v>
      </c>
      <c r="H55" s="55">
        <v>7028000000</v>
      </c>
    </row>
    <row r="56" spans="1:8" x14ac:dyDescent="0.3">
      <c r="A56" s="53">
        <v>10000000</v>
      </c>
      <c r="B56" s="53">
        <v>398</v>
      </c>
      <c r="C56" s="53">
        <v>6491000000</v>
      </c>
      <c r="D56" s="54">
        <v>1.6309045226130654</v>
      </c>
      <c r="F56" s="53">
        <v>10000000</v>
      </c>
      <c r="G56" s="55">
        <v>398</v>
      </c>
      <c r="H56" s="55">
        <v>6491000000</v>
      </c>
    </row>
    <row r="57" spans="1:8" x14ac:dyDescent="0.3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3">
      <c r="A58" s="53">
        <v>221000</v>
      </c>
      <c r="B58" s="53"/>
      <c r="C58" s="53"/>
      <c r="D58" s="54"/>
      <c r="F58" s="53">
        <v>221000</v>
      </c>
      <c r="G58" s="2">
        <v>586063.34112543555</v>
      </c>
      <c r="H58" s="2">
        <v>162629732149.32086</v>
      </c>
    </row>
    <row r="59" spans="1:8" x14ac:dyDescent="0.3">
      <c r="A59" s="53">
        <v>351000</v>
      </c>
      <c r="B59" s="53"/>
      <c r="C59" s="53"/>
      <c r="D59" s="54"/>
      <c r="F59" s="53">
        <v>351000</v>
      </c>
      <c r="G59" s="2">
        <v>285653.30536999943</v>
      </c>
      <c r="H59" s="2">
        <v>128255294390.69086</v>
      </c>
    </row>
    <row r="60" spans="1:8" x14ac:dyDescent="0.3">
      <c r="A60" s="53">
        <v>773500</v>
      </c>
      <c r="B60" s="53">
        <v>21825</v>
      </c>
      <c r="C60" s="53">
        <v>18130000000</v>
      </c>
      <c r="D60" s="54">
        <v>1.8663009872194987</v>
      </c>
      <c r="F60" s="53">
        <v>601000</v>
      </c>
      <c r="G60" s="2">
        <v>91515.957234363217</v>
      </c>
      <c r="H60" s="2">
        <v>65986132818.387337</v>
      </c>
    </row>
    <row r="61" spans="1:8" x14ac:dyDescent="0.3">
      <c r="A61" s="53">
        <v>901000</v>
      </c>
      <c r="B61" s="53">
        <v>39281</v>
      </c>
      <c r="C61" s="53">
        <v>44340000000</v>
      </c>
      <c r="D61" s="54">
        <v>1.8500559348969459</v>
      </c>
      <c r="F61" s="53">
        <v>901000</v>
      </c>
      <c r="G61" s="55">
        <v>39281</v>
      </c>
      <c r="H61" s="55">
        <v>44340000000</v>
      </c>
    </row>
    <row r="62" spans="1:8" x14ac:dyDescent="0.3">
      <c r="A62" s="53">
        <v>1501000</v>
      </c>
      <c r="B62" s="53">
        <v>16078</v>
      </c>
      <c r="C62" s="53">
        <v>32015000000</v>
      </c>
      <c r="D62" s="54">
        <v>1.7935691253283892</v>
      </c>
      <c r="F62" s="53">
        <v>1501000</v>
      </c>
      <c r="G62" s="55">
        <v>16078</v>
      </c>
      <c r="H62" s="55">
        <v>32015000000</v>
      </c>
    </row>
    <row r="63" spans="1:8" x14ac:dyDescent="0.3">
      <c r="A63" s="53">
        <v>3001000</v>
      </c>
      <c r="B63" s="53">
        <v>3621</v>
      </c>
      <c r="C63" s="53">
        <v>14372000000</v>
      </c>
      <c r="D63" s="54">
        <v>1.7244013323310969</v>
      </c>
      <c r="F63" s="53">
        <v>3001000</v>
      </c>
      <c r="G63" s="55">
        <v>3621</v>
      </c>
      <c r="H63" s="55">
        <v>14372000000</v>
      </c>
    </row>
    <row r="64" spans="1:8" x14ac:dyDescent="0.3">
      <c r="A64" s="53">
        <v>6000000</v>
      </c>
      <c r="B64" s="53">
        <v>665</v>
      </c>
      <c r="C64" s="53">
        <v>4950000000</v>
      </c>
      <c r="D64" s="54">
        <v>1.6552287581699348</v>
      </c>
      <c r="F64" s="53">
        <v>6000000</v>
      </c>
      <c r="G64" s="55">
        <v>665</v>
      </c>
      <c r="H64" s="55">
        <v>4950000000</v>
      </c>
    </row>
    <row r="65" spans="1:8" x14ac:dyDescent="0.3">
      <c r="A65" s="53">
        <v>10000000</v>
      </c>
      <c r="B65" s="53">
        <v>253</v>
      </c>
      <c r="C65" s="53">
        <v>4167000000</v>
      </c>
      <c r="D65" s="54">
        <v>1.6470355731225297</v>
      </c>
      <c r="F65" s="53">
        <v>10000000</v>
      </c>
      <c r="G65" s="55">
        <v>253</v>
      </c>
      <c r="H65" s="55">
        <v>4167000000</v>
      </c>
    </row>
    <row r="66" spans="1:8" x14ac:dyDescent="0.3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3">
      <c r="A67" s="53">
        <v>221000</v>
      </c>
      <c r="B67" s="53"/>
      <c r="C67" s="53"/>
      <c r="D67" s="54"/>
      <c r="F67" s="53">
        <v>221000</v>
      </c>
      <c r="G67" s="2">
        <v>251114.58706454025</v>
      </c>
      <c r="H67" s="2">
        <v>69683078888.144897</v>
      </c>
    </row>
    <row r="68" spans="1:8" x14ac:dyDescent="0.3">
      <c r="A68" s="53">
        <v>351000</v>
      </c>
      <c r="B68" s="53"/>
      <c r="C68" s="53"/>
      <c r="D68" s="54"/>
      <c r="F68" s="53">
        <v>351000</v>
      </c>
      <c r="G68" s="2">
        <v>122395.83469571703</v>
      </c>
      <c r="H68" s="2">
        <v>54954427328.472237</v>
      </c>
    </row>
    <row r="69" spans="1:8" x14ac:dyDescent="0.3">
      <c r="A69" s="53">
        <v>884000</v>
      </c>
      <c r="B69" s="53">
        <v>1188</v>
      </c>
      <c r="C69" s="53">
        <v>1059000000</v>
      </c>
      <c r="D69" s="54">
        <v>1.956377733935502</v>
      </c>
      <c r="F69" s="53">
        <v>601000</v>
      </c>
      <c r="G69" s="2">
        <v>39212.47107282318</v>
      </c>
      <c r="H69" s="2">
        <v>28273531770.226761</v>
      </c>
    </row>
    <row r="70" spans="1:8" x14ac:dyDescent="0.3">
      <c r="A70" s="53">
        <v>901000</v>
      </c>
      <c r="B70" s="53">
        <v>16831</v>
      </c>
      <c r="C70" s="53">
        <v>19018000000</v>
      </c>
      <c r="D70" s="54">
        <v>1.9601589267673099</v>
      </c>
      <c r="F70" s="53">
        <v>901000</v>
      </c>
      <c r="G70" s="55">
        <v>16831</v>
      </c>
      <c r="H70" s="55">
        <v>19018000000</v>
      </c>
    </row>
    <row r="71" spans="1:8" x14ac:dyDescent="0.3">
      <c r="A71" s="53">
        <v>1501000</v>
      </c>
      <c r="B71" s="53">
        <v>7851</v>
      </c>
      <c r="C71" s="53">
        <v>15820000000</v>
      </c>
      <c r="D71" s="54">
        <v>1.867707906671016</v>
      </c>
      <c r="F71" s="53">
        <v>1501000</v>
      </c>
      <c r="G71" s="55">
        <v>7851</v>
      </c>
      <c r="H71" s="55">
        <v>15820000000</v>
      </c>
    </row>
    <row r="72" spans="1:8" x14ac:dyDescent="0.3">
      <c r="A72" s="53">
        <v>3001000</v>
      </c>
      <c r="B72" s="53">
        <v>1941</v>
      </c>
      <c r="C72" s="53">
        <v>7792000000</v>
      </c>
      <c r="D72" s="54">
        <v>1.7688694352658112</v>
      </c>
      <c r="F72" s="53">
        <v>3001000</v>
      </c>
      <c r="G72" s="55">
        <v>1941</v>
      </c>
      <c r="H72" s="55">
        <v>7792000000</v>
      </c>
    </row>
    <row r="73" spans="1:8" x14ac:dyDescent="0.3">
      <c r="A73" s="53">
        <v>6000000</v>
      </c>
      <c r="B73" s="53">
        <v>373</v>
      </c>
      <c r="C73" s="53">
        <v>2789000000</v>
      </c>
      <c r="D73" s="54">
        <v>1.6745283018867927</v>
      </c>
      <c r="F73" s="53">
        <v>6000000</v>
      </c>
      <c r="G73" s="55">
        <v>373</v>
      </c>
      <c r="H73" s="55">
        <v>2789000000</v>
      </c>
    </row>
    <row r="74" spans="1:8" x14ac:dyDescent="0.3">
      <c r="A74" s="53">
        <v>10000000</v>
      </c>
      <c r="B74" s="53">
        <v>157</v>
      </c>
      <c r="C74" s="53">
        <v>2536000000</v>
      </c>
      <c r="D74" s="54">
        <v>1.6152866242038217</v>
      </c>
      <c r="F74" s="53">
        <v>10000000</v>
      </c>
      <c r="G74" s="55">
        <v>157</v>
      </c>
      <c r="H74" s="55">
        <v>2536000000</v>
      </c>
    </row>
    <row r="75" spans="1:8" x14ac:dyDescent="0.3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3">
      <c r="A76" s="53">
        <v>221000</v>
      </c>
      <c r="B76" s="53"/>
      <c r="C76" s="53"/>
      <c r="D76" s="54"/>
      <c r="F76" s="53">
        <v>221000</v>
      </c>
      <c r="G76" s="2">
        <v>118984.3668169774</v>
      </c>
      <c r="H76" s="2">
        <v>33017584188.49815</v>
      </c>
    </row>
    <row r="77" spans="1:8" x14ac:dyDescent="0.3">
      <c r="A77" s="53">
        <v>351000</v>
      </c>
      <c r="B77" s="53"/>
      <c r="C77" s="53"/>
      <c r="D77" s="54"/>
      <c r="F77" s="53">
        <v>351000</v>
      </c>
      <c r="G77" s="2">
        <v>57994.205205460108</v>
      </c>
      <c r="H77" s="2">
        <v>26038781003.937935</v>
      </c>
    </row>
    <row r="78" spans="1:8" x14ac:dyDescent="0.3">
      <c r="A78" s="53">
        <v>601000</v>
      </c>
      <c r="B78" s="53"/>
      <c r="C78" s="53"/>
      <c r="D78" s="54"/>
      <c r="F78" s="53">
        <v>601000</v>
      </c>
      <c r="G78" s="2">
        <v>18579.84873148672</v>
      </c>
      <c r="H78" s="2">
        <v>13396705920.932817</v>
      </c>
    </row>
    <row r="79" spans="1:8" x14ac:dyDescent="0.3">
      <c r="A79" s="53">
        <v>994500</v>
      </c>
      <c r="B79" s="53">
        <v>5102</v>
      </c>
      <c r="C79" s="53">
        <v>6101000000</v>
      </c>
      <c r="D79" s="54">
        <v>2.0497692627135584</v>
      </c>
      <c r="F79" s="53">
        <v>901000</v>
      </c>
      <c r="G79" s="2">
        <v>7974.9484142147494</v>
      </c>
      <c r="H79" s="2">
        <v>9011203668.322506</v>
      </c>
    </row>
    <row r="80" spans="1:8" x14ac:dyDescent="0.3">
      <c r="A80" s="53">
        <v>1501000</v>
      </c>
      <c r="B80" s="53">
        <v>3720</v>
      </c>
      <c r="C80" s="53">
        <v>7527000000</v>
      </c>
      <c r="D80" s="54">
        <v>1.9218310275600561</v>
      </c>
      <c r="F80" s="53">
        <v>1501000</v>
      </c>
      <c r="G80" s="55">
        <v>3720</v>
      </c>
      <c r="H80" s="55">
        <v>7527000000</v>
      </c>
    </row>
    <row r="81" spans="1:8" x14ac:dyDescent="0.3">
      <c r="A81" s="53">
        <v>3001000</v>
      </c>
      <c r="B81" s="53">
        <v>1067</v>
      </c>
      <c r="C81" s="53">
        <v>4268000000</v>
      </c>
      <c r="D81" s="54">
        <v>1.745683106855638</v>
      </c>
      <c r="F81" s="53">
        <v>3001000</v>
      </c>
      <c r="G81" s="55">
        <v>1067</v>
      </c>
      <c r="H81" s="55">
        <v>4268000000</v>
      </c>
    </row>
    <row r="82" spans="1:8" x14ac:dyDescent="0.3">
      <c r="A82" s="53">
        <v>6000000</v>
      </c>
      <c r="B82" s="53">
        <v>209</v>
      </c>
      <c r="C82" s="53">
        <v>1544000000</v>
      </c>
      <c r="D82" s="54">
        <v>1.6224489795918369</v>
      </c>
      <c r="F82" s="53">
        <v>6000000</v>
      </c>
      <c r="G82" s="55">
        <v>209</v>
      </c>
      <c r="H82" s="55">
        <v>1544000000</v>
      </c>
    </row>
    <row r="83" spans="1:8" x14ac:dyDescent="0.3">
      <c r="A83" s="53">
        <v>10000000</v>
      </c>
      <c r="B83" s="53">
        <v>85</v>
      </c>
      <c r="C83" s="53">
        <v>1318000000</v>
      </c>
      <c r="D83" s="54">
        <v>1.5505882352941176</v>
      </c>
      <c r="F83" s="53">
        <v>10000000</v>
      </c>
      <c r="G83" s="55">
        <v>85</v>
      </c>
      <c r="H83" s="55">
        <v>1318000000</v>
      </c>
    </row>
    <row r="84" spans="1:8" x14ac:dyDescent="0.3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3">
      <c r="A85" s="53">
        <v>221000</v>
      </c>
      <c r="B85" s="53"/>
      <c r="C85" s="53"/>
      <c r="D85" s="54"/>
      <c r="F85" s="53">
        <v>221000</v>
      </c>
      <c r="G85" s="2">
        <v>59044.392780682872</v>
      </c>
      <c r="H85" s="2">
        <v>16384532368.808489</v>
      </c>
    </row>
    <row r="86" spans="1:8" x14ac:dyDescent="0.3">
      <c r="A86" s="53">
        <v>351000</v>
      </c>
      <c r="B86" s="53"/>
      <c r="C86" s="53"/>
      <c r="D86" s="54"/>
      <c r="F86" s="53">
        <v>351000</v>
      </c>
      <c r="G86" s="2">
        <v>28778.844841204129</v>
      </c>
      <c r="H86" s="2">
        <v>12921395089.588554</v>
      </c>
    </row>
    <row r="87" spans="1:8" x14ac:dyDescent="0.3">
      <c r="A87" s="53">
        <v>601000</v>
      </c>
      <c r="B87" s="53"/>
      <c r="C87" s="53"/>
      <c r="D87" s="54"/>
      <c r="F87" s="53">
        <v>601000</v>
      </c>
      <c r="G87" s="2">
        <v>9220.0002038506682</v>
      </c>
      <c r="H87" s="2">
        <v>6647935250.0112858</v>
      </c>
    </row>
    <row r="88" spans="1:8" x14ac:dyDescent="0.3">
      <c r="A88" s="53">
        <v>1105000</v>
      </c>
      <c r="B88" s="53">
        <v>1609</v>
      </c>
      <c r="C88" s="53">
        <v>2051000000</v>
      </c>
      <c r="D88" s="54">
        <v>2.1583252025066955</v>
      </c>
      <c r="F88" s="53">
        <v>901000</v>
      </c>
      <c r="G88" s="2">
        <v>3957.4609603872118</v>
      </c>
      <c r="H88" s="2">
        <v>4471688702.076169</v>
      </c>
    </row>
    <row r="89" spans="1:8" x14ac:dyDescent="0.3">
      <c r="A89" s="53">
        <v>1501000</v>
      </c>
      <c r="B89" s="53">
        <v>1846</v>
      </c>
      <c r="C89" s="53">
        <v>3751000000</v>
      </c>
      <c r="D89" s="54">
        <v>2.0580157178094645</v>
      </c>
      <c r="F89" s="53">
        <v>1501000</v>
      </c>
      <c r="G89" s="55">
        <v>1846</v>
      </c>
      <c r="H89" s="55">
        <v>3751000000</v>
      </c>
    </row>
    <row r="90" spans="1:8" x14ac:dyDescent="0.3">
      <c r="A90" s="53">
        <v>3001000</v>
      </c>
      <c r="B90" s="53">
        <v>520</v>
      </c>
      <c r="C90" s="53">
        <v>2106000000</v>
      </c>
      <c r="D90" s="54">
        <v>1.970399640062092</v>
      </c>
      <c r="F90" s="53">
        <v>3001000</v>
      </c>
      <c r="G90" s="55">
        <v>520</v>
      </c>
      <c r="H90" s="55">
        <v>2106000000</v>
      </c>
    </row>
    <row r="91" spans="1:8" x14ac:dyDescent="0.3">
      <c r="A91" s="53">
        <v>6000000</v>
      </c>
      <c r="B91" s="53">
        <v>117</v>
      </c>
      <c r="C91" s="53">
        <v>881000000</v>
      </c>
      <c r="D91" s="54">
        <v>1.929824561403509</v>
      </c>
      <c r="F91" s="53">
        <v>6000000</v>
      </c>
      <c r="G91" s="55">
        <v>117</v>
      </c>
      <c r="H91" s="55">
        <v>881000000</v>
      </c>
    </row>
    <row r="92" spans="1:8" x14ac:dyDescent="0.3">
      <c r="A92" s="53">
        <v>10000000</v>
      </c>
      <c r="B92" s="53">
        <v>54</v>
      </c>
      <c r="C92" s="53">
        <v>1099000000</v>
      </c>
      <c r="D92" s="54">
        <v>2.0351851851851852</v>
      </c>
      <c r="F92" s="53">
        <v>10000000</v>
      </c>
      <c r="G92" s="55">
        <v>54</v>
      </c>
      <c r="H92" s="55">
        <v>1099000000</v>
      </c>
    </row>
    <row r="93" spans="1:8" x14ac:dyDescent="0.3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3">
      <c r="A94" s="53">
        <v>221000</v>
      </c>
      <c r="B94" s="53"/>
      <c r="C94" s="53"/>
      <c r="D94" s="54"/>
      <c r="F94" s="53">
        <v>221000</v>
      </c>
      <c r="G94" s="2">
        <f t="shared" ref="G94:G96" si="2">G85*G95/G86</f>
        <v>27763.018923961397</v>
      </c>
      <c r="H94" s="2">
        <f t="shared" ref="H94:H96" si="3">G94*H85/G85</f>
        <v>7704102977.3162346</v>
      </c>
    </row>
    <row r="95" spans="1:8" x14ac:dyDescent="0.3">
      <c r="A95" s="53">
        <v>351000</v>
      </c>
      <c r="B95" s="53"/>
      <c r="C95" s="53"/>
      <c r="D95" s="54"/>
      <c r="F95" s="53">
        <v>351000</v>
      </c>
      <c r="G95" s="2">
        <f t="shared" si="2"/>
        <v>13531.98121460736</v>
      </c>
      <c r="H95" s="2">
        <f t="shared" si="3"/>
        <v>6075715567.5855179</v>
      </c>
    </row>
    <row r="96" spans="1:8" x14ac:dyDescent="0.3">
      <c r="A96" s="53">
        <v>601000</v>
      </c>
      <c r="B96" s="53"/>
      <c r="C96" s="53"/>
      <c r="D96" s="54"/>
      <c r="F96" s="53">
        <v>601000</v>
      </c>
      <c r="G96" s="2">
        <f t="shared" si="2"/>
        <v>4335.2980373469018</v>
      </c>
      <c r="H96" s="2">
        <f t="shared" si="3"/>
        <v>3125898048.217658</v>
      </c>
    </row>
    <row r="97" spans="1:8" x14ac:dyDescent="0.3">
      <c r="A97" s="53">
        <v>1215500</v>
      </c>
      <c r="B97" s="53">
        <v>438</v>
      </c>
      <c r="C97" s="53">
        <v>587000000</v>
      </c>
      <c r="D97" s="54">
        <v>2.150825469526084</v>
      </c>
      <c r="F97" s="53">
        <v>901000</v>
      </c>
      <c r="G97" s="2">
        <f>G88*G98/G89</f>
        <v>1860.8212966501085</v>
      </c>
      <c r="H97" s="2">
        <f>G97*H88/G88</f>
        <v>2102614189.2752521</v>
      </c>
    </row>
    <row r="98" spans="1:8" x14ac:dyDescent="0.3">
      <c r="A98" s="53">
        <v>1501000</v>
      </c>
      <c r="B98" s="53">
        <v>868</v>
      </c>
      <c r="C98" s="53">
        <v>1764000000</v>
      </c>
      <c r="D98" s="54">
        <v>2.0422924733012806</v>
      </c>
      <c r="F98" s="53">
        <v>1501000</v>
      </c>
      <c r="G98" s="55">
        <v>868</v>
      </c>
      <c r="H98" s="55">
        <v>1764000000</v>
      </c>
    </row>
    <row r="99" spans="1:8" x14ac:dyDescent="0.3">
      <c r="A99" s="53">
        <v>3001000</v>
      </c>
      <c r="B99" s="53">
        <v>280</v>
      </c>
      <c r="C99" s="53">
        <v>1128000000</v>
      </c>
      <c r="D99" s="54">
        <v>1.8313678638285882</v>
      </c>
      <c r="F99" s="53">
        <v>3001000</v>
      </c>
      <c r="G99" s="55">
        <v>280</v>
      </c>
      <c r="H99" s="55">
        <v>1128000000</v>
      </c>
    </row>
    <row r="100" spans="1:8" x14ac:dyDescent="0.3">
      <c r="A100" s="53">
        <v>6000000</v>
      </c>
      <c r="B100" s="53">
        <v>63</v>
      </c>
      <c r="C100" s="53">
        <v>475000000</v>
      </c>
      <c r="D100" s="54">
        <v>1.6853932584269662</v>
      </c>
      <c r="F100" s="53">
        <v>6000000</v>
      </c>
      <c r="G100" s="55">
        <v>63</v>
      </c>
      <c r="H100" s="55">
        <v>475000000</v>
      </c>
    </row>
    <row r="101" spans="1:8" x14ac:dyDescent="0.3">
      <c r="A101" s="53">
        <v>10000000</v>
      </c>
      <c r="B101" s="53">
        <v>26</v>
      </c>
      <c r="C101" s="53">
        <v>425000000</v>
      </c>
      <c r="D101" s="54">
        <v>1.6346153846153846</v>
      </c>
      <c r="F101" s="53">
        <v>10000000</v>
      </c>
      <c r="G101" s="55">
        <v>26</v>
      </c>
      <c r="H101" s="55">
        <v>425000000</v>
      </c>
    </row>
    <row r="102" spans="1:8" x14ac:dyDescent="0.3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3">
      <c r="A103" s="53">
        <v>221000</v>
      </c>
      <c r="B103" s="53"/>
      <c r="C103" s="53"/>
      <c r="D103" s="54"/>
      <c r="F103" s="53">
        <v>221000</v>
      </c>
      <c r="G103" s="2">
        <v>13241.808565115227</v>
      </c>
      <c r="H103" s="2">
        <v>3674537595.1715674</v>
      </c>
    </row>
    <row r="104" spans="1:8" x14ac:dyDescent="0.3">
      <c r="A104" s="53">
        <v>351000</v>
      </c>
      <c r="B104" s="53"/>
      <c r="C104" s="53"/>
      <c r="D104" s="54"/>
      <c r="F104" s="53">
        <v>351000</v>
      </c>
      <c r="G104" s="2">
        <v>6454.1938051237858</v>
      </c>
      <c r="H104" s="2">
        <v>2897864337.5350275</v>
      </c>
    </row>
    <row r="105" spans="1:8" x14ac:dyDescent="0.3">
      <c r="A105" s="53">
        <v>601000</v>
      </c>
      <c r="B105" s="53"/>
      <c r="C105" s="53"/>
      <c r="D105" s="54"/>
      <c r="F105" s="53">
        <v>601000</v>
      </c>
      <c r="G105" s="2">
        <v>2067.7573588267478</v>
      </c>
      <c r="H105" s="2">
        <v>1490923723.4586523</v>
      </c>
    </row>
    <row r="106" spans="1:8" x14ac:dyDescent="0.3">
      <c r="A106" s="53">
        <v>1326000</v>
      </c>
      <c r="B106" s="53">
        <v>123</v>
      </c>
      <c r="C106" s="53">
        <v>173000000</v>
      </c>
      <c r="D106" s="54">
        <v>2.1145507523647096</v>
      </c>
      <c r="F106" s="53">
        <v>901000</v>
      </c>
      <c r="G106" s="2">
        <v>887.53458158196418</v>
      </c>
      <c r="H106" s="2">
        <v>1002859763.087505</v>
      </c>
    </row>
    <row r="107" spans="1:8" x14ac:dyDescent="0.3">
      <c r="A107" s="53">
        <v>1501000</v>
      </c>
      <c r="B107" s="53">
        <v>414</v>
      </c>
      <c r="C107" s="53">
        <v>849000000</v>
      </c>
      <c r="D107" s="54">
        <v>2.0601478209158102</v>
      </c>
      <c r="F107" s="53">
        <v>1501000</v>
      </c>
      <c r="G107" s="55">
        <v>414</v>
      </c>
      <c r="H107" s="55">
        <v>849000000</v>
      </c>
    </row>
    <row r="108" spans="1:8" x14ac:dyDescent="0.3">
      <c r="A108" s="53">
        <v>3001000</v>
      </c>
      <c r="B108" s="53">
        <v>137</v>
      </c>
      <c r="C108" s="53">
        <v>553000000</v>
      </c>
      <c r="D108" s="54">
        <v>1.8199061851177813</v>
      </c>
      <c r="F108" s="53">
        <v>3001000</v>
      </c>
      <c r="G108" s="55">
        <v>137</v>
      </c>
      <c r="H108" s="55">
        <v>553000000</v>
      </c>
    </row>
    <row r="109" spans="1:8" x14ac:dyDescent="0.3">
      <c r="A109" s="53">
        <v>6000000</v>
      </c>
      <c r="B109" s="53">
        <v>27</v>
      </c>
      <c r="C109" s="53">
        <v>199000000</v>
      </c>
      <c r="D109" s="54">
        <v>1.6333333333333333</v>
      </c>
      <c r="F109" s="53">
        <v>6000000</v>
      </c>
      <c r="G109" s="55">
        <v>27</v>
      </c>
      <c r="H109" s="55">
        <v>199000000</v>
      </c>
    </row>
    <row r="110" spans="1:8" x14ac:dyDescent="0.3">
      <c r="A110" s="53">
        <v>10000000</v>
      </c>
      <c r="B110" s="53">
        <v>18</v>
      </c>
      <c r="C110" s="53">
        <v>242000000</v>
      </c>
      <c r="D110" s="54">
        <v>1.3444444444444443</v>
      </c>
      <c r="F110" s="53">
        <v>10000000</v>
      </c>
      <c r="G110" s="55">
        <v>18</v>
      </c>
      <c r="H110" s="55">
        <v>242000000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I6" sqref="I6"/>
    </sheetView>
  </sheetViews>
  <sheetFormatPr baseColWidth="10" defaultRowHeight="15.6" x14ac:dyDescent="0.3"/>
  <cols>
    <col min="1" max="3" width="12.69921875" customWidth="1"/>
    <col min="4" max="4" width="14.69921875" customWidth="1"/>
    <col min="5" max="6" width="12.69921875" customWidth="1"/>
  </cols>
  <sheetData>
    <row r="1" spans="1:6" x14ac:dyDescent="0.3">
      <c r="A1" t="s">
        <v>248</v>
      </c>
    </row>
    <row r="2" spans="1:6" x14ac:dyDescent="0.3">
      <c r="A2" s="3" t="s">
        <v>249</v>
      </c>
      <c r="B2" s="3"/>
    </row>
    <row r="3" spans="1:6" x14ac:dyDescent="0.3">
      <c r="E3" t="s">
        <v>7</v>
      </c>
      <c r="F3" t="s">
        <v>8</v>
      </c>
    </row>
    <row r="4" spans="1:6" x14ac:dyDescent="0.3">
      <c r="A4" s="2">
        <f t="shared" ref="A4:A5" si="0">B4/655.957</f>
        <v>533.57156033093634</v>
      </c>
      <c r="B4">
        <v>350000</v>
      </c>
      <c r="C4" s="2">
        <v>3550727.3979395689</v>
      </c>
      <c r="D4" s="2">
        <v>15905288.020218935</v>
      </c>
      <c r="E4">
        <f>1-SUM(C4:C$10)/C$11</f>
        <v>0.70203875497666635</v>
      </c>
      <c r="F4">
        <f>100000*SUM(D4:D$10)/(B4*SUM(C4:C$10))</f>
        <v>1.8302328267037269</v>
      </c>
    </row>
    <row r="5" spans="1:6" x14ac:dyDescent="0.3">
      <c r="A5" s="2">
        <f t="shared" si="0"/>
        <v>914.69410342446224</v>
      </c>
      <c r="B5">
        <v>600000</v>
      </c>
      <c r="C5" s="2">
        <v>1013906.9371919141</v>
      </c>
      <c r="D5" s="2">
        <v>7299828.2356697507</v>
      </c>
      <c r="E5">
        <f>1-SUM(C5:C$10)/C$11</f>
        <v>0.90598416647508784</v>
      </c>
      <c r="F5">
        <f>100000*SUM(D5:D$10)/(B5*SUM(C5:C$10))</f>
        <v>1.7641041476385888</v>
      </c>
    </row>
    <row r="6" spans="1:6" x14ac:dyDescent="0.3">
      <c r="A6" s="2">
        <f>B6/655.957</f>
        <v>1372.0411551366935</v>
      </c>
      <c r="B6">
        <v>900000</v>
      </c>
      <c r="C6" s="2">
        <v>432074.14223049313</v>
      </c>
      <c r="D6" s="2">
        <v>4815795.9107369203</v>
      </c>
      <c r="E6">
        <f>1-SUM(C6:C$10)/C$11</f>
        <v>0.96422059083329148</v>
      </c>
      <c r="F6">
        <f>100000*SUM(D6:D$10)/(B6*SUM(C6:C$10))</f>
        <v>1.7882333841802995</v>
      </c>
    </row>
    <row r="7" spans="1:6" x14ac:dyDescent="0.3">
      <c r="A7" s="2">
        <f>B7/655.957</f>
        <v>2286.7352585611557</v>
      </c>
      <c r="B7">
        <v>1500000</v>
      </c>
      <c r="C7">
        <v>148918</v>
      </c>
      <c r="D7">
        <v>2959710</v>
      </c>
      <c r="E7">
        <f>1-SUM(C7:C$10)/C$11</f>
        <v>0.989037911021307</v>
      </c>
      <c r="F7">
        <f>100000*SUM(D7:D$10)/(B7*SUM(C7:C$10))</f>
        <v>1.8197835670222651</v>
      </c>
    </row>
    <row r="8" spans="1:6" x14ac:dyDescent="0.3">
      <c r="A8" s="2">
        <f>B8/655.957</f>
        <v>4573.4705171223113</v>
      </c>
      <c r="B8">
        <v>3000000</v>
      </c>
      <c r="C8">
        <v>32988</v>
      </c>
      <c r="D8">
        <v>1309530</v>
      </c>
      <c r="E8">
        <f>1-SUM(C8:C$10)/C$11</f>
        <v>0.99759140989231176</v>
      </c>
      <c r="F8">
        <f>100000*SUM(D8:D$10)/(B8*SUM(C8:C$10))</f>
        <v>1.7884691817300202</v>
      </c>
    </row>
    <row r="9" spans="1:6" x14ac:dyDescent="0.3">
      <c r="A9" s="2">
        <f>B9/655.957</f>
        <v>9146.9410342446226</v>
      </c>
      <c r="B9">
        <v>6000000</v>
      </c>
      <c r="C9">
        <v>6101</v>
      </c>
      <c r="D9">
        <v>456030</v>
      </c>
      <c r="E9">
        <f>1-SUM(C9:C$10)/C$11</f>
        <v>0.99948616284868175</v>
      </c>
      <c r="F9">
        <f>100000*SUM(D9:D$10)/(B9*SUM(C9:C$10))</f>
        <v>1.7519934421342873</v>
      </c>
    </row>
    <row r="10" spans="1:6" x14ac:dyDescent="0.3">
      <c r="A10" s="2">
        <f>B10/655.957</f>
        <v>15244.901723741039</v>
      </c>
      <c r="B10">
        <v>10000000</v>
      </c>
      <c r="C10">
        <v>2845</v>
      </c>
      <c r="D10">
        <v>484370</v>
      </c>
      <c r="E10">
        <f>1-SUM(C10:C$10)/C$11</f>
        <v>0.99983658990660629</v>
      </c>
      <c r="F10">
        <f>100000*SUM(D10:D$10)/(B10*SUM(C10:C$10))</f>
        <v>1.702530755711775</v>
      </c>
    </row>
    <row r="11" spans="1:6" x14ac:dyDescent="0.3">
      <c r="C11">
        <v>17410185.264045775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4.19921875" customWidth="1"/>
  </cols>
  <sheetData>
    <row r="1" spans="1:15" x14ac:dyDescent="0.3">
      <c r="A1" s="79" t="s">
        <v>216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3">
      <c r="A4" s="53">
        <v>221000</v>
      </c>
      <c r="B4" s="53">
        <v>699202</v>
      </c>
      <c r="C4" s="53">
        <v>191967000000</v>
      </c>
      <c r="D4" s="54">
        <v>1.7127593075186658</v>
      </c>
      <c r="F4" s="53">
        <v>221000</v>
      </c>
      <c r="G4" s="55">
        <v>699202</v>
      </c>
      <c r="H4" s="55">
        <v>191967000000</v>
      </c>
      <c r="J4" s="53">
        <v>221000</v>
      </c>
      <c r="K4" s="2">
        <v>8585159.5784806181</v>
      </c>
      <c r="L4" s="2">
        <v>2357068956899.707</v>
      </c>
      <c r="M4">
        <v>0.19894228473210795</v>
      </c>
      <c r="N4">
        <v>1.8877078950392887</v>
      </c>
      <c r="O4">
        <f>(G4+G13+G31)/K4</f>
        <v>0.11261735070988012</v>
      </c>
    </row>
    <row r="5" spans="1:15" x14ac:dyDescent="0.3">
      <c r="A5" s="53">
        <v>351000</v>
      </c>
      <c r="B5" s="53">
        <v>303780</v>
      </c>
      <c r="C5" s="53">
        <v>132810000000</v>
      </c>
      <c r="D5" s="54">
        <v>1.6067669595910832</v>
      </c>
      <c r="F5" s="53">
        <v>351000</v>
      </c>
      <c r="G5" s="55">
        <v>303780</v>
      </c>
      <c r="H5" s="55">
        <v>132810000000</v>
      </c>
      <c r="J5" s="53">
        <v>351000</v>
      </c>
      <c r="K5" s="2">
        <v>3729966.1281730337</v>
      </c>
      <c r="L5" s="2">
        <v>1670301644248.2661</v>
      </c>
      <c r="M5">
        <v>0.68959356581026587</v>
      </c>
      <c r="N5">
        <v>1.8308772390932413</v>
      </c>
      <c r="O5">
        <f t="shared" ref="O5:O11" si="0">(G5+G14+G32)/K5</f>
        <v>0.11261735070988015</v>
      </c>
    </row>
    <row r="6" spans="1:15" x14ac:dyDescent="0.3">
      <c r="A6" s="53">
        <v>601000</v>
      </c>
      <c r="B6" s="53">
        <v>57648</v>
      </c>
      <c r="C6" s="53">
        <v>41046000000</v>
      </c>
      <c r="D6" s="54">
        <v>1.6649688161454264</v>
      </c>
      <c r="F6" s="53">
        <v>601000</v>
      </c>
      <c r="G6" s="55">
        <v>57648</v>
      </c>
      <c r="H6" s="55">
        <v>41046000000</v>
      </c>
      <c r="I6" s="2">
        <f t="shared" ref="I6:I11" si="1">J6/655.957</f>
        <v>916.2185935968364</v>
      </c>
      <c r="J6" s="53">
        <v>601000</v>
      </c>
      <c r="K6" s="2">
        <v>1048092.6718561922</v>
      </c>
      <c r="L6" s="2">
        <v>755004845906.43152</v>
      </c>
      <c r="M6">
        <v>0.902765218874649</v>
      </c>
      <c r="N6">
        <v>1.7799922700442166</v>
      </c>
      <c r="O6">
        <f t="shared" si="0"/>
        <v>8.7074361314227355E-2</v>
      </c>
    </row>
    <row r="7" spans="1:15" x14ac:dyDescent="0.3">
      <c r="A7" s="53">
        <v>901000</v>
      </c>
      <c r="B7" s="53">
        <v>21741</v>
      </c>
      <c r="C7" s="53">
        <v>24221000000</v>
      </c>
      <c r="D7" s="54">
        <v>1.7150578086842498</v>
      </c>
      <c r="F7" s="53">
        <v>901000</v>
      </c>
      <c r="G7" s="55">
        <v>21741</v>
      </c>
      <c r="H7" s="55">
        <v>24221000000</v>
      </c>
      <c r="I7" s="2">
        <f t="shared" si="1"/>
        <v>1373.5656453090676</v>
      </c>
      <c r="J7" s="53">
        <v>901000</v>
      </c>
      <c r="K7" s="2">
        <v>446434.68891081779</v>
      </c>
      <c r="L7" s="2">
        <v>498173746145.30658</v>
      </c>
      <c r="M7">
        <v>0.96266486400458617</v>
      </c>
      <c r="N7">
        <v>1.8095096371695127</v>
      </c>
      <c r="O7">
        <f t="shared" si="0"/>
        <v>8.0540336342865962E-2</v>
      </c>
    </row>
    <row r="8" spans="1:15" x14ac:dyDescent="0.3">
      <c r="A8" s="53">
        <v>1501000</v>
      </c>
      <c r="B8" s="53">
        <v>7036</v>
      </c>
      <c r="C8" s="53">
        <v>13925000000</v>
      </c>
      <c r="D8" s="54">
        <v>1.7383334123484886</v>
      </c>
      <c r="F8" s="53">
        <v>1501000</v>
      </c>
      <c r="G8" s="55">
        <v>7036</v>
      </c>
      <c r="H8" s="55">
        <v>13925000000</v>
      </c>
      <c r="I8" s="2">
        <f t="shared" si="1"/>
        <v>2288.2597487335297</v>
      </c>
      <c r="J8" s="53">
        <v>1501000</v>
      </c>
      <c r="K8" s="2">
        <v>160786</v>
      </c>
      <c r="L8" s="2">
        <v>320527000000</v>
      </c>
      <c r="M8">
        <v>0.98817909586358066</v>
      </c>
      <c r="N8">
        <v>1.8259887698041244</v>
      </c>
      <c r="O8">
        <f t="shared" si="0"/>
        <v>8.0691104946948117E-2</v>
      </c>
    </row>
    <row r="9" spans="1:15" x14ac:dyDescent="0.3">
      <c r="A9" s="53">
        <v>3001000</v>
      </c>
      <c r="B9" s="53">
        <v>1449</v>
      </c>
      <c r="C9" s="53">
        <v>5722000000</v>
      </c>
      <c r="D9" s="54">
        <v>1.7017801577877796</v>
      </c>
      <c r="F9" s="53">
        <v>3001000</v>
      </c>
      <c r="G9" s="55">
        <v>1449</v>
      </c>
      <c r="H9" s="55">
        <v>5722000000</v>
      </c>
      <c r="I9" s="2">
        <f t="shared" si="1"/>
        <v>4574.9950072946858</v>
      </c>
      <c r="J9" s="53">
        <v>3001000</v>
      </c>
      <c r="K9" s="2">
        <v>36399</v>
      </c>
      <c r="L9" s="2">
        <v>144589000000</v>
      </c>
      <c r="M9">
        <v>0.99736819201936744</v>
      </c>
      <c r="N9">
        <v>1.7827644133099319</v>
      </c>
      <c r="O9">
        <f t="shared" si="0"/>
        <v>8.26671062391824E-2</v>
      </c>
    </row>
    <row r="10" spans="1:15" x14ac:dyDescent="0.3">
      <c r="A10" s="53">
        <v>6000000</v>
      </c>
      <c r="B10" s="53">
        <v>225</v>
      </c>
      <c r="C10" s="53">
        <v>1693000000</v>
      </c>
      <c r="D10" s="54">
        <v>1.7091002044989774</v>
      </c>
      <c r="F10" s="53">
        <v>6000000</v>
      </c>
      <c r="G10" s="55">
        <v>225</v>
      </c>
      <c r="H10" s="55">
        <v>1693000000</v>
      </c>
      <c r="I10" s="2">
        <f t="shared" si="1"/>
        <v>9146.9410342446226</v>
      </c>
      <c r="J10" s="53">
        <v>6000000</v>
      </c>
      <c r="K10" s="2">
        <v>6625</v>
      </c>
      <c r="L10" s="2">
        <v>49452000000</v>
      </c>
      <c r="M10">
        <v>0.99944843477044332</v>
      </c>
      <c r="N10">
        <v>1.7577107726315062</v>
      </c>
      <c r="O10">
        <f t="shared" si="0"/>
        <v>8.6792452830188674E-2</v>
      </c>
    </row>
    <row r="11" spans="1:15" x14ac:dyDescent="0.3">
      <c r="A11" s="53">
        <v>10000000</v>
      </c>
      <c r="B11" s="53">
        <v>101</v>
      </c>
      <c r="C11" s="53">
        <v>1650000000</v>
      </c>
      <c r="D11" s="54">
        <v>1.6336633663366336</v>
      </c>
      <c r="F11" s="53">
        <v>10000000</v>
      </c>
      <c r="G11" s="55">
        <v>101</v>
      </c>
      <c r="H11" s="55">
        <v>1650000000</v>
      </c>
      <c r="I11" s="2">
        <f t="shared" si="1"/>
        <v>15244.901723741039</v>
      </c>
      <c r="J11" s="53">
        <v>10000000</v>
      </c>
      <c r="K11" s="2">
        <v>3026</v>
      </c>
      <c r="L11" s="2">
        <v>52330000000</v>
      </c>
      <c r="M11">
        <v>0.99982706078285788</v>
      </c>
      <c r="N11">
        <v>1.7293456708526107</v>
      </c>
      <c r="O11">
        <f t="shared" si="0"/>
        <v>0.10079312623925975</v>
      </c>
    </row>
    <row r="12" spans="1:15" x14ac:dyDescent="0.3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3">
      <c r="A13" s="53">
        <v>331500</v>
      </c>
      <c r="B13" s="53">
        <v>15595</v>
      </c>
      <c r="C13" s="53">
        <v>5314000000</v>
      </c>
      <c r="D13" s="54">
        <v>1.9737788961295131</v>
      </c>
      <c r="F13" s="53">
        <v>221000</v>
      </c>
      <c r="G13" s="2">
        <f>G4*G14/G5</f>
        <v>239585.66918164463</v>
      </c>
      <c r="H13" s="2">
        <f>G13*H4/G4</f>
        <v>65778619277.108444</v>
      </c>
      <c r="K13" s="5">
        <v>17497477.148364056</v>
      </c>
    </row>
    <row r="14" spans="1:15" x14ac:dyDescent="0.3">
      <c r="A14" s="53">
        <v>351000</v>
      </c>
      <c r="B14" s="53">
        <v>104092</v>
      </c>
      <c r="C14" s="53">
        <v>46711000000</v>
      </c>
      <c r="D14" s="54">
        <v>1.9543048594600858</v>
      </c>
      <c r="F14" s="53">
        <v>351000</v>
      </c>
      <c r="G14" s="55">
        <v>104092</v>
      </c>
      <c r="H14" s="55">
        <v>46711000000</v>
      </c>
    </row>
    <row r="15" spans="1:15" x14ac:dyDescent="0.3">
      <c r="A15" s="53">
        <v>601000</v>
      </c>
      <c r="B15" s="53">
        <v>30091</v>
      </c>
      <c r="C15" s="53">
        <v>21485000000</v>
      </c>
      <c r="D15" s="54">
        <v>1.9566729948683188</v>
      </c>
      <c r="F15" s="53">
        <v>601000</v>
      </c>
      <c r="G15" s="55">
        <v>30091</v>
      </c>
      <c r="H15" s="55">
        <v>21485000000</v>
      </c>
    </row>
    <row r="16" spans="1:15" x14ac:dyDescent="0.3">
      <c r="A16" s="53">
        <v>901000</v>
      </c>
      <c r="B16" s="53">
        <v>12836</v>
      </c>
      <c r="C16" s="53">
        <v>14480000000</v>
      </c>
      <c r="D16" s="54">
        <v>2.0651459682718483</v>
      </c>
      <c r="F16" s="53">
        <v>901000</v>
      </c>
      <c r="G16" s="55">
        <v>12836</v>
      </c>
      <c r="H16" s="55">
        <v>14480000000</v>
      </c>
    </row>
    <row r="17" spans="1:8" x14ac:dyDescent="0.3">
      <c r="A17" s="53">
        <v>1501000</v>
      </c>
      <c r="B17" s="53">
        <v>5477</v>
      </c>
      <c r="C17" s="53">
        <v>10985000000</v>
      </c>
      <c r="D17" s="54">
        <v>2.0788998448455662</v>
      </c>
      <c r="F17" s="53">
        <v>1501000</v>
      </c>
      <c r="G17" s="55">
        <v>5477</v>
      </c>
      <c r="H17" s="55">
        <v>10985000000</v>
      </c>
    </row>
    <row r="18" spans="1:8" x14ac:dyDescent="0.3">
      <c r="A18" s="53">
        <v>3001000</v>
      </c>
      <c r="B18" s="53">
        <v>1454</v>
      </c>
      <c r="C18" s="53">
        <v>5826000000</v>
      </c>
      <c r="D18" s="54">
        <v>2.0631955679428118</v>
      </c>
      <c r="F18" s="53">
        <v>3001000</v>
      </c>
      <c r="G18" s="55">
        <v>1454</v>
      </c>
      <c r="H18" s="55">
        <v>5826000000</v>
      </c>
    </row>
    <row r="19" spans="1:8" x14ac:dyDescent="0.3">
      <c r="A19" s="53">
        <v>6000000</v>
      </c>
      <c r="B19" s="53">
        <v>335</v>
      </c>
      <c r="C19" s="53">
        <v>2485000000</v>
      </c>
      <c r="D19" s="54">
        <v>2.0234082397003745</v>
      </c>
      <c r="F19" s="53">
        <v>6000000</v>
      </c>
      <c r="G19" s="55">
        <v>335</v>
      </c>
      <c r="H19" s="55">
        <v>2485000000</v>
      </c>
    </row>
    <row r="20" spans="1:8" x14ac:dyDescent="0.3">
      <c r="A20" s="53">
        <v>10000000</v>
      </c>
      <c r="B20" s="53">
        <v>199</v>
      </c>
      <c r="C20" s="53">
        <v>3998000000</v>
      </c>
      <c r="D20" s="54">
        <v>2.0090452261306533</v>
      </c>
      <c r="F20" s="53">
        <v>10000000</v>
      </c>
      <c r="G20" s="55">
        <v>199</v>
      </c>
      <c r="H20" s="55">
        <v>3998000000</v>
      </c>
    </row>
    <row r="21" spans="1:8" x14ac:dyDescent="0.3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3">
      <c r="A22" s="53">
        <v>221000</v>
      </c>
      <c r="B22" s="53"/>
      <c r="C22" s="53"/>
      <c r="D22" s="54"/>
      <c r="F22" s="53">
        <v>221000</v>
      </c>
      <c r="G22" s="2">
        <v>2876604.5135966367</v>
      </c>
      <c r="H22" s="2">
        <v>789776257307.05237</v>
      </c>
    </row>
    <row r="23" spans="1:8" x14ac:dyDescent="0.3">
      <c r="A23" s="53">
        <v>442000</v>
      </c>
      <c r="B23" s="53">
        <v>453071</v>
      </c>
      <c r="C23" s="53">
        <v>232529000000</v>
      </c>
      <c r="D23" s="54">
        <v>1.8680474656177994</v>
      </c>
      <c r="F23" s="53">
        <v>351000</v>
      </c>
      <c r="G23" s="2">
        <v>1249788.9295802731</v>
      </c>
      <c r="H23" s="2">
        <v>560839360273.83594</v>
      </c>
    </row>
    <row r="24" spans="1:8" x14ac:dyDescent="0.3">
      <c r="A24" s="53">
        <v>601000</v>
      </c>
      <c r="B24" s="53">
        <v>361290</v>
      </c>
      <c r="C24" s="53">
        <v>260688000000</v>
      </c>
      <c r="D24" s="54">
        <v>1.7749094627428847</v>
      </c>
      <c r="F24" s="53">
        <v>601000</v>
      </c>
      <c r="G24" s="55">
        <v>361290</v>
      </c>
      <c r="H24" s="55">
        <v>260688000000</v>
      </c>
    </row>
    <row r="25" spans="1:8" x14ac:dyDescent="0.3">
      <c r="A25" s="53">
        <v>901000</v>
      </c>
      <c r="B25" s="53">
        <v>157639</v>
      </c>
      <c r="C25" s="53">
        <v>175198000000</v>
      </c>
      <c r="D25" s="54">
        <v>1.7963771457428892</v>
      </c>
      <c r="F25" s="53">
        <v>901000</v>
      </c>
      <c r="G25" s="55">
        <v>157639</v>
      </c>
      <c r="H25" s="55">
        <v>175198000000</v>
      </c>
    </row>
    <row r="26" spans="1:8" x14ac:dyDescent="0.3">
      <c r="A26" s="53">
        <v>1501000</v>
      </c>
      <c r="B26" s="53">
        <v>53008</v>
      </c>
      <c r="C26" s="53">
        <v>105175000000</v>
      </c>
      <c r="D26" s="54">
        <v>1.8574914595528389</v>
      </c>
      <c r="F26" s="53">
        <v>1501000</v>
      </c>
      <c r="G26" s="55">
        <v>53008</v>
      </c>
      <c r="H26" s="55">
        <v>105175000000</v>
      </c>
    </row>
    <row r="27" spans="1:8" x14ac:dyDescent="0.3">
      <c r="A27" s="53">
        <v>3001000</v>
      </c>
      <c r="B27" s="53">
        <v>11846</v>
      </c>
      <c r="C27" s="53">
        <v>47330000000</v>
      </c>
      <c r="D27" s="54">
        <v>1.8543032784571767</v>
      </c>
      <c r="F27" s="53">
        <v>3001000</v>
      </c>
      <c r="G27" s="55">
        <v>11846</v>
      </c>
      <c r="H27" s="55">
        <v>47330000000</v>
      </c>
    </row>
    <row r="28" spans="1:8" x14ac:dyDescent="0.3">
      <c r="A28" s="53">
        <v>6000000</v>
      </c>
      <c r="B28" s="53">
        <v>2313</v>
      </c>
      <c r="C28" s="53">
        <v>17281000000</v>
      </c>
      <c r="D28" s="54">
        <v>1.812202550923282</v>
      </c>
      <c r="F28" s="53">
        <v>6000000</v>
      </c>
      <c r="G28" s="55">
        <v>2313</v>
      </c>
      <c r="H28" s="55">
        <v>17281000000</v>
      </c>
    </row>
    <row r="29" spans="1:8" x14ac:dyDescent="0.3">
      <c r="A29" s="53">
        <v>10000000</v>
      </c>
      <c r="B29" s="53">
        <v>1189</v>
      </c>
      <c r="C29" s="53">
        <v>20797000000</v>
      </c>
      <c r="D29" s="54">
        <v>1.7491169049621529</v>
      </c>
      <c r="F29" s="53">
        <v>10000000</v>
      </c>
      <c r="G29" s="55">
        <v>1189</v>
      </c>
      <c r="H29" s="55">
        <v>20797000000</v>
      </c>
    </row>
    <row r="30" spans="1:8" x14ac:dyDescent="0.3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3">
      <c r="A31" s="53">
        <v>221000</v>
      </c>
      <c r="B31" s="53"/>
      <c r="C31" s="53"/>
      <c r="D31" s="54"/>
      <c r="F31" s="53">
        <v>221000</v>
      </c>
      <c r="G31" s="2">
        <v>28050.257968393671</v>
      </c>
      <c r="H31" s="2">
        <v>7701242089.4371424</v>
      </c>
    </row>
    <row r="32" spans="1:8" x14ac:dyDescent="0.3">
      <c r="A32" s="53">
        <v>442000</v>
      </c>
      <c r="B32" s="53">
        <v>9529</v>
      </c>
      <c r="C32" s="53">
        <v>4836000000</v>
      </c>
      <c r="D32" s="54">
        <v>1.5697603298364737</v>
      </c>
      <c r="F32" s="53">
        <v>351000</v>
      </c>
      <c r="G32" s="2">
        <v>12186.903592436276</v>
      </c>
      <c r="H32" s="2">
        <v>5468839619.8198795</v>
      </c>
    </row>
    <row r="33" spans="1:8" x14ac:dyDescent="0.3">
      <c r="A33" s="53">
        <v>601000</v>
      </c>
      <c r="B33" s="53">
        <v>3523</v>
      </c>
      <c r="C33" s="53">
        <v>2506000000</v>
      </c>
      <c r="D33" s="54">
        <v>1.6926910847864236</v>
      </c>
      <c r="F33" s="53">
        <v>601000</v>
      </c>
      <c r="G33" s="55">
        <v>3523</v>
      </c>
      <c r="H33" s="55">
        <v>2506000000</v>
      </c>
    </row>
    <row r="34" spans="1:8" x14ac:dyDescent="0.3">
      <c r="A34" s="53">
        <v>901000</v>
      </c>
      <c r="B34" s="53">
        <v>1379</v>
      </c>
      <c r="C34" s="53">
        <v>1546000000</v>
      </c>
      <c r="D34" s="54">
        <v>1.737642023161786</v>
      </c>
      <c r="F34" s="53">
        <v>901000</v>
      </c>
      <c r="G34" s="55">
        <v>1379</v>
      </c>
      <c r="H34" s="55">
        <v>1546000000</v>
      </c>
    </row>
    <row r="35" spans="1:8" x14ac:dyDescent="0.3">
      <c r="A35" s="53">
        <v>1501000</v>
      </c>
      <c r="B35" s="53">
        <v>461</v>
      </c>
      <c r="C35" s="53">
        <v>916000000</v>
      </c>
      <c r="D35" s="54">
        <v>1.738761325499071</v>
      </c>
      <c r="F35" s="53">
        <v>1501000</v>
      </c>
      <c r="G35" s="55">
        <v>461</v>
      </c>
      <c r="H35" s="55">
        <v>916000000</v>
      </c>
    </row>
    <row r="36" spans="1:8" x14ac:dyDescent="0.3">
      <c r="A36" s="53">
        <v>3001000</v>
      </c>
      <c r="B36" s="53">
        <v>106</v>
      </c>
      <c r="C36" s="53">
        <v>421000000</v>
      </c>
      <c r="D36" s="54">
        <v>1.6290866007627087</v>
      </c>
      <c r="F36" s="53">
        <v>3001000</v>
      </c>
      <c r="G36" s="55">
        <v>106</v>
      </c>
      <c r="H36" s="55">
        <v>421000000</v>
      </c>
    </row>
    <row r="37" spans="1:8" x14ac:dyDescent="0.3">
      <c r="A37" s="53">
        <v>6000000</v>
      </c>
      <c r="B37" s="53">
        <v>15</v>
      </c>
      <c r="C37" s="53">
        <v>113000000</v>
      </c>
      <c r="D37" s="54">
        <v>1.625</v>
      </c>
      <c r="F37" s="53">
        <v>6000000</v>
      </c>
      <c r="G37" s="55">
        <v>15</v>
      </c>
      <c r="H37" s="55">
        <v>113000000</v>
      </c>
    </row>
    <row r="38" spans="1:8" x14ac:dyDescent="0.3">
      <c r="A38" s="53">
        <v>10000000</v>
      </c>
      <c r="B38" s="53">
        <v>5</v>
      </c>
      <c r="C38" s="53">
        <v>82000000</v>
      </c>
      <c r="D38" s="54">
        <v>1.64</v>
      </c>
      <c r="F38" s="53">
        <v>10000000</v>
      </c>
      <c r="G38" s="55">
        <v>5</v>
      </c>
      <c r="H38" s="55">
        <v>82000000</v>
      </c>
    </row>
    <row r="39" spans="1:8" x14ac:dyDescent="0.3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3">
      <c r="A40" s="53">
        <v>221000</v>
      </c>
      <c r="B40" s="53"/>
      <c r="C40" s="53"/>
      <c r="D40" s="54"/>
      <c r="F40" s="53">
        <v>221000</v>
      </c>
      <c r="G40" s="2">
        <v>1999291.4920912739</v>
      </c>
      <c r="H40" s="2">
        <v>548908598462.65546</v>
      </c>
    </row>
    <row r="41" spans="1:8" x14ac:dyDescent="0.3">
      <c r="A41" s="53">
        <v>552500</v>
      </c>
      <c r="B41" s="53">
        <v>77937</v>
      </c>
      <c r="C41" s="53">
        <v>44837000000</v>
      </c>
      <c r="D41" s="54">
        <v>1.7179870315126504</v>
      </c>
      <c r="F41" s="53">
        <v>351000</v>
      </c>
      <c r="G41" s="2">
        <v>868625.61815825326</v>
      </c>
      <c r="H41" s="2">
        <v>389793367884.08484</v>
      </c>
    </row>
    <row r="42" spans="1:8" x14ac:dyDescent="0.3">
      <c r="A42" s="53">
        <v>601000</v>
      </c>
      <c r="B42" s="53">
        <v>251103</v>
      </c>
      <c r="C42" s="53">
        <v>181001000000</v>
      </c>
      <c r="D42" s="54">
        <v>1.7007347872615615</v>
      </c>
      <c r="F42" s="53">
        <v>601000</v>
      </c>
      <c r="G42" s="55">
        <v>251103</v>
      </c>
      <c r="H42" s="55">
        <v>181001000000</v>
      </c>
    </row>
    <row r="43" spans="1:8" x14ac:dyDescent="0.3">
      <c r="A43" s="53">
        <v>901000</v>
      </c>
      <c r="B43" s="53">
        <v>106607</v>
      </c>
      <c r="C43" s="53">
        <v>118303000000</v>
      </c>
      <c r="D43" s="54">
        <v>1.7006065904895602</v>
      </c>
      <c r="F43" s="53">
        <v>901000</v>
      </c>
      <c r="G43" s="55">
        <v>106607</v>
      </c>
      <c r="H43" s="55">
        <v>118303000000</v>
      </c>
    </row>
    <row r="44" spans="1:8" x14ac:dyDescent="0.3">
      <c r="A44" s="53">
        <v>1501000</v>
      </c>
      <c r="B44" s="53">
        <v>33424</v>
      </c>
      <c r="C44" s="53">
        <v>66161000000</v>
      </c>
      <c r="D44" s="54">
        <v>1.7401568014318187</v>
      </c>
      <c r="F44" s="53">
        <v>1501000</v>
      </c>
      <c r="G44" s="55">
        <v>33424</v>
      </c>
      <c r="H44" s="55">
        <v>66161000000</v>
      </c>
    </row>
    <row r="45" spans="1:8" x14ac:dyDescent="0.3">
      <c r="A45" s="53">
        <v>3001000</v>
      </c>
      <c r="B45" s="53">
        <v>6705</v>
      </c>
      <c r="C45" s="53">
        <v>26378000000</v>
      </c>
      <c r="D45" s="54">
        <v>1.7196598521810793</v>
      </c>
      <c r="F45" s="53">
        <v>3001000</v>
      </c>
      <c r="G45" s="55">
        <v>6705</v>
      </c>
      <c r="H45" s="55">
        <v>26378000000</v>
      </c>
    </row>
    <row r="46" spans="1:8" x14ac:dyDescent="0.3">
      <c r="A46" s="53">
        <v>6000000</v>
      </c>
      <c r="B46" s="53">
        <v>1116</v>
      </c>
      <c r="C46" s="53">
        <v>8332000000</v>
      </c>
      <c r="D46" s="54">
        <v>1.7222222222222223</v>
      </c>
      <c r="F46" s="53">
        <v>6000000</v>
      </c>
      <c r="G46" s="55">
        <v>1116</v>
      </c>
      <c r="H46" s="55">
        <v>8332000000</v>
      </c>
    </row>
    <row r="47" spans="1:8" x14ac:dyDescent="0.3">
      <c r="A47" s="53">
        <v>10000000</v>
      </c>
      <c r="B47" s="53">
        <v>474</v>
      </c>
      <c r="C47" s="53">
        <v>8098000000</v>
      </c>
      <c r="D47" s="54">
        <v>1.7084388185654007</v>
      </c>
      <c r="F47" s="53">
        <v>10000000</v>
      </c>
      <c r="G47" s="55">
        <v>474</v>
      </c>
      <c r="H47" s="55">
        <v>8098000000</v>
      </c>
    </row>
    <row r="48" spans="1:8" x14ac:dyDescent="0.3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3">
      <c r="A49" s="53">
        <v>221000</v>
      </c>
      <c r="B49" s="53"/>
      <c r="C49" s="53"/>
      <c r="D49" s="54"/>
      <c r="F49" s="53">
        <v>221000</v>
      </c>
      <c r="G49" s="2">
        <v>1452523.0486314534</v>
      </c>
      <c r="H49" s="2">
        <v>398792469238.69537</v>
      </c>
    </row>
    <row r="50" spans="1:8" x14ac:dyDescent="0.3">
      <c r="A50" s="53">
        <v>351000</v>
      </c>
      <c r="B50" s="53"/>
      <c r="C50" s="53"/>
      <c r="D50" s="54"/>
      <c r="F50" s="53">
        <v>351000</v>
      </c>
      <c r="G50" s="2">
        <v>631072.92558268248</v>
      </c>
      <c r="H50" s="2">
        <v>283192247501.17853</v>
      </c>
    </row>
    <row r="51" spans="1:8" x14ac:dyDescent="0.3">
      <c r="A51" s="53">
        <v>663000</v>
      </c>
      <c r="B51" s="53">
        <v>106679</v>
      </c>
      <c r="C51" s="53">
        <v>81575000000</v>
      </c>
      <c r="D51" s="54">
        <v>1.8154462842785934</v>
      </c>
      <c r="F51" s="53">
        <v>601000</v>
      </c>
      <c r="G51" s="2">
        <v>182431.07446978154</v>
      </c>
      <c r="H51" s="2">
        <v>131500646786.79637</v>
      </c>
    </row>
    <row r="52" spans="1:8" x14ac:dyDescent="0.3">
      <c r="A52" s="53">
        <v>901000</v>
      </c>
      <c r="B52" s="53">
        <v>77452</v>
      </c>
      <c r="C52" s="53">
        <v>86739000000</v>
      </c>
      <c r="D52" s="54">
        <v>1.7901256668218108</v>
      </c>
      <c r="F52" s="53">
        <v>901000</v>
      </c>
      <c r="G52" s="55">
        <v>77452</v>
      </c>
      <c r="H52" s="55">
        <v>86739000000</v>
      </c>
    </row>
    <row r="53" spans="1:8" x14ac:dyDescent="0.3">
      <c r="A53" s="53">
        <v>1501000</v>
      </c>
      <c r="B53" s="53">
        <v>29338</v>
      </c>
      <c r="C53" s="53">
        <v>58623000000</v>
      </c>
      <c r="D53" s="54">
        <v>1.7626630620116044</v>
      </c>
      <c r="F53" s="53">
        <v>1501000</v>
      </c>
      <c r="G53" s="55">
        <v>29338</v>
      </c>
      <c r="H53" s="55">
        <v>58623000000</v>
      </c>
    </row>
    <row r="54" spans="1:8" x14ac:dyDescent="0.3">
      <c r="A54" s="53">
        <v>3001000</v>
      </c>
      <c r="B54" s="53">
        <v>6201</v>
      </c>
      <c r="C54" s="53">
        <v>24544000000</v>
      </c>
      <c r="D54" s="54">
        <v>1.7112192236100394</v>
      </c>
      <c r="F54" s="53">
        <v>3001000</v>
      </c>
      <c r="G54" s="55">
        <v>6201</v>
      </c>
      <c r="H54" s="55">
        <v>24544000000</v>
      </c>
    </row>
    <row r="55" spans="1:8" x14ac:dyDescent="0.3">
      <c r="A55" s="53">
        <v>6000000</v>
      </c>
      <c r="B55" s="53">
        <v>998</v>
      </c>
      <c r="C55" s="53">
        <v>7412000000</v>
      </c>
      <c r="D55" s="54">
        <v>1.7067599067599069</v>
      </c>
      <c r="F55" s="53">
        <v>6000000</v>
      </c>
      <c r="G55" s="55">
        <v>998</v>
      </c>
      <c r="H55" s="55">
        <v>7412000000</v>
      </c>
    </row>
    <row r="56" spans="1:8" x14ac:dyDescent="0.3">
      <c r="A56" s="53">
        <v>10000000</v>
      </c>
      <c r="B56" s="53">
        <v>432</v>
      </c>
      <c r="C56" s="53">
        <v>7232000000</v>
      </c>
      <c r="D56" s="54">
        <v>1.674074074074074</v>
      </c>
      <c r="F56" s="53">
        <v>10000000</v>
      </c>
      <c r="G56" s="55">
        <v>432</v>
      </c>
      <c r="H56" s="55">
        <v>7232000000</v>
      </c>
    </row>
    <row r="57" spans="1:8" x14ac:dyDescent="0.3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3">
      <c r="A58" s="53">
        <v>221000</v>
      </c>
      <c r="B58" s="53"/>
      <c r="C58" s="53"/>
      <c r="D58" s="54"/>
      <c r="F58" s="53">
        <v>221000</v>
      </c>
      <c r="G58" s="2">
        <v>716865.84638146602</v>
      </c>
      <c r="H58" s="2">
        <v>196816636583.29196</v>
      </c>
    </row>
    <row r="59" spans="1:8" x14ac:dyDescent="0.3">
      <c r="A59" s="53">
        <v>351000</v>
      </c>
      <c r="B59" s="53"/>
      <c r="C59" s="53"/>
      <c r="D59" s="54"/>
      <c r="F59" s="53">
        <v>351000</v>
      </c>
      <c r="G59" s="2">
        <v>311454.35341111961</v>
      </c>
      <c r="H59" s="2">
        <v>139764288342.8775</v>
      </c>
    </row>
    <row r="60" spans="1:8" x14ac:dyDescent="0.3">
      <c r="A60" s="53">
        <v>773500</v>
      </c>
      <c r="B60" s="53">
        <v>21075</v>
      </c>
      <c r="C60" s="53">
        <v>17526000000</v>
      </c>
      <c r="D60" s="54">
        <v>1.9326722559678975</v>
      </c>
      <c r="F60" s="53">
        <v>601000</v>
      </c>
      <c r="G60" s="2">
        <v>90035.477735983557</v>
      </c>
      <c r="H60" s="2">
        <v>64899708508.822113</v>
      </c>
    </row>
    <row r="61" spans="1:8" x14ac:dyDescent="0.3">
      <c r="A61" s="53">
        <v>901000</v>
      </c>
      <c r="B61" s="53">
        <v>38225</v>
      </c>
      <c r="C61" s="53">
        <v>43118000000</v>
      </c>
      <c r="D61" s="54">
        <v>1.9158351119414678</v>
      </c>
      <c r="F61" s="53">
        <v>901000</v>
      </c>
      <c r="G61" s="55">
        <v>38225</v>
      </c>
      <c r="H61" s="55">
        <v>43118000000</v>
      </c>
    </row>
    <row r="62" spans="1:8" x14ac:dyDescent="0.3">
      <c r="A62" s="53">
        <v>1501000</v>
      </c>
      <c r="B62" s="53">
        <v>16987</v>
      </c>
      <c r="C62" s="53">
        <v>34140000000</v>
      </c>
      <c r="D62" s="54">
        <v>1.8353189529816183</v>
      </c>
      <c r="F62" s="53">
        <v>1501000</v>
      </c>
      <c r="G62" s="55">
        <v>16987</v>
      </c>
      <c r="H62" s="55">
        <v>34140000000</v>
      </c>
    </row>
    <row r="63" spans="1:8" x14ac:dyDescent="0.3">
      <c r="A63" s="53">
        <v>3001000</v>
      </c>
      <c r="B63" s="53">
        <v>4193</v>
      </c>
      <c r="C63" s="53">
        <v>16602000000</v>
      </c>
      <c r="D63" s="54">
        <v>1.7226338279023066</v>
      </c>
      <c r="F63" s="53">
        <v>3001000</v>
      </c>
      <c r="G63" s="55">
        <v>4193</v>
      </c>
      <c r="H63" s="55">
        <v>16602000000</v>
      </c>
    </row>
    <row r="64" spans="1:8" x14ac:dyDescent="0.3">
      <c r="A64" s="53">
        <v>6000000</v>
      </c>
      <c r="B64" s="53">
        <v>769</v>
      </c>
      <c r="C64" s="53">
        <v>5780000000</v>
      </c>
      <c r="D64" s="54">
        <v>1.6685750636132317</v>
      </c>
      <c r="F64" s="53">
        <v>6000000</v>
      </c>
      <c r="G64" s="55">
        <v>769</v>
      </c>
      <c r="H64" s="55">
        <v>5780000000</v>
      </c>
    </row>
    <row r="65" spans="1:8" x14ac:dyDescent="0.3">
      <c r="A65" s="53">
        <v>10000000</v>
      </c>
      <c r="B65" s="53">
        <v>279</v>
      </c>
      <c r="C65" s="53">
        <v>4712000000</v>
      </c>
      <c r="D65" s="54">
        <v>1.6888888888888889</v>
      </c>
      <c r="F65" s="53">
        <v>10000000</v>
      </c>
      <c r="G65" s="55">
        <v>279</v>
      </c>
      <c r="H65" s="55">
        <v>4712000000</v>
      </c>
    </row>
    <row r="66" spans="1:8" x14ac:dyDescent="0.3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3">
      <c r="A67" s="53">
        <v>221000</v>
      </c>
      <c r="B67" s="53"/>
      <c r="C67" s="53"/>
      <c r="D67" s="54"/>
      <c r="F67" s="53">
        <v>221000</v>
      </c>
      <c r="G67" s="2">
        <v>308575.81782500044</v>
      </c>
      <c r="H67" s="2">
        <v>84719972226.068954</v>
      </c>
    </row>
    <row r="68" spans="1:8" x14ac:dyDescent="0.3">
      <c r="A68" s="53">
        <v>351000</v>
      </c>
      <c r="B68" s="53"/>
      <c r="C68" s="53"/>
      <c r="D68" s="54"/>
      <c r="F68" s="53">
        <v>351000</v>
      </c>
      <c r="G68" s="2">
        <v>134065.92363705853</v>
      </c>
      <c r="H68" s="2">
        <v>60161716164.648956</v>
      </c>
    </row>
    <row r="69" spans="1:8" x14ac:dyDescent="0.3">
      <c r="A69" s="53">
        <v>884000</v>
      </c>
      <c r="B69" s="53">
        <v>1090</v>
      </c>
      <c r="C69" s="53">
        <v>971000000</v>
      </c>
      <c r="D69" s="54">
        <v>2.0214980125374131</v>
      </c>
      <c r="F69" s="53">
        <v>601000</v>
      </c>
      <c r="G69" s="2">
        <v>38755.886217602965</v>
      </c>
      <c r="H69" s="2">
        <v>27936162297.034901</v>
      </c>
    </row>
    <row r="70" spans="1:8" x14ac:dyDescent="0.3">
      <c r="A70" s="53">
        <v>901000</v>
      </c>
      <c r="B70" s="53">
        <v>16454</v>
      </c>
      <c r="C70" s="53">
        <v>18615000000</v>
      </c>
      <c r="D70" s="54">
        <v>2.0228857335628545</v>
      </c>
      <c r="F70" s="53">
        <v>901000</v>
      </c>
      <c r="G70" s="55">
        <v>16454</v>
      </c>
      <c r="H70" s="55">
        <v>18615000000</v>
      </c>
    </row>
    <row r="71" spans="1:8" x14ac:dyDescent="0.3">
      <c r="A71" s="53">
        <v>1501000</v>
      </c>
      <c r="B71" s="53">
        <v>8107</v>
      </c>
      <c r="C71" s="53">
        <v>16390000000</v>
      </c>
      <c r="D71" s="54">
        <v>1.9048633272402076</v>
      </c>
      <c r="F71" s="53">
        <v>1501000</v>
      </c>
      <c r="G71" s="55">
        <v>8107</v>
      </c>
      <c r="H71" s="55">
        <v>16390000000</v>
      </c>
    </row>
    <row r="72" spans="1:8" x14ac:dyDescent="0.3">
      <c r="A72" s="53">
        <v>3001000</v>
      </c>
      <c r="B72" s="53">
        <v>2274</v>
      </c>
      <c r="C72" s="53">
        <v>9075000000</v>
      </c>
      <c r="D72" s="54">
        <v>1.7421501509266626</v>
      </c>
      <c r="F72" s="53">
        <v>3001000</v>
      </c>
      <c r="G72" s="55">
        <v>2274</v>
      </c>
      <c r="H72" s="55">
        <v>9075000000</v>
      </c>
    </row>
    <row r="73" spans="1:8" x14ac:dyDescent="0.3">
      <c r="A73" s="53">
        <v>6000000</v>
      </c>
      <c r="B73" s="53">
        <v>420</v>
      </c>
      <c r="C73" s="53">
        <v>3133000000</v>
      </c>
      <c r="D73" s="54">
        <v>1.6635698198198199</v>
      </c>
      <c r="F73" s="53">
        <v>6000000</v>
      </c>
      <c r="G73" s="55">
        <v>420</v>
      </c>
      <c r="H73" s="55">
        <v>3133000000</v>
      </c>
    </row>
    <row r="74" spans="1:8" x14ac:dyDescent="0.3">
      <c r="A74" s="53">
        <v>10000000</v>
      </c>
      <c r="B74" s="53">
        <v>172</v>
      </c>
      <c r="C74" s="53">
        <v>2776000000</v>
      </c>
      <c r="D74" s="54">
        <v>1.613953488372093</v>
      </c>
      <c r="F74" s="53">
        <v>10000000</v>
      </c>
      <c r="G74" s="55">
        <v>172</v>
      </c>
      <c r="H74" s="55">
        <v>2776000000</v>
      </c>
    </row>
    <row r="75" spans="1:8" x14ac:dyDescent="0.3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3">
      <c r="A76" s="53">
        <v>221000</v>
      </c>
      <c r="B76" s="53"/>
      <c r="C76" s="53"/>
      <c r="D76" s="54"/>
      <c r="F76" s="53">
        <v>221000</v>
      </c>
      <c r="G76" s="2">
        <v>147798.18682798531</v>
      </c>
      <c r="H76" s="2">
        <v>40578222789.419739</v>
      </c>
    </row>
    <row r="77" spans="1:8" x14ac:dyDescent="0.3">
      <c r="A77" s="53">
        <v>351000</v>
      </c>
      <c r="B77" s="53"/>
      <c r="C77" s="53"/>
      <c r="D77" s="54"/>
      <c r="F77" s="53">
        <v>351000</v>
      </c>
      <c r="G77" s="2">
        <v>64213.393546650834</v>
      </c>
      <c r="H77" s="2">
        <v>28815584540.191429</v>
      </c>
    </row>
    <row r="78" spans="1:8" x14ac:dyDescent="0.3">
      <c r="A78" s="53">
        <v>601000</v>
      </c>
      <c r="B78" s="53"/>
      <c r="C78" s="53"/>
      <c r="D78" s="54"/>
      <c r="F78" s="53">
        <v>601000</v>
      </c>
      <c r="G78" s="2">
        <v>18562.860020100201</v>
      </c>
      <c r="H78" s="2">
        <v>13380549919.746704</v>
      </c>
    </row>
    <row r="79" spans="1:8" x14ac:dyDescent="0.3">
      <c r="A79" s="53">
        <v>994500</v>
      </c>
      <c r="B79" s="53">
        <v>5075</v>
      </c>
      <c r="C79" s="53">
        <v>6114000000</v>
      </c>
      <c r="D79" s="54">
        <v>2.1093595841304991</v>
      </c>
      <c r="F79" s="53">
        <v>901000</v>
      </c>
      <c r="G79" s="2">
        <v>7880.9525101763911</v>
      </c>
      <c r="H79" s="2">
        <v>8916004070.5563107</v>
      </c>
    </row>
    <row r="80" spans="1:8" x14ac:dyDescent="0.3">
      <c r="A80" s="53">
        <v>1501000</v>
      </c>
      <c r="B80" s="53">
        <v>3883</v>
      </c>
      <c r="C80" s="53">
        <v>7933000000</v>
      </c>
      <c r="D80" s="54">
        <v>1.9653439013579765</v>
      </c>
      <c r="F80" s="53">
        <v>1501000</v>
      </c>
      <c r="G80" s="55">
        <v>3883</v>
      </c>
      <c r="H80" s="55">
        <v>7933000000</v>
      </c>
    </row>
    <row r="81" spans="1:8" x14ac:dyDescent="0.3">
      <c r="A81" s="53">
        <v>3001000</v>
      </c>
      <c r="B81" s="53">
        <v>1117</v>
      </c>
      <c r="C81" s="53">
        <v>4469000000</v>
      </c>
      <c r="D81" s="54">
        <v>1.8007934637350849</v>
      </c>
      <c r="F81" s="53">
        <v>3001000</v>
      </c>
      <c r="G81" s="55">
        <v>1117</v>
      </c>
      <c r="H81" s="55">
        <v>4469000000</v>
      </c>
    </row>
    <row r="82" spans="1:8" x14ac:dyDescent="0.3">
      <c r="A82" s="53">
        <v>6000000</v>
      </c>
      <c r="B82" s="53">
        <v>230</v>
      </c>
      <c r="C82" s="53">
        <v>1705000000</v>
      </c>
      <c r="D82" s="54">
        <v>1.7222222222222223</v>
      </c>
      <c r="F82" s="53">
        <v>6000000</v>
      </c>
      <c r="G82" s="55">
        <v>230</v>
      </c>
      <c r="H82" s="55">
        <v>1705000000</v>
      </c>
    </row>
    <row r="83" spans="1:8" x14ac:dyDescent="0.3">
      <c r="A83" s="53">
        <v>10000000</v>
      </c>
      <c r="B83" s="53">
        <v>88</v>
      </c>
      <c r="C83" s="53">
        <v>1581000000</v>
      </c>
      <c r="D83" s="54">
        <v>1.7965909090909089</v>
      </c>
      <c r="F83" s="53">
        <v>10000000</v>
      </c>
      <c r="G83" s="55">
        <v>88</v>
      </c>
      <c r="H83" s="55">
        <v>1581000000</v>
      </c>
    </row>
    <row r="84" spans="1:8" x14ac:dyDescent="0.3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3">
      <c r="A85" s="53">
        <v>221000</v>
      </c>
      <c r="B85" s="53"/>
      <c r="C85" s="53"/>
      <c r="D85" s="54"/>
      <c r="F85" s="53">
        <v>221000</v>
      </c>
      <c r="G85" s="2">
        <v>70073.773358310835</v>
      </c>
      <c r="H85" s="2">
        <v>19238863805.130505</v>
      </c>
    </row>
    <row r="86" spans="1:8" x14ac:dyDescent="0.3">
      <c r="A86" s="53">
        <v>351000</v>
      </c>
      <c r="B86" s="53"/>
      <c r="C86" s="53"/>
      <c r="D86" s="54"/>
      <c r="F86" s="53">
        <v>351000</v>
      </c>
      <c r="G86" s="2">
        <v>30444.722513361881</v>
      </c>
      <c r="H86" s="2">
        <v>13661985871.360397</v>
      </c>
    </row>
    <row r="87" spans="1:8" x14ac:dyDescent="0.3">
      <c r="A87" s="53">
        <v>601000</v>
      </c>
      <c r="B87" s="53"/>
      <c r="C87" s="53"/>
      <c r="D87" s="54"/>
      <c r="F87" s="53">
        <v>601000</v>
      </c>
      <c r="G87" s="2">
        <v>8800.9851395839487</v>
      </c>
      <c r="H87" s="2">
        <v>6343958898.3398619</v>
      </c>
    </row>
    <row r="88" spans="1:8" x14ac:dyDescent="0.3">
      <c r="A88" s="53">
        <v>1105000</v>
      </c>
      <c r="B88" s="53">
        <v>1448</v>
      </c>
      <c r="C88" s="53">
        <v>1850000000</v>
      </c>
      <c r="D88" s="54">
        <v>2.1675865082974792</v>
      </c>
      <c r="F88" s="53">
        <v>901000</v>
      </c>
      <c r="G88" s="2">
        <v>3736.5010484766253</v>
      </c>
      <c r="H88" s="2">
        <v>4227237572.4682384</v>
      </c>
    </row>
    <row r="89" spans="1:8" x14ac:dyDescent="0.3">
      <c r="A89" s="53">
        <v>1501000</v>
      </c>
      <c r="B89" s="53">
        <v>1841</v>
      </c>
      <c r="C89" s="53">
        <v>3747000000</v>
      </c>
      <c r="D89" s="54">
        <v>2.0070557057091025</v>
      </c>
      <c r="F89" s="53">
        <v>1501000</v>
      </c>
      <c r="G89" s="55">
        <v>1841</v>
      </c>
      <c r="H89" s="55">
        <v>3747000000</v>
      </c>
    </row>
    <row r="90" spans="1:8" x14ac:dyDescent="0.3">
      <c r="A90" s="53">
        <v>3001000</v>
      </c>
      <c r="B90" s="53">
        <v>600</v>
      </c>
      <c r="C90" s="53">
        <v>2408000000</v>
      </c>
      <c r="D90" s="54">
        <v>1.7724860943787968</v>
      </c>
      <c r="F90" s="53">
        <v>3001000</v>
      </c>
      <c r="G90" s="55">
        <v>600</v>
      </c>
      <c r="H90" s="55">
        <v>2408000000</v>
      </c>
    </row>
    <row r="91" spans="1:8" x14ac:dyDescent="0.3">
      <c r="A91" s="53">
        <v>6000000</v>
      </c>
      <c r="B91" s="53">
        <v>130</v>
      </c>
      <c r="C91" s="53">
        <v>960000000</v>
      </c>
      <c r="D91" s="54">
        <v>1.6120370370370369</v>
      </c>
      <c r="F91" s="53">
        <v>6000000</v>
      </c>
      <c r="G91" s="55">
        <v>130</v>
      </c>
      <c r="H91" s="55">
        <v>960000000</v>
      </c>
    </row>
    <row r="92" spans="1:8" x14ac:dyDescent="0.3">
      <c r="A92" s="53">
        <v>10000000</v>
      </c>
      <c r="B92" s="53">
        <v>50</v>
      </c>
      <c r="C92" s="53">
        <v>781000000</v>
      </c>
      <c r="D92" s="54">
        <v>1.5620000000000001</v>
      </c>
      <c r="F92" s="53">
        <v>10000000</v>
      </c>
      <c r="G92" s="55">
        <v>50</v>
      </c>
      <c r="H92" s="55">
        <v>781000000</v>
      </c>
    </row>
    <row r="93" spans="1:8" x14ac:dyDescent="0.3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3">
      <c r="A94" s="53">
        <v>221000</v>
      </c>
      <c r="B94" s="53"/>
      <c r="C94" s="53"/>
      <c r="D94" s="54"/>
      <c r="F94" s="53">
        <v>221000</v>
      </c>
      <c r="G94" s="2">
        <v>31325.755281852158</v>
      </c>
      <c r="H94" s="2">
        <v>8600534987.3016872</v>
      </c>
    </row>
    <row r="95" spans="1:8" x14ac:dyDescent="0.3">
      <c r="A95" s="53">
        <v>351000</v>
      </c>
      <c r="B95" s="53"/>
      <c r="C95" s="53"/>
      <c r="D95" s="54"/>
      <c r="F95" s="53">
        <v>351000</v>
      </c>
      <c r="G95" s="2">
        <v>13609.998168656615</v>
      </c>
      <c r="H95" s="2">
        <v>6107449414.5190697</v>
      </c>
    </row>
    <row r="96" spans="1:8" x14ac:dyDescent="0.3">
      <c r="A96" s="53">
        <v>601000</v>
      </c>
      <c r="B96" s="53"/>
      <c r="C96" s="53"/>
      <c r="D96" s="54"/>
      <c r="F96" s="53">
        <v>601000</v>
      </c>
      <c r="G96" s="2">
        <v>3934.3893372501843</v>
      </c>
      <c r="H96" s="2">
        <v>2836001180.5180368</v>
      </c>
    </row>
    <row r="97" spans="1:8" x14ac:dyDescent="0.3">
      <c r="A97" s="53">
        <v>1215500</v>
      </c>
      <c r="B97" s="53">
        <v>397</v>
      </c>
      <c r="C97" s="53">
        <v>538000000</v>
      </c>
      <c r="D97" s="54">
        <v>2.1854913283064805</v>
      </c>
      <c r="F97" s="53">
        <v>901000</v>
      </c>
      <c r="G97" s="2">
        <v>1670.3641297644012</v>
      </c>
      <c r="H97" s="2">
        <v>1889742814.8513634</v>
      </c>
    </row>
    <row r="98" spans="1:8" x14ac:dyDescent="0.3">
      <c r="A98" s="53">
        <v>1501000</v>
      </c>
      <c r="B98" s="53">
        <v>823</v>
      </c>
      <c r="C98" s="53">
        <v>1707000000</v>
      </c>
      <c r="D98" s="54">
        <v>2.0556616740556128</v>
      </c>
      <c r="F98" s="53">
        <v>1501000</v>
      </c>
      <c r="G98" s="55">
        <v>823</v>
      </c>
      <c r="H98" s="55">
        <v>1707000000</v>
      </c>
    </row>
    <row r="99" spans="1:8" x14ac:dyDescent="0.3">
      <c r="A99" s="53">
        <v>3001000</v>
      </c>
      <c r="B99" s="53">
        <v>300</v>
      </c>
      <c r="C99" s="53">
        <v>1201000000</v>
      </c>
      <c r="D99" s="54">
        <v>1.7561950041149887</v>
      </c>
      <c r="F99" s="53">
        <v>3001000</v>
      </c>
      <c r="G99" s="55">
        <v>300</v>
      </c>
      <c r="H99" s="55">
        <v>1201000000</v>
      </c>
    </row>
    <row r="100" spans="1:8" x14ac:dyDescent="0.3">
      <c r="A100" s="53">
        <v>6000000</v>
      </c>
      <c r="B100" s="53">
        <v>58</v>
      </c>
      <c r="C100" s="53">
        <v>439000000</v>
      </c>
      <c r="D100" s="54">
        <v>1.6604938271604939</v>
      </c>
      <c r="F100" s="53">
        <v>6000000</v>
      </c>
      <c r="G100" s="55">
        <v>58</v>
      </c>
      <c r="H100" s="55">
        <v>439000000</v>
      </c>
    </row>
    <row r="101" spans="1:8" x14ac:dyDescent="0.3">
      <c r="A101" s="53">
        <v>10000000</v>
      </c>
      <c r="B101" s="53">
        <v>23</v>
      </c>
      <c r="C101" s="53">
        <v>368000000</v>
      </c>
      <c r="D101" s="54">
        <v>1.6</v>
      </c>
      <c r="F101" s="53">
        <v>10000000</v>
      </c>
      <c r="G101" s="55">
        <v>23</v>
      </c>
      <c r="H101" s="55">
        <v>368000000</v>
      </c>
    </row>
    <row r="102" spans="1:8" x14ac:dyDescent="0.3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3">
      <c r="A103" s="53">
        <v>221000</v>
      </c>
      <c r="B103" s="53"/>
      <c r="C103" s="53"/>
      <c r="D103" s="54"/>
      <c r="F103" s="53">
        <v>221000</v>
      </c>
      <c r="G103" s="2">
        <v>15263.217336601114</v>
      </c>
      <c r="H103" s="2">
        <v>4190540133.545537</v>
      </c>
    </row>
    <row r="104" spans="1:8" x14ac:dyDescent="0.3">
      <c r="A104" s="53">
        <v>351000</v>
      </c>
      <c r="B104" s="53"/>
      <c r="C104" s="53"/>
      <c r="D104" s="54"/>
      <c r="F104" s="53">
        <v>351000</v>
      </c>
      <c r="G104" s="2">
        <v>6631.3599825410729</v>
      </c>
      <c r="H104" s="2">
        <v>2975804635.7498751</v>
      </c>
    </row>
    <row r="105" spans="1:8" x14ac:dyDescent="0.3">
      <c r="A105" s="53">
        <v>601000</v>
      </c>
      <c r="B105" s="53"/>
      <c r="C105" s="53"/>
      <c r="D105" s="54"/>
      <c r="F105" s="53">
        <v>601000</v>
      </c>
      <c r="G105" s="2">
        <v>1916.9989358898226</v>
      </c>
      <c r="H105" s="2">
        <v>1381818315.17343</v>
      </c>
    </row>
    <row r="106" spans="1:8" x14ac:dyDescent="0.3">
      <c r="A106" s="53">
        <v>1326000</v>
      </c>
      <c r="B106" s="53">
        <v>114</v>
      </c>
      <c r="C106" s="53">
        <v>160000000</v>
      </c>
      <c r="D106" s="54">
        <v>2.1275815267231577</v>
      </c>
      <c r="F106" s="53">
        <v>901000</v>
      </c>
      <c r="G106" s="2">
        <v>813.8712224003948</v>
      </c>
      <c r="H106" s="2">
        <v>920761687.43061578</v>
      </c>
    </row>
    <row r="107" spans="1:8" x14ac:dyDescent="0.3">
      <c r="A107" s="53">
        <v>1501000</v>
      </c>
      <c r="B107" s="53">
        <v>401</v>
      </c>
      <c r="C107" s="53">
        <v>825000000</v>
      </c>
      <c r="D107" s="54">
        <v>2.0635815439279797</v>
      </c>
      <c r="F107" s="53">
        <v>1501000</v>
      </c>
      <c r="G107" s="55">
        <v>401</v>
      </c>
      <c r="H107" s="55">
        <v>825000000</v>
      </c>
    </row>
    <row r="108" spans="1:8" x14ac:dyDescent="0.3">
      <c r="A108" s="53">
        <v>3001000</v>
      </c>
      <c r="B108" s="53">
        <v>154</v>
      </c>
      <c r="C108" s="53">
        <v>613000000</v>
      </c>
      <c r="D108" s="54">
        <v>1.7874476623734117</v>
      </c>
      <c r="F108" s="53">
        <v>3001000</v>
      </c>
      <c r="G108" s="55">
        <v>154</v>
      </c>
      <c r="H108" s="55">
        <v>613000000</v>
      </c>
    </row>
    <row r="109" spans="1:8" x14ac:dyDescent="0.3">
      <c r="A109" s="53">
        <v>6000000</v>
      </c>
      <c r="B109" s="53">
        <v>16</v>
      </c>
      <c r="C109" s="53">
        <v>119000000</v>
      </c>
      <c r="D109" s="54">
        <v>2.0777777777777775</v>
      </c>
      <c r="F109" s="53">
        <v>6000000</v>
      </c>
      <c r="G109" s="55">
        <v>16</v>
      </c>
      <c r="H109" s="55">
        <v>119000000</v>
      </c>
    </row>
    <row r="110" spans="1:8" x14ac:dyDescent="0.3">
      <c r="A110" s="53">
        <v>10000000</v>
      </c>
      <c r="B110" s="53">
        <v>14</v>
      </c>
      <c r="C110" s="53">
        <v>255000000</v>
      </c>
      <c r="D110" s="54">
        <v>1.8214285714285712</v>
      </c>
      <c r="F110" s="53">
        <v>10000000</v>
      </c>
      <c r="G110" s="55">
        <v>14</v>
      </c>
      <c r="H110" s="55">
        <v>255000000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:I11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5.69921875" customWidth="1"/>
  </cols>
  <sheetData>
    <row r="1" spans="1:15" x14ac:dyDescent="0.3">
      <c r="A1" s="79" t="s">
        <v>217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3">
      <c r="A4" s="53">
        <v>221000</v>
      </c>
      <c r="B4" s="53">
        <v>768685</v>
      </c>
      <c r="C4" s="53">
        <v>212962000000</v>
      </c>
      <c r="D4" s="54">
        <v>1.7735738402066021</v>
      </c>
      <c r="F4" s="53">
        <v>221000</v>
      </c>
      <c r="G4" s="55">
        <v>768685</v>
      </c>
      <c r="H4" s="55">
        <v>212962000000</v>
      </c>
      <c r="J4" s="53">
        <v>221000</v>
      </c>
      <c r="K4" s="2">
        <v>8447844.9555058889</v>
      </c>
      <c r="L4" s="2">
        <v>2340451494974.4629</v>
      </c>
      <c r="M4">
        <v>0.15865051742674963</v>
      </c>
      <c r="N4">
        <v>1.9934568587684132</v>
      </c>
      <c r="O4">
        <f>(G4+G13+G31)/K4</f>
        <v>0.12404641810383966</v>
      </c>
    </row>
    <row r="5" spans="1:15" x14ac:dyDescent="0.3">
      <c r="A5" s="53">
        <v>351000</v>
      </c>
      <c r="B5" s="53">
        <v>389870</v>
      </c>
      <c r="C5" s="53">
        <v>170891000000</v>
      </c>
      <c r="D5" s="54">
        <v>1.6127358335896744</v>
      </c>
      <c r="F5" s="53">
        <v>351000</v>
      </c>
      <c r="G5" s="55">
        <v>389870</v>
      </c>
      <c r="H5" s="55">
        <v>170891000000</v>
      </c>
      <c r="J5" s="53">
        <v>351000</v>
      </c>
      <c r="K5" s="2">
        <v>4284669.6797818122</v>
      </c>
      <c r="L5" s="2">
        <v>1919454094432.7224</v>
      </c>
      <c r="M5">
        <v>0.63735402410098541</v>
      </c>
      <c r="N5">
        <v>1.8700507710129042</v>
      </c>
      <c r="O5">
        <f t="shared" ref="O5:O11" si="0">(G5+G14+G32)/K5</f>
        <v>0.12404641810383961</v>
      </c>
    </row>
    <row r="6" spans="1:15" x14ac:dyDescent="0.3">
      <c r="A6" s="53">
        <v>601000</v>
      </c>
      <c r="B6" s="53">
        <v>77823</v>
      </c>
      <c r="C6" s="53">
        <v>55443000000</v>
      </c>
      <c r="D6" s="54">
        <v>1.6473623751437108</v>
      </c>
      <c r="F6" s="53">
        <v>601000</v>
      </c>
      <c r="G6" s="55">
        <v>77823</v>
      </c>
      <c r="H6" s="55">
        <v>55443000000</v>
      </c>
      <c r="I6" s="2">
        <f t="shared" ref="I6:I11" si="1">J6/655.957</f>
        <v>916.2185935968364</v>
      </c>
      <c r="J6" s="53">
        <v>601000</v>
      </c>
      <c r="K6" s="2">
        <v>1276502.7561447369</v>
      </c>
      <c r="L6" s="2">
        <v>922406129293.87537</v>
      </c>
      <c r="M6">
        <v>0.88014806346312269</v>
      </c>
      <c r="N6">
        <v>1.7946309615118825</v>
      </c>
      <c r="O6">
        <f t="shared" si="0"/>
        <v>9.5112211403822269E-2</v>
      </c>
    </row>
    <row r="7" spans="1:15" x14ac:dyDescent="0.3">
      <c r="A7" s="53">
        <v>901000</v>
      </c>
      <c r="B7" s="53">
        <v>28384</v>
      </c>
      <c r="C7" s="53">
        <v>31655000000</v>
      </c>
      <c r="D7" s="54">
        <v>1.7038493594555701</v>
      </c>
      <c r="F7" s="53">
        <v>901000</v>
      </c>
      <c r="G7" s="55">
        <v>28384</v>
      </c>
      <c r="H7" s="55">
        <v>31655000000</v>
      </c>
      <c r="I7" s="2">
        <f t="shared" si="1"/>
        <v>1373.5656453090676</v>
      </c>
      <c r="J7" s="53">
        <v>901000</v>
      </c>
      <c r="K7" s="2">
        <v>576510.47160836402</v>
      </c>
      <c r="L7" s="2">
        <v>644225793974.8291</v>
      </c>
      <c r="M7">
        <v>0.95248205501531724</v>
      </c>
      <c r="N7">
        <v>1.7984968676426452</v>
      </c>
      <c r="O7">
        <f t="shared" si="0"/>
        <v>8.0371480279852331E-2</v>
      </c>
    </row>
    <row r="8" spans="1:15" x14ac:dyDescent="0.3">
      <c r="A8" s="53">
        <v>1501000</v>
      </c>
      <c r="B8" s="53">
        <v>9052</v>
      </c>
      <c r="C8" s="53">
        <v>17909000000</v>
      </c>
      <c r="D8" s="54">
        <v>1.7283661493605293</v>
      </c>
      <c r="F8" s="53">
        <v>1501000</v>
      </c>
      <c r="G8" s="55">
        <v>9052</v>
      </c>
      <c r="H8" s="55">
        <v>17909000000</v>
      </c>
      <c r="I8" s="2">
        <f t="shared" si="1"/>
        <v>2288.2597487335297</v>
      </c>
      <c r="J8" s="53">
        <v>1501000</v>
      </c>
      <c r="K8" s="2">
        <v>204215</v>
      </c>
      <c r="L8" s="2">
        <v>405915000000</v>
      </c>
      <c r="M8">
        <v>0.98515045575501992</v>
      </c>
      <c r="N8">
        <v>1.8167888455961974</v>
      </c>
      <c r="O8">
        <f t="shared" si="0"/>
        <v>8.026834463677987E-2</v>
      </c>
    </row>
    <row r="9" spans="1:15" x14ac:dyDescent="0.3">
      <c r="A9" s="53">
        <v>3001000</v>
      </c>
      <c r="B9" s="53">
        <v>1792</v>
      </c>
      <c r="C9" s="53">
        <v>7078000000</v>
      </c>
      <c r="D9" s="54">
        <v>1.7080289010535696</v>
      </c>
      <c r="F9" s="53">
        <v>3001000</v>
      </c>
      <c r="G9" s="55">
        <v>1792</v>
      </c>
      <c r="H9" s="55">
        <v>7078000000</v>
      </c>
      <c r="I9" s="2">
        <f t="shared" si="1"/>
        <v>4574.9950072946858</v>
      </c>
      <c r="J9" s="53">
        <v>3001000</v>
      </c>
      <c r="K9" s="2">
        <v>45812</v>
      </c>
      <c r="L9" s="2">
        <v>181789000000</v>
      </c>
      <c r="M9">
        <v>0.99672245277087002</v>
      </c>
      <c r="N9">
        <v>1.7785046754816167</v>
      </c>
      <c r="O9">
        <f t="shared" si="0"/>
        <v>8.0961320178119273E-2</v>
      </c>
    </row>
    <row r="10" spans="1:15" x14ac:dyDescent="0.3">
      <c r="A10" s="53">
        <v>6000000</v>
      </c>
      <c r="B10" s="53">
        <v>297</v>
      </c>
      <c r="C10" s="53">
        <v>2222000000</v>
      </c>
      <c r="D10" s="54">
        <v>1.7109756097560975</v>
      </c>
      <c r="F10" s="53">
        <v>6000000</v>
      </c>
      <c r="G10" s="55">
        <v>297</v>
      </c>
      <c r="H10" s="55">
        <v>2222000000</v>
      </c>
      <c r="I10" s="2">
        <f t="shared" si="1"/>
        <v>9146.9410342446226</v>
      </c>
      <c r="J10" s="53">
        <v>6000000</v>
      </c>
      <c r="K10" s="2">
        <v>8297</v>
      </c>
      <c r="L10" s="2">
        <v>61784000000</v>
      </c>
      <c r="M10">
        <v>0.99931842430719264</v>
      </c>
      <c r="N10">
        <v>1.7586742046336326</v>
      </c>
      <c r="O10">
        <f t="shared" si="0"/>
        <v>8.5573098710377243E-2</v>
      </c>
    </row>
    <row r="11" spans="1:15" x14ac:dyDescent="0.3">
      <c r="A11" s="53">
        <v>10000000</v>
      </c>
      <c r="B11" s="53">
        <v>113</v>
      </c>
      <c r="C11" s="53">
        <v>1987000000</v>
      </c>
      <c r="D11" s="54">
        <v>1.7584070796460178</v>
      </c>
      <c r="F11" s="53">
        <v>10000000</v>
      </c>
      <c r="G11" s="55">
        <v>113</v>
      </c>
      <c r="H11" s="55">
        <v>1987000000</v>
      </c>
      <c r="I11" s="2">
        <f t="shared" si="1"/>
        <v>15244.901723741039</v>
      </c>
      <c r="J11" s="53">
        <v>10000000</v>
      </c>
      <c r="K11" s="2">
        <v>3731</v>
      </c>
      <c r="L11" s="2">
        <v>65136000000</v>
      </c>
      <c r="M11">
        <v>0.99978858007067972</v>
      </c>
      <c r="N11">
        <v>1.745805414098097</v>
      </c>
      <c r="O11">
        <f t="shared" si="0"/>
        <v>9.863307424283034E-2</v>
      </c>
    </row>
    <row r="12" spans="1:15" x14ac:dyDescent="0.3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3">
      <c r="A13" s="53">
        <v>331500</v>
      </c>
      <c r="B13" s="53">
        <v>17808</v>
      </c>
      <c r="C13" s="53">
        <v>6068000000</v>
      </c>
      <c r="D13" s="54">
        <v>1.9915935643828184</v>
      </c>
      <c r="F13" s="53">
        <v>221000</v>
      </c>
      <c r="G13" s="2">
        <f>G4*G14/G5</f>
        <v>246958.31860620205</v>
      </c>
      <c r="H13" s="2">
        <f>G13*H4/G4</f>
        <v>68419102034.01133</v>
      </c>
      <c r="K13" s="5">
        <v>17647342.953881387</v>
      </c>
    </row>
    <row r="14" spans="1:15" x14ac:dyDescent="0.3">
      <c r="A14" s="53">
        <v>351000</v>
      </c>
      <c r="B14" s="53">
        <v>125255</v>
      </c>
      <c r="C14" s="53">
        <v>56233000000</v>
      </c>
      <c r="D14" s="54">
        <v>1.9666332475919976</v>
      </c>
      <c r="F14" s="53">
        <v>351000</v>
      </c>
      <c r="G14" s="55">
        <v>125255</v>
      </c>
      <c r="H14" s="55">
        <v>56233000000</v>
      </c>
    </row>
    <row r="15" spans="1:15" x14ac:dyDescent="0.3">
      <c r="A15" s="53">
        <v>601000</v>
      </c>
      <c r="B15" s="53">
        <v>38549</v>
      </c>
      <c r="C15" s="53">
        <v>27517000000</v>
      </c>
      <c r="D15" s="54">
        <v>1.93560272842294</v>
      </c>
      <c r="F15" s="53">
        <v>601000</v>
      </c>
      <c r="G15" s="55">
        <v>38549</v>
      </c>
      <c r="H15" s="55">
        <v>27517000000</v>
      </c>
    </row>
    <row r="16" spans="1:15" x14ac:dyDescent="0.3">
      <c r="A16" s="53">
        <v>901000</v>
      </c>
      <c r="B16" s="53">
        <v>16189</v>
      </c>
      <c r="C16" s="53">
        <v>18227000000</v>
      </c>
      <c r="D16" s="54">
        <v>2.0494598782351141</v>
      </c>
      <c r="F16" s="53">
        <v>901000</v>
      </c>
      <c r="G16" s="55">
        <v>16189</v>
      </c>
      <c r="H16" s="55">
        <v>18227000000</v>
      </c>
    </row>
    <row r="17" spans="1:8" x14ac:dyDescent="0.3">
      <c r="A17" s="53">
        <v>1501000</v>
      </c>
      <c r="B17" s="53">
        <v>6735</v>
      </c>
      <c r="C17" s="53">
        <v>13463000000</v>
      </c>
      <c r="D17" s="54">
        <v>2.0778586721901866</v>
      </c>
      <c r="F17" s="53">
        <v>1501000</v>
      </c>
      <c r="G17" s="55">
        <v>6735</v>
      </c>
      <c r="H17" s="55">
        <v>13463000000</v>
      </c>
    </row>
    <row r="18" spans="1:8" x14ac:dyDescent="0.3">
      <c r="A18" s="53">
        <v>3001000</v>
      </c>
      <c r="B18" s="53">
        <v>1800</v>
      </c>
      <c r="C18" s="53">
        <v>7195000000</v>
      </c>
      <c r="D18" s="54">
        <v>2.0714518842795044</v>
      </c>
      <c r="F18" s="53">
        <v>3001000</v>
      </c>
      <c r="G18" s="55">
        <v>1800</v>
      </c>
      <c r="H18" s="55">
        <v>7195000000</v>
      </c>
    </row>
    <row r="19" spans="1:8" x14ac:dyDescent="0.3">
      <c r="A19" s="53">
        <v>6000000</v>
      </c>
      <c r="B19" s="53">
        <v>391</v>
      </c>
      <c r="C19" s="53">
        <v>2912000000</v>
      </c>
      <c r="D19" s="54">
        <v>2.0845144356955378</v>
      </c>
      <c r="F19" s="53">
        <v>6000000</v>
      </c>
      <c r="G19" s="55">
        <v>391</v>
      </c>
      <c r="H19" s="55">
        <v>2912000000</v>
      </c>
    </row>
    <row r="20" spans="1:8" x14ac:dyDescent="0.3">
      <c r="A20" s="53">
        <v>10000000</v>
      </c>
      <c r="B20" s="53">
        <v>244</v>
      </c>
      <c r="C20" s="53">
        <v>5030000000</v>
      </c>
      <c r="D20" s="54">
        <v>2.0614754098360653</v>
      </c>
      <c r="F20" s="53">
        <v>10000000</v>
      </c>
      <c r="G20" s="55">
        <v>244</v>
      </c>
      <c r="H20" s="55">
        <v>5030000000</v>
      </c>
    </row>
    <row r="21" spans="1:8" x14ac:dyDescent="0.3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3">
      <c r="A22" s="53">
        <v>221000</v>
      </c>
      <c r="B22" s="53"/>
      <c r="C22" s="53"/>
      <c r="D22" s="54"/>
      <c r="F22" s="53">
        <v>221000</v>
      </c>
      <c r="G22" s="2">
        <v>2812156.2522673188</v>
      </c>
      <c r="H22" s="2">
        <v>779099917125.15881</v>
      </c>
    </row>
    <row r="23" spans="1:8" x14ac:dyDescent="0.3">
      <c r="A23" s="53">
        <v>442000</v>
      </c>
      <c r="B23" s="53">
        <v>503345</v>
      </c>
      <c r="C23" s="53">
        <v>259245000000</v>
      </c>
      <c r="D23" s="54">
        <v>1.9152272566916877</v>
      </c>
      <c r="F23" s="53">
        <v>351000</v>
      </c>
      <c r="G23" s="2">
        <v>1426299.9252898907</v>
      </c>
      <c r="H23" s="2">
        <v>640334706788.76233</v>
      </c>
    </row>
    <row r="24" spans="1:8" x14ac:dyDescent="0.3">
      <c r="A24" s="53">
        <v>601000</v>
      </c>
      <c r="B24" s="53">
        <v>438964</v>
      </c>
      <c r="C24" s="53">
        <v>317543000000</v>
      </c>
      <c r="D24" s="54">
        <v>1.7887612377906361</v>
      </c>
      <c r="F24" s="53">
        <v>601000</v>
      </c>
      <c r="G24" s="55">
        <v>438964</v>
      </c>
      <c r="H24" s="55">
        <v>317543000000</v>
      </c>
    </row>
    <row r="25" spans="1:8" x14ac:dyDescent="0.3">
      <c r="A25" s="53">
        <v>901000</v>
      </c>
      <c r="B25" s="53">
        <v>204298</v>
      </c>
      <c r="C25" s="53">
        <v>227435000000</v>
      </c>
      <c r="D25" s="54">
        <v>1.7815226521179417</v>
      </c>
      <c r="F25" s="53">
        <v>901000</v>
      </c>
      <c r="G25" s="55">
        <v>204298</v>
      </c>
      <c r="H25" s="55">
        <v>227435000000</v>
      </c>
    </row>
    <row r="26" spans="1:8" x14ac:dyDescent="0.3">
      <c r="A26" s="53">
        <v>1501000</v>
      </c>
      <c r="B26" s="53">
        <v>67866</v>
      </c>
      <c r="C26" s="53">
        <v>134337000000</v>
      </c>
      <c r="D26" s="54">
        <v>1.8398766627722223</v>
      </c>
      <c r="F26" s="53">
        <v>1501000</v>
      </c>
      <c r="G26" s="55">
        <v>67866</v>
      </c>
      <c r="H26" s="55">
        <v>134337000000</v>
      </c>
    </row>
    <row r="27" spans="1:8" x14ac:dyDescent="0.3">
      <c r="A27" s="53">
        <v>3001000</v>
      </c>
      <c r="B27" s="53">
        <v>14683</v>
      </c>
      <c r="C27" s="53">
        <v>58470000000</v>
      </c>
      <c r="D27" s="54">
        <v>1.8498397078178908</v>
      </c>
      <c r="F27" s="53">
        <v>3001000</v>
      </c>
      <c r="G27" s="55">
        <v>14683</v>
      </c>
      <c r="H27" s="55">
        <v>58470000000</v>
      </c>
    </row>
    <row r="28" spans="1:8" x14ac:dyDescent="0.3">
      <c r="A28" s="53">
        <v>6000000</v>
      </c>
      <c r="B28" s="53">
        <v>2908</v>
      </c>
      <c r="C28" s="53">
        <v>21791000000</v>
      </c>
      <c r="D28" s="54">
        <v>1.8088280411105997</v>
      </c>
      <c r="F28" s="53">
        <v>6000000</v>
      </c>
      <c r="G28" s="55">
        <v>2908</v>
      </c>
      <c r="H28" s="55">
        <v>21791000000</v>
      </c>
    </row>
    <row r="29" spans="1:8" x14ac:dyDescent="0.3">
      <c r="A29" s="53">
        <v>10000000</v>
      </c>
      <c r="B29" s="53">
        <v>1438</v>
      </c>
      <c r="C29" s="53">
        <v>25376000000</v>
      </c>
      <c r="D29" s="54">
        <v>1.7646731571627259</v>
      </c>
      <c r="F29" s="53">
        <v>10000000</v>
      </c>
      <c r="G29" s="55">
        <v>1438</v>
      </c>
      <c r="H29" s="55">
        <v>25376000000</v>
      </c>
    </row>
    <row r="30" spans="1:8" x14ac:dyDescent="0.3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3">
      <c r="A31" s="53">
        <v>221000</v>
      </c>
      <c r="B31" s="53"/>
      <c r="C31" s="53"/>
      <c r="D31" s="54"/>
      <c r="F31" s="53">
        <v>221000</v>
      </c>
      <c r="G31" s="2">
        <v>32281.588820894242</v>
      </c>
      <c r="H31" s="2">
        <v>8943522663.3475075</v>
      </c>
    </row>
    <row r="32" spans="1:8" x14ac:dyDescent="0.3">
      <c r="A32" s="53">
        <v>442000</v>
      </c>
      <c r="B32" s="53">
        <v>12638</v>
      </c>
      <c r="C32" s="53">
        <v>6452000000</v>
      </c>
      <c r="D32" s="54">
        <v>1.5704005983588154</v>
      </c>
      <c r="F32" s="53">
        <v>351000</v>
      </c>
      <c r="G32" s="2">
        <v>16372.926535059276</v>
      </c>
      <c r="H32" s="2">
        <v>7350595008.9496489</v>
      </c>
    </row>
    <row r="33" spans="1:8" x14ac:dyDescent="0.3">
      <c r="A33" s="53">
        <v>601000</v>
      </c>
      <c r="B33" s="53">
        <v>5039</v>
      </c>
      <c r="C33" s="53">
        <v>3580000000</v>
      </c>
      <c r="D33" s="54">
        <v>1.665875385034119</v>
      </c>
      <c r="F33" s="53">
        <v>601000</v>
      </c>
      <c r="G33" s="55">
        <v>5039</v>
      </c>
      <c r="H33" s="55">
        <v>3580000000</v>
      </c>
    </row>
    <row r="34" spans="1:8" x14ac:dyDescent="0.3">
      <c r="A34" s="53">
        <v>901000</v>
      </c>
      <c r="B34" s="53">
        <v>1762</v>
      </c>
      <c r="C34" s="53">
        <v>1972000000</v>
      </c>
      <c r="D34" s="54">
        <v>1.7571964580916362</v>
      </c>
      <c r="F34" s="53">
        <v>901000</v>
      </c>
      <c r="G34" s="55">
        <v>1762</v>
      </c>
      <c r="H34" s="55">
        <v>1972000000</v>
      </c>
    </row>
    <row r="35" spans="1:8" x14ac:dyDescent="0.3">
      <c r="A35" s="53">
        <v>1501000</v>
      </c>
      <c r="B35" s="53">
        <v>605</v>
      </c>
      <c r="C35" s="53">
        <v>1186000000</v>
      </c>
      <c r="D35" s="54">
        <v>1.7762992442124674</v>
      </c>
      <c r="F35" s="53">
        <v>1501000</v>
      </c>
      <c r="G35" s="55">
        <v>605</v>
      </c>
      <c r="H35" s="55">
        <v>1186000000</v>
      </c>
    </row>
    <row r="36" spans="1:8" x14ac:dyDescent="0.3">
      <c r="A36" s="53">
        <v>3001000</v>
      </c>
      <c r="B36" s="53">
        <v>117</v>
      </c>
      <c r="C36" s="53">
        <v>477000000</v>
      </c>
      <c r="D36" s="54">
        <v>1.8371653893146729</v>
      </c>
      <c r="F36" s="53">
        <v>3001000</v>
      </c>
      <c r="G36" s="55">
        <v>117</v>
      </c>
      <c r="H36" s="55">
        <v>477000000</v>
      </c>
    </row>
    <row r="37" spans="1:8" x14ac:dyDescent="0.3">
      <c r="A37" s="53">
        <v>6000000</v>
      </c>
      <c r="B37" s="53">
        <v>22</v>
      </c>
      <c r="C37" s="53">
        <v>173000000</v>
      </c>
      <c r="D37" s="54">
        <v>1.7676767676767675</v>
      </c>
      <c r="F37" s="53">
        <v>6000000</v>
      </c>
      <c r="G37" s="55">
        <v>22</v>
      </c>
      <c r="H37" s="55">
        <v>173000000</v>
      </c>
    </row>
    <row r="38" spans="1:8" x14ac:dyDescent="0.3">
      <c r="A38" s="53">
        <v>10000000</v>
      </c>
      <c r="B38" s="53">
        <v>11</v>
      </c>
      <c r="C38" s="53">
        <v>177000000</v>
      </c>
      <c r="D38" s="54">
        <v>1.6090909090909091</v>
      </c>
      <c r="F38" s="53">
        <v>10000000</v>
      </c>
      <c r="G38" s="55">
        <v>11</v>
      </c>
      <c r="H38" s="55">
        <v>177000000</v>
      </c>
    </row>
    <row r="39" spans="1:8" x14ac:dyDescent="0.3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3">
      <c r="A40" s="53">
        <v>221000</v>
      </c>
      <c r="B40" s="53"/>
      <c r="C40" s="53"/>
      <c r="D40" s="54"/>
      <c r="F40" s="53">
        <v>221000</v>
      </c>
      <c r="G40" s="2">
        <v>1970720.8480022794</v>
      </c>
      <c r="H40" s="2">
        <v>545982623873.57812</v>
      </c>
    </row>
    <row r="41" spans="1:8" x14ac:dyDescent="0.3">
      <c r="A41" s="53">
        <v>552500</v>
      </c>
      <c r="B41" s="53">
        <v>88802</v>
      </c>
      <c r="C41" s="53">
        <v>51106000000</v>
      </c>
      <c r="D41" s="54">
        <v>1.7413572170141938</v>
      </c>
      <c r="F41" s="53">
        <v>351000</v>
      </c>
      <c r="G41" s="2">
        <v>999531.58577395009</v>
      </c>
      <c r="H41" s="2">
        <v>448737852084.36017</v>
      </c>
    </row>
    <row r="42" spans="1:8" x14ac:dyDescent="0.3">
      <c r="A42" s="53">
        <v>601000</v>
      </c>
      <c r="B42" s="53">
        <v>307620</v>
      </c>
      <c r="C42" s="53">
        <v>222651000000</v>
      </c>
      <c r="D42" s="54">
        <v>1.7149415293277033</v>
      </c>
      <c r="F42" s="53">
        <v>601000</v>
      </c>
      <c r="G42" s="55">
        <v>307620</v>
      </c>
      <c r="H42" s="55">
        <v>222651000000</v>
      </c>
    </row>
    <row r="43" spans="1:8" x14ac:dyDescent="0.3">
      <c r="A43" s="53">
        <v>901000</v>
      </c>
      <c r="B43" s="53">
        <v>139984</v>
      </c>
      <c r="C43" s="53">
        <v>155659000000</v>
      </c>
      <c r="D43" s="54">
        <v>1.6869173416311702</v>
      </c>
      <c r="F43" s="53">
        <v>901000</v>
      </c>
      <c r="G43" s="55">
        <v>139984</v>
      </c>
      <c r="H43" s="55">
        <v>155659000000</v>
      </c>
    </row>
    <row r="44" spans="1:8" x14ac:dyDescent="0.3">
      <c r="A44" s="53">
        <v>1501000</v>
      </c>
      <c r="B44" s="53">
        <v>42585</v>
      </c>
      <c r="C44" s="53">
        <v>83942000000</v>
      </c>
      <c r="D44" s="54">
        <v>1.730619397077737</v>
      </c>
      <c r="F44" s="53">
        <v>1501000</v>
      </c>
      <c r="G44" s="55">
        <v>42585</v>
      </c>
      <c r="H44" s="55">
        <v>83942000000</v>
      </c>
    </row>
    <row r="45" spans="1:8" x14ac:dyDescent="0.3">
      <c r="A45" s="53">
        <v>3001000</v>
      </c>
      <c r="B45" s="53">
        <v>8457</v>
      </c>
      <c r="C45" s="53">
        <v>33400000000</v>
      </c>
      <c r="D45" s="54">
        <v>1.7204201163714659</v>
      </c>
      <c r="F45" s="53">
        <v>3001000</v>
      </c>
      <c r="G45" s="55">
        <v>8457</v>
      </c>
      <c r="H45" s="55">
        <v>33400000000</v>
      </c>
    </row>
    <row r="46" spans="1:8" x14ac:dyDescent="0.3">
      <c r="A46" s="53">
        <v>6000000</v>
      </c>
      <c r="B46" s="53">
        <v>1354</v>
      </c>
      <c r="C46" s="53">
        <v>10027000000</v>
      </c>
      <c r="D46" s="54">
        <v>1.7408646423057128</v>
      </c>
      <c r="F46" s="53">
        <v>6000000</v>
      </c>
      <c r="G46" s="55">
        <v>1354</v>
      </c>
      <c r="H46" s="55">
        <v>10027000000</v>
      </c>
    </row>
    <row r="47" spans="1:8" x14ac:dyDescent="0.3">
      <c r="A47" s="53">
        <v>10000000</v>
      </c>
      <c r="B47" s="53">
        <v>589</v>
      </c>
      <c r="C47" s="53">
        <v>10268000000</v>
      </c>
      <c r="D47" s="54">
        <v>1.7432937181663837</v>
      </c>
      <c r="F47" s="53">
        <v>10000000</v>
      </c>
      <c r="G47" s="55">
        <v>589</v>
      </c>
      <c r="H47" s="55">
        <v>10268000000</v>
      </c>
    </row>
    <row r="48" spans="1:8" x14ac:dyDescent="0.3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3">
      <c r="A49" s="53">
        <v>221000</v>
      </c>
      <c r="B49" s="53"/>
      <c r="C49" s="53"/>
      <c r="D49" s="54"/>
      <c r="F49" s="53">
        <v>221000</v>
      </c>
      <c r="G49" s="2">
        <v>1405256.4122034772</v>
      </c>
      <c r="H49" s="2">
        <v>389322305047.8114</v>
      </c>
    </row>
    <row r="50" spans="1:8" x14ac:dyDescent="0.3">
      <c r="A50" s="53">
        <v>351000</v>
      </c>
      <c r="B50" s="53"/>
      <c r="C50" s="53"/>
      <c r="D50" s="54"/>
      <c r="F50" s="53">
        <v>351000</v>
      </c>
      <c r="G50" s="2">
        <v>712733.19685667043</v>
      </c>
      <c r="H50" s="2">
        <v>319980247166.50946</v>
      </c>
    </row>
    <row r="51" spans="1:8" x14ac:dyDescent="0.3">
      <c r="A51" s="53">
        <v>663000</v>
      </c>
      <c r="B51" s="53">
        <v>132124</v>
      </c>
      <c r="C51" s="53">
        <v>101038000000</v>
      </c>
      <c r="D51" s="54">
        <v>1.8248266866834881</v>
      </c>
      <c r="F51" s="53">
        <v>601000</v>
      </c>
      <c r="G51" s="2">
        <v>219353.73442679163</v>
      </c>
      <c r="H51" s="2">
        <v>158765126857.35513</v>
      </c>
    </row>
    <row r="52" spans="1:8" x14ac:dyDescent="0.3">
      <c r="A52" s="53">
        <v>901000</v>
      </c>
      <c r="B52" s="53">
        <v>99818</v>
      </c>
      <c r="C52" s="53">
        <v>111972000000</v>
      </c>
      <c r="D52" s="54">
        <v>1.7866632948652839</v>
      </c>
      <c r="F52" s="53">
        <v>901000</v>
      </c>
      <c r="G52" s="55">
        <v>99818</v>
      </c>
      <c r="H52" s="55">
        <v>111972000000</v>
      </c>
    </row>
    <row r="53" spans="1:8" x14ac:dyDescent="0.3">
      <c r="A53" s="53">
        <v>1501000</v>
      </c>
      <c r="B53" s="53">
        <v>37272</v>
      </c>
      <c r="C53" s="53">
        <v>74123000000</v>
      </c>
      <c r="D53" s="54">
        <v>1.7594174650929804</v>
      </c>
      <c r="F53" s="53">
        <v>1501000</v>
      </c>
      <c r="G53" s="55">
        <v>37272</v>
      </c>
      <c r="H53" s="55">
        <v>74123000000</v>
      </c>
    </row>
    <row r="54" spans="1:8" x14ac:dyDescent="0.3">
      <c r="A54" s="53">
        <v>3001000</v>
      </c>
      <c r="B54" s="53">
        <v>8137</v>
      </c>
      <c r="C54" s="53">
        <v>32066000000</v>
      </c>
      <c r="D54" s="54">
        <v>1.6922758599119185</v>
      </c>
      <c r="F54" s="53">
        <v>3001000</v>
      </c>
      <c r="G54" s="55">
        <v>8137</v>
      </c>
      <c r="H54" s="55">
        <v>32066000000</v>
      </c>
    </row>
    <row r="55" spans="1:8" x14ac:dyDescent="0.3">
      <c r="A55" s="53">
        <v>6000000</v>
      </c>
      <c r="B55" s="53">
        <v>1305</v>
      </c>
      <c r="C55" s="53">
        <v>9627000000</v>
      </c>
      <c r="D55" s="54">
        <v>1.6872842870118074</v>
      </c>
      <c r="F55" s="53">
        <v>6000000</v>
      </c>
      <c r="G55" s="55">
        <v>1305</v>
      </c>
      <c r="H55" s="55">
        <v>9627000000</v>
      </c>
    </row>
    <row r="56" spans="1:8" x14ac:dyDescent="0.3">
      <c r="A56" s="53">
        <v>10000000</v>
      </c>
      <c r="B56" s="53">
        <v>530</v>
      </c>
      <c r="C56" s="53">
        <v>8950000000</v>
      </c>
      <c r="D56" s="54">
        <v>1.6886792452830188</v>
      </c>
      <c r="F56" s="53">
        <v>10000000</v>
      </c>
      <c r="G56" s="55">
        <v>530</v>
      </c>
      <c r="H56" s="55">
        <v>8950000000</v>
      </c>
    </row>
    <row r="57" spans="1:8" x14ac:dyDescent="0.3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3">
      <c r="A58" s="53">
        <v>221000</v>
      </c>
      <c r="B58" s="53"/>
      <c r="C58" s="53"/>
      <c r="D58" s="54"/>
      <c r="F58" s="53">
        <v>221000</v>
      </c>
      <c r="G58" s="2">
        <v>682651.25956988323</v>
      </c>
      <c r="H58" s="2">
        <v>189126596122.62689</v>
      </c>
    </row>
    <row r="59" spans="1:8" x14ac:dyDescent="0.3">
      <c r="A59" s="53">
        <v>351000</v>
      </c>
      <c r="B59" s="53"/>
      <c r="C59" s="53"/>
      <c r="D59" s="54"/>
      <c r="F59" s="53">
        <v>351000</v>
      </c>
      <c r="G59" s="2">
        <v>346234.47389829438</v>
      </c>
      <c r="H59" s="2">
        <v>155441325062.65448</v>
      </c>
    </row>
    <row r="60" spans="1:8" x14ac:dyDescent="0.3">
      <c r="A60" s="53">
        <v>773500</v>
      </c>
      <c r="B60" s="53">
        <v>26150</v>
      </c>
      <c r="C60" s="53">
        <v>21745000000</v>
      </c>
      <c r="D60" s="54">
        <v>1.9370370121710454</v>
      </c>
      <c r="F60" s="53">
        <v>601000</v>
      </c>
      <c r="G60" s="2">
        <v>106558.56240713224</v>
      </c>
      <c r="H60" s="2">
        <v>77125578566.121841</v>
      </c>
    </row>
    <row r="61" spans="1:8" x14ac:dyDescent="0.3">
      <c r="A61" s="53">
        <v>901000</v>
      </c>
      <c r="B61" s="53">
        <v>48490</v>
      </c>
      <c r="C61" s="53">
        <v>54781000000</v>
      </c>
      <c r="D61" s="54">
        <v>1.9152985896974533</v>
      </c>
      <c r="F61" s="53">
        <v>901000</v>
      </c>
      <c r="G61" s="55">
        <v>48490</v>
      </c>
      <c r="H61" s="55">
        <v>54781000000</v>
      </c>
    </row>
    <row r="62" spans="1:8" x14ac:dyDescent="0.3">
      <c r="A62" s="53">
        <v>1501000</v>
      </c>
      <c r="B62" s="53">
        <v>21578</v>
      </c>
      <c r="C62" s="53">
        <v>43380000000</v>
      </c>
      <c r="D62" s="54">
        <v>1.832679164649422</v>
      </c>
      <c r="F62" s="53">
        <v>1501000</v>
      </c>
      <c r="G62" s="55">
        <v>21578</v>
      </c>
      <c r="H62" s="55">
        <v>43380000000</v>
      </c>
    </row>
    <row r="63" spans="1:8" x14ac:dyDescent="0.3">
      <c r="A63" s="53">
        <v>3001000</v>
      </c>
      <c r="B63" s="53">
        <v>5286</v>
      </c>
      <c r="C63" s="53">
        <v>20935000000</v>
      </c>
      <c r="D63" s="54">
        <v>1.7221188499446225</v>
      </c>
      <c r="F63" s="53">
        <v>3001000</v>
      </c>
      <c r="G63" s="55">
        <v>5286</v>
      </c>
      <c r="H63" s="55">
        <v>20935000000</v>
      </c>
    </row>
    <row r="64" spans="1:8" x14ac:dyDescent="0.3">
      <c r="A64" s="53">
        <v>6000000</v>
      </c>
      <c r="B64" s="53">
        <v>951</v>
      </c>
      <c r="C64" s="53">
        <v>7116000000</v>
      </c>
      <c r="D64" s="54">
        <v>1.6649043303121853</v>
      </c>
      <c r="F64" s="53">
        <v>6000000</v>
      </c>
      <c r="G64" s="55">
        <v>951</v>
      </c>
      <c r="H64" s="55">
        <v>7116000000</v>
      </c>
    </row>
    <row r="65" spans="1:8" x14ac:dyDescent="0.3">
      <c r="A65" s="53">
        <v>10000000</v>
      </c>
      <c r="B65" s="53">
        <v>373</v>
      </c>
      <c r="C65" s="53">
        <v>6110000000</v>
      </c>
      <c r="D65" s="54">
        <v>1.6380697050938338</v>
      </c>
      <c r="F65" s="53">
        <v>10000000</v>
      </c>
      <c r="G65" s="55">
        <v>373</v>
      </c>
      <c r="H65" s="55">
        <v>6110000000</v>
      </c>
    </row>
    <row r="66" spans="1:8" x14ac:dyDescent="0.3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3">
      <c r="A67" s="53">
        <v>221000</v>
      </c>
      <c r="B67" s="53"/>
      <c r="C67" s="53"/>
      <c r="D67" s="54"/>
      <c r="F67" s="53">
        <v>221000</v>
      </c>
      <c r="G67" s="2">
        <v>288279.02334940189</v>
      </c>
      <c r="H67" s="2">
        <v>79866886137.4104</v>
      </c>
    </row>
    <row r="68" spans="1:8" x14ac:dyDescent="0.3">
      <c r="A68" s="53">
        <v>351000</v>
      </c>
      <c r="B68" s="53"/>
      <c r="C68" s="53"/>
      <c r="D68" s="54"/>
      <c r="F68" s="53">
        <v>351000</v>
      </c>
      <c r="G68" s="2">
        <v>146212.48344020155</v>
      </c>
      <c r="H68" s="2">
        <v>65641823330.748108</v>
      </c>
    </row>
    <row r="69" spans="1:8" x14ac:dyDescent="0.3">
      <c r="A69" s="53">
        <v>884000</v>
      </c>
      <c r="B69" s="53">
        <v>1411</v>
      </c>
      <c r="C69" s="53">
        <v>1259000000</v>
      </c>
      <c r="D69" s="54">
        <v>2.0216424311762582</v>
      </c>
      <c r="F69" s="53">
        <v>601000</v>
      </c>
      <c r="G69" s="2">
        <v>44998.962309978277</v>
      </c>
      <c r="H69" s="2">
        <v>32569611719.910843</v>
      </c>
    </row>
    <row r="70" spans="1:8" x14ac:dyDescent="0.3">
      <c r="A70" s="53">
        <v>901000</v>
      </c>
      <c r="B70" s="53">
        <v>20477</v>
      </c>
      <c r="C70" s="53">
        <v>23168000000</v>
      </c>
      <c r="D70" s="54">
        <v>2.0244598769337059</v>
      </c>
      <c r="F70" s="53">
        <v>901000</v>
      </c>
      <c r="G70" s="55">
        <v>20477</v>
      </c>
      <c r="H70" s="55">
        <v>23168000000</v>
      </c>
    </row>
    <row r="71" spans="1:8" x14ac:dyDescent="0.3">
      <c r="A71" s="53">
        <v>1501000</v>
      </c>
      <c r="B71" s="53">
        <v>10091</v>
      </c>
      <c r="C71" s="53">
        <v>20336000000</v>
      </c>
      <c r="D71" s="54">
        <v>1.9031603006077493</v>
      </c>
      <c r="F71" s="53">
        <v>1501000</v>
      </c>
      <c r="G71" s="55">
        <v>10091</v>
      </c>
      <c r="H71" s="55">
        <v>20336000000</v>
      </c>
    </row>
    <row r="72" spans="1:8" x14ac:dyDescent="0.3">
      <c r="A72" s="53">
        <v>3001000</v>
      </c>
      <c r="B72" s="53">
        <v>2915</v>
      </c>
      <c r="C72" s="53">
        <v>11619000000</v>
      </c>
      <c r="D72" s="54">
        <v>1.7282932765550889</v>
      </c>
      <c r="F72" s="53">
        <v>3001000</v>
      </c>
      <c r="G72" s="55">
        <v>2915</v>
      </c>
      <c r="H72" s="55">
        <v>11619000000</v>
      </c>
    </row>
    <row r="73" spans="1:8" x14ac:dyDescent="0.3">
      <c r="A73" s="53">
        <v>6000000</v>
      </c>
      <c r="B73" s="53">
        <v>518</v>
      </c>
      <c r="C73" s="53">
        <v>3847000000</v>
      </c>
      <c r="D73" s="54">
        <v>1.6646090534979425</v>
      </c>
      <c r="F73" s="53">
        <v>6000000</v>
      </c>
      <c r="G73" s="55">
        <v>518</v>
      </c>
      <c r="H73" s="55">
        <v>3847000000</v>
      </c>
    </row>
    <row r="74" spans="1:8" x14ac:dyDescent="0.3">
      <c r="A74" s="53">
        <v>10000000</v>
      </c>
      <c r="B74" s="53">
        <v>211</v>
      </c>
      <c r="C74" s="53">
        <v>3434000000</v>
      </c>
      <c r="D74" s="54">
        <v>1.6274881516587678</v>
      </c>
      <c r="F74" s="53">
        <v>10000000</v>
      </c>
      <c r="G74" s="55">
        <v>211</v>
      </c>
      <c r="H74" s="55">
        <v>3434000000</v>
      </c>
    </row>
    <row r="75" spans="1:8" x14ac:dyDescent="0.3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3">
      <c r="A76" s="53">
        <v>221000</v>
      </c>
      <c r="B76" s="53"/>
      <c r="C76" s="53"/>
      <c r="D76" s="54"/>
      <c r="F76" s="53">
        <v>221000</v>
      </c>
      <c r="G76" s="2">
        <v>135326.30399426387</v>
      </c>
      <c r="H76" s="2">
        <v>37491768866.605194</v>
      </c>
    </row>
    <row r="77" spans="1:8" x14ac:dyDescent="0.3">
      <c r="A77" s="53">
        <v>351000</v>
      </c>
      <c r="B77" s="53"/>
      <c r="C77" s="53"/>
      <c r="D77" s="54"/>
      <c r="F77" s="53">
        <v>351000</v>
      </c>
      <c r="G77" s="2">
        <v>68636.263408605169</v>
      </c>
      <c r="H77" s="2">
        <v>30814123190.739643</v>
      </c>
    </row>
    <row r="78" spans="1:8" x14ac:dyDescent="0.3">
      <c r="A78" s="53">
        <v>601000</v>
      </c>
      <c r="B78" s="53"/>
      <c r="C78" s="53"/>
      <c r="D78" s="54"/>
      <c r="F78" s="53">
        <v>601000</v>
      </c>
      <c r="G78" s="2">
        <v>21123.78202976584</v>
      </c>
      <c r="H78" s="2">
        <v>15289094313.469194</v>
      </c>
    </row>
    <row r="79" spans="1:8" x14ac:dyDescent="0.3">
      <c r="A79" s="53">
        <v>994500</v>
      </c>
      <c r="B79" s="53">
        <v>6347</v>
      </c>
      <c r="C79" s="53">
        <v>7641000000</v>
      </c>
      <c r="D79" s="54">
        <v>2.1138487344453969</v>
      </c>
      <c r="F79" s="53">
        <v>901000</v>
      </c>
      <c r="G79" s="2">
        <v>9612.4813199881082</v>
      </c>
      <c r="H79" s="2">
        <v>10875712615.201666</v>
      </c>
    </row>
    <row r="80" spans="1:8" x14ac:dyDescent="0.3">
      <c r="A80" s="53">
        <v>1501000</v>
      </c>
      <c r="B80" s="53">
        <v>4737</v>
      </c>
      <c r="C80" s="53">
        <v>9660000000</v>
      </c>
      <c r="D80" s="54">
        <v>1.9790847121311959</v>
      </c>
      <c r="F80" s="53">
        <v>1501000</v>
      </c>
      <c r="G80" s="55">
        <v>4737</v>
      </c>
      <c r="H80" s="55">
        <v>9660000000</v>
      </c>
    </row>
    <row r="81" spans="1:8" x14ac:dyDescent="0.3">
      <c r="A81" s="53">
        <v>3001000</v>
      </c>
      <c r="B81" s="53">
        <v>1416</v>
      </c>
      <c r="C81" s="53">
        <v>5655000000</v>
      </c>
      <c r="D81" s="54">
        <v>1.7936430520972688</v>
      </c>
      <c r="F81" s="53">
        <v>3001000</v>
      </c>
      <c r="G81" s="55">
        <v>1416</v>
      </c>
      <c r="H81" s="55">
        <v>5655000000</v>
      </c>
    </row>
    <row r="82" spans="1:8" x14ac:dyDescent="0.3">
      <c r="A82" s="53">
        <v>6000000</v>
      </c>
      <c r="B82" s="53">
        <v>294</v>
      </c>
      <c r="C82" s="53">
        <v>2151000000</v>
      </c>
      <c r="D82" s="54">
        <v>1.6908797417271995</v>
      </c>
      <c r="F82" s="53">
        <v>6000000</v>
      </c>
      <c r="G82" s="55">
        <v>294</v>
      </c>
      <c r="H82" s="55">
        <v>2151000000</v>
      </c>
    </row>
    <row r="83" spans="1:8" x14ac:dyDescent="0.3">
      <c r="A83" s="53">
        <v>10000000</v>
      </c>
      <c r="B83" s="53">
        <v>119</v>
      </c>
      <c r="C83" s="53">
        <v>2039000000</v>
      </c>
      <c r="D83" s="54">
        <v>1.7134453781512606</v>
      </c>
      <c r="F83" s="53">
        <v>10000000</v>
      </c>
      <c r="G83" s="55">
        <v>119</v>
      </c>
      <c r="H83" s="55">
        <v>2039000000</v>
      </c>
    </row>
    <row r="84" spans="1:8" x14ac:dyDescent="0.3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3">
      <c r="A85" s="53">
        <v>221000</v>
      </c>
      <c r="B85" s="53"/>
      <c r="C85" s="53"/>
      <c r="D85" s="54"/>
      <c r="F85" s="53">
        <v>221000</v>
      </c>
      <c r="G85" s="2">
        <v>63077.998568573908</v>
      </c>
      <c r="H85" s="2">
        <v>17475580674.997734</v>
      </c>
    </row>
    <row r="86" spans="1:8" x14ac:dyDescent="0.3">
      <c r="A86" s="53">
        <v>351000</v>
      </c>
      <c r="B86" s="53"/>
      <c r="C86" s="53"/>
      <c r="D86" s="54"/>
      <c r="F86" s="53">
        <v>351000</v>
      </c>
      <c r="G86" s="2">
        <v>31992.583830736796</v>
      </c>
      <c r="H86" s="2">
        <v>14363011189.603785</v>
      </c>
    </row>
    <row r="87" spans="1:8" x14ac:dyDescent="0.3">
      <c r="A87" s="53">
        <v>601000</v>
      </c>
      <c r="B87" s="53"/>
      <c r="C87" s="53"/>
      <c r="D87" s="54"/>
      <c r="F87" s="53">
        <v>601000</v>
      </c>
      <c r="G87" s="2">
        <v>9846.1707244507015</v>
      </c>
      <c r="H87" s="2">
        <v>7126518945.3535957</v>
      </c>
    </row>
    <row r="88" spans="1:8" x14ac:dyDescent="0.3">
      <c r="A88" s="53">
        <v>1105000</v>
      </c>
      <c r="B88" s="53">
        <v>1818</v>
      </c>
      <c r="C88" s="53">
        <v>2331000000</v>
      </c>
      <c r="D88" s="54">
        <v>2.1415411054163696</v>
      </c>
      <c r="F88" s="53">
        <v>901000</v>
      </c>
      <c r="G88" s="2">
        <v>4480.5486076702009</v>
      </c>
      <c r="H88" s="2">
        <v>5069363194.9261723</v>
      </c>
    </row>
    <row r="89" spans="1:8" x14ac:dyDescent="0.3">
      <c r="A89" s="53">
        <v>1501000</v>
      </c>
      <c r="B89" s="53">
        <v>2208</v>
      </c>
      <c r="C89" s="53">
        <v>4520000000</v>
      </c>
      <c r="D89" s="54">
        <v>1.9986675549633577</v>
      </c>
      <c r="F89" s="53">
        <v>1501000</v>
      </c>
      <c r="G89" s="55">
        <v>2208</v>
      </c>
      <c r="H89" s="55">
        <v>4520000000</v>
      </c>
    </row>
    <row r="90" spans="1:8" x14ac:dyDescent="0.3">
      <c r="A90" s="53">
        <v>3001000</v>
      </c>
      <c r="B90" s="53">
        <v>692</v>
      </c>
      <c r="C90" s="53">
        <v>2800000000</v>
      </c>
      <c r="D90" s="54">
        <v>1.7760783319550553</v>
      </c>
      <c r="F90" s="53">
        <v>3001000</v>
      </c>
      <c r="G90" s="55">
        <v>692</v>
      </c>
      <c r="H90" s="55">
        <v>2800000000</v>
      </c>
    </row>
    <row r="91" spans="1:8" x14ac:dyDescent="0.3">
      <c r="A91" s="53">
        <v>6000000</v>
      </c>
      <c r="B91" s="53">
        <v>163</v>
      </c>
      <c r="C91" s="53">
        <v>1212000000</v>
      </c>
      <c r="D91" s="54">
        <v>1.5900473933649291</v>
      </c>
      <c r="F91" s="53">
        <v>6000000</v>
      </c>
      <c r="G91" s="55">
        <v>163</v>
      </c>
      <c r="H91" s="55">
        <v>1212000000</v>
      </c>
    </row>
    <row r="92" spans="1:8" x14ac:dyDescent="0.3">
      <c r="A92" s="53">
        <v>10000000</v>
      </c>
      <c r="B92" s="53">
        <v>48</v>
      </c>
      <c r="C92" s="53">
        <v>801000000</v>
      </c>
      <c r="D92" s="54">
        <v>1.66875</v>
      </c>
      <c r="F92" s="53">
        <v>10000000</v>
      </c>
      <c r="G92" s="55">
        <v>48</v>
      </c>
      <c r="H92" s="55">
        <v>801000000</v>
      </c>
    </row>
    <row r="93" spans="1:8" x14ac:dyDescent="0.3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3">
      <c r="A94" s="53">
        <v>221000</v>
      </c>
      <c r="B94" s="53"/>
      <c r="C94" s="53"/>
      <c r="D94" s="54"/>
      <c r="F94" s="53">
        <v>221000</v>
      </c>
      <c r="G94" s="2">
        <v>27739.464044422672</v>
      </c>
      <c r="H94" s="2">
        <v>7685139871.1153975</v>
      </c>
    </row>
    <row r="95" spans="1:8" x14ac:dyDescent="0.3">
      <c r="A95" s="53">
        <v>351000</v>
      </c>
      <c r="B95" s="53"/>
      <c r="C95" s="53"/>
      <c r="D95" s="54"/>
      <c r="F95" s="53">
        <v>351000</v>
      </c>
      <c r="G95" s="2">
        <v>14069.202400201733</v>
      </c>
      <c r="H95" s="2">
        <v>6316342330.210722</v>
      </c>
    </row>
    <row r="96" spans="1:8" x14ac:dyDescent="0.3">
      <c r="A96" s="53">
        <v>601000</v>
      </c>
      <c r="B96" s="53"/>
      <c r="C96" s="53"/>
      <c r="D96" s="54"/>
      <c r="F96" s="53">
        <v>601000</v>
      </c>
      <c r="G96" s="2">
        <v>4329.9962742036378</v>
      </c>
      <c r="H96" s="2">
        <v>3133989989.10251</v>
      </c>
    </row>
    <row r="97" spans="1:8" x14ac:dyDescent="0.3">
      <c r="A97" s="53">
        <v>1215500</v>
      </c>
      <c r="B97" s="53">
        <v>514</v>
      </c>
      <c r="C97" s="53">
        <v>691000000</v>
      </c>
      <c r="D97" s="54">
        <v>2.2075323511605647</v>
      </c>
      <c r="F97" s="53">
        <v>901000</v>
      </c>
      <c r="G97" s="2">
        <v>1970.3861857100387</v>
      </c>
      <c r="H97" s="2">
        <v>2229325934.0005951</v>
      </c>
    </row>
    <row r="98" spans="1:8" x14ac:dyDescent="0.3">
      <c r="A98" s="53">
        <v>1501000</v>
      </c>
      <c r="B98" s="53">
        <v>971</v>
      </c>
      <c r="C98" s="53">
        <v>2004000000</v>
      </c>
      <c r="D98" s="54">
        <v>2.1116664273287773</v>
      </c>
      <c r="F98" s="53">
        <v>1501000</v>
      </c>
      <c r="G98" s="55">
        <v>971</v>
      </c>
      <c r="H98" s="55">
        <v>2004000000</v>
      </c>
    </row>
    <row r="99" spans="1:8" x14ac:dyDescent="0.3">
      <c r="A99" s="53">
        <v>3001000</v>
      </c>
      <c r="B99" s="53">
        <v>335</v>
      </c>
      <c r="C99" s="53">
        <v>1353000000</v>
      </c>
      <c r="D99" s="54">
        <v>1.861991948629736</v>
      </c>
      <c r="F99" s="53">
        <v>3001000</v>
      </c>
      <c r="G99" s="55">
        <v>335</v>
      </c>
      <c r="H99" s="55">
        <v>1353000000</v>
      </c>
    </row>
    <row r="100" spans="1:8" x14ac:dyDescent="0.3">
      <c r="A100" s="53">
        <v>6000000</v>
      </c>
      <c r="B100" s="53">
        <v>67</v>
      </c>
      <c r="C100" s="53">
        <v>501000000</v>
      </c>
      <c r="D100" s="54">
        <v>1.724770642201835</v>
      </c>
      <c r="F100" s="53">
        <v>6000000</v>
      </c>
      <c r="G100" s="55">
        <v>67</v>
      </c>
      <c r="H100" s="55">
        <v>501000000</v>
      </c>
    </row>
    <row r="101" spans="1:8" x14ac:dyDescent="0.3">
      <c r="A101" s="53">
        <v>10000000</v>
      </c>
      <c r="B101" s="53">
        <v>42</v>
      </c>
      <c r="C101" s="53">
        <v>627000000</v>
      </c>
      <c r="D101" s="54">
        <v>1.4928571428571429</v>
      </c>
      <c r="F101" s="53">
        <v>10000000</v>
      </c>
      <c r="G101" s="55">
        <v>42</v>
      </c>
      <c r="H101" s="55">
        <v>627000000</v>
      </c>
    </row>
    <row r="102" spans="1:8" x14ac:dyDescent="0.3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3">
      <c r="A103" s="53">
        <v>221000</v>
      </c>
      <c r="B103" s="53"/>
      <c r="C103" s="53"/>
      <c r="D103" s="54"/>
      <c r="F103" s="53">
        <v>221000</v>
      </c>
      <c r="G103" s="2">
        <v>14712.486079173714</v>
      </c>
      <c r="H103" s="2">
        <v>4076052557.8006487</v>
      </c>
    </row>
    <row r="104" spans="1:8" x14ac:dyDescent="0.3">
      <c r="A104" s="53">
        <v>351000</v>
      </c>
      <c r="B104" s="53"/>
      <c r="C104" s="53"/>
      <c r="D104" s="54"/>
      <c r="F104" s="53">
        <v>351000</v>
      </c>
      <c r="G104" s="2">
        <v>7462.0383482017432</v>
      </c>
      <c r="H104" s="2">
        <v>3350068280.1838536</v>
      </c>
    </row>
    <row r="105" spans="1:8" x14ac:dyDescent="0.3">
      <c r="A105" s="53">
        <v>601000</v>
      </c>
      <c r="B105" s="53"/>
      <c r="C105" s="53"/>
      <c r="D105" s="54"/>
      <c r="F105" s="53">
        <v>601000</v>
      </c>
      <c r="G105" s="2">
        <v>2296.5479724149059</v>
      </c>
      <c r="H105" s="2">
        <v>1662208902.5620935</v>
      </c>
    </row>
    <row r="106" spans="1:8" x14ac:dyDescent="0.3">
      <c r="A106" s="53">
        <v>1326000</v>
      </c>
      <c r="B106" s="53">
        <v>127</v>
      </c>
      <c r="C106" s="53">
        <v>179000000</v>
      </c>
      <c r="D106" s="54">
        <v>2.1969792190380426</v>
      </c>
      <c r="F106" s="53">
        <v>901000</v>
      </c>
      <c r="G106" s="2">
        <v>1045.0554949955406</v>
      </c>
      <c r="H106" s="2">
        <v>1182392230.7006245</v>
      </c>
    </row>
    <row r="107" spans="1:8" x14ac:dyDescent="0.3">
      <c r="A107" s="53">
        <v>1501000</v>
      </c>
      <c r="B107" s="53">
        <v>515</v>
      </c>
      <c r="C107" s="53">
        <v>1055000000</v>
      </c>
      <c r="D107" s="54">
        <v>2.1134711639549213</v>
      </c>
      <c r="F107" s="53">
        <v>1501000</v>
      </c>
      <c r="G107" s="55">
        <v>515</v>
      </c>
      <c r="H107" s="55">
        <v>1055000000</v>
      </c>
    </row>
    <row r="108" spans="1:8" x14ac:dyDescent="0.3">
      <c r="A108" s="53">
        <v>3001000</v>
      </c>
      <c r="B108" s="53">
        <v>182</v>
      </c>
      <c r="C108" s="53">
        <v>741000000</v>
      </c>
      <c r="D108" s="54">
        <v>1.9257844982603398</v>
      </c>
      <c r="F108" s="53">
        <v>3001000</v>
      </c>
      <c r="G108" s="55">
        <v>182</v>
      </c>
      <c r="H108" s="55">
        <v>741000000</v>
      </c>
    </row>
    <row r="109" spans="1:8" x14ac:dyDescent="0.3">
      <c r="A109" s="53">
        <v>6000000</v>
      </c>
      <c r="B109" s="53">
        <v>27</v>
      </c>
      <c r="C109" s="53">
        <v>205000000</v>
      </c>
      <c r="D109" s="54">
        <v>2.2583333333333333</v>
      </c>
      <c r="F109" s="53">
        <v>6000000</v>
      </c>
      <c r="G109" s="55">
        <v>27</v>
      </c>
      <c r="H109" s="55">
        <v>205000000</v>
      </c>
    </row>
    <row r="110" spans="1:8" x14ac:dyDescent="0.3">
      <c r="A110" s="53">
        <v>10000000</v>
      </c>
      <c r="B110" s="53">
        <v>13</v>
      </c>
      <c r="C110" s="53">
        <v>337000000</v>
      </c>
      <c r="D110" s="54">
        <v>2.5923076923076924</v>
      </c>
      <c r="F110" s="53">
        <v>10000000</v>
      </c>
      <c r="G110" s="55">
        <v>13</v>
      </c>
      <c r="H110" s="55">
        <v>337000000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:I11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9" max="9" width="11.296875" bestFit="1" customWidth="1"/>
    <col min="12" max="12" width="14.19921875" customWidth="1"/>
  </cols>
  <sheetData>
    <row r="1" spans="1:15" x14ac:dyDescent="0.3">
      <c r="A1" s="79" t="s">
        <v>218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3">
      <c r="A4" s="53">
        <v>221000</v>
      </c>
      <c r="B4" s="53">
        <v>802693</v>
      </c>
      <c r="C4" s="53">
        <v>225283000000</v>
      </c>
      <c r="D4" s="54">
        <v>1.8461754030034525</v>
      </c>
      <c r="F4" s="53">
        <v>221000</v>
      </c>
      <c r="G4" s="55">
        <v>802693</v>
      </c>
      <c r="H4" s="55">
        <v>225283000000</v>
      </c>
      <c r="J4" s="53">
        <v>221000</v>
      </c>
      <c r="K4" s="2">
        <v>8039180.4682931919</v>
      </c>
      <c r="L4" s="2">
        <v>2256268203956.5503</v>
      </c>
      <c r="M4">
        <v>0.13090871449819896</v>
      </c>
      <c r="N4">
        <v>2.1127132602805681</v>
      </c>
      <c r="O4">
        <f>(G4+G13+G31)/K4</f>
        <v>0.13518610444612167</v>
      </c>
    </row>
    <row r="5" spans="1:15" x14ac:dyDescent="0.3">
      <c r="A5" s="53">
        <v>351000</v>
      </c>
      <c r="B5" s="53">
        <v>489121</v>
      </c>
      <c r="C5" s="53">
        <v>215091000000</v>
      </c>
      <c r="D5" s="54">
        <v>1.6176054395860484</v>
      </c>
      <c r="F5" s="53">
        <v>351000</v>
      </c>
      <c r="G5" s="55">
        <v>489121</v>
      </c>
      <c r="H5" s="55">
        <v>215091000000</v>
      </c>
      <c r="J5" s="53">
        <v>351000</v>
      </c>
      <c r="K5" s="2">
        <v>4898674.8231665576</v>
      </c>
      <c r="L5" s="2">
        <v>2197740278170.3835</v>
      </c>
      <c r="M5">
        <v>0.58203480570762789</v>
      </c>
      <c r="N5">
        <v>1.9029549861095434</v>
      </c>
      <c r="O5">
        <f t="shared" ref="O5:O11" si="0">(G5+G14+G32)/K5</f>
        <v>0.1351861044461217</v>
      </c>
    </row>
    <row r="6" spans="1:15" x14ac:dyDescent="0.3">
      <c r="A6" s="53">
        <v>601000</v>
      </c>
      <c r="B6" s="53">
        <v>100625</v>
      </c>
      <c r="C6" s="53">
        <v>71573000000</v>
      </c>
      <c r="D6" s="54">
        <v>1.6363592827767648</v>
      </c>
      <c r="F6" s="53">
        <v>601000</v>
      </c>
      <c r="G6" s="55">
        <v>100625</v>
      </c>
      <c r="H6" s="55">
        <v>71573000000</v>
      </c>
      <c r="I6" s="2">
        <f>J6/655.957</f>
        <v>916.2185935968364</v>
      </c>
      <c r="J6" s="53">
        <v>601000</v>
      </c>
      <c r="K6" s="2">
        <v>1508758.8901426294</v>
      </c>
      <c r="L6" s="2">
        <v>1093248366621.5275</v>
      </c>
      <c r="M6">
        <v>0.85692850087931505</v>
      </c>
      <c r="N6">
        <v>1.8124614921786752</v>
      </c>
      <c r="O6">
        <f t="shared" si="0"/>
        <v>0.1033339395834556</v>
      </c>
    </row>
    <row r="7" spans="1:15" x14ac:dyDescent="0.3">
      <c r="A7" s="53">
        <v>901000</v>
      </c>
      <c r="B7" s="53">
        <v>35972</v>
      </c>
      <c r="C7" s="53">
        <v>40061000000</v>
      </c>
      <c r="D7" s="54">
        <v>1.6991046810305122</v>
      </c>
      <c r="F7" s="53">
        <v>901000</v>
      </c>
      <c r="G7" s="55">
        <v>35972</v>
      </c>
      <c r="H7" s="55">
        <v>40061000000</v>
      </c>
      <c r="I7" s="2">
        <f t="shared" ref="I7:I11" si="1">J7/655.957</f>
        <v>1373.5656453090676</v>
      </c>
      <c r="J7" s="53">
        <v>901000</v>
      </c>
      <c r="K7" s="2">
        <v>718148.2271984308</v>
      </c>
      <c r="L7" s="2">
        <v>801447756701.5365</v>
      </c>
      <c r="M7">
        <v>0.94159390966967493</v>
      </c>
      <c r="N7">
        <v>1.795717054569189</v>
      </c>
      <c r="O7">
        <f t="shared" si="0"/>
        <v>8.0550223211811059E-2</v>
      </c>
    </row>
    <row r="8" spans="1:15" x14ac:dyDescent="0.3">
      <c r="A8" s="53">
        <v>1501000</v>
      </c>
      <c r="B8" s="53">
        <v>11295</v>
      </c>
      <c r="C8" s="53">
        <v>22285000000</v>
      </c>
      <c r="D8" s="54">
        <v>1.7313253277608596</v>
      </c>
      <c r="F8" s="53">
        <v>1501000</v>
      </c>
      <c r="G8" s="55">
        <v>11295</v>
      </c>
      <c r="H8" s="55">
        <v>22285000000</v>
      </c>
      <c r="I8" s="2">
        <f t="shared" si="1"/>
        <v>2288.2597487335297</v>
      </c>
      <c r="J8" s="53">
        <v>1501000</v>
      </c>
      <c r="K8" s="2">
        <v>250251</v>
      </c>
      <c r="L8" s="2">
        <v>498009859594.38379</v>
      </c>
      <c r="M8">
        <v>0.98189346556629642</v>
      </c>
      <c r="N8">
        <v>1.8222015186158269</v>
      </c>
      <c r="O8">
        <f t="shared" si="0"/>
        <v>8.0431247027983904E-2</v>
      </c>
    </row>
    <row r="9" spans="1:15" x14ac:dyDescent="0.3">
      <c r="A9" s="53">
        <v>3001000</v>
      </c>
      <c r="B9" s="53">
        <v>2239</v>
      </c>
      <c r="C9" s="53">
        <v>8822000000</v>
      </c>
      <c r="D9" s="54">
        <v>1.7192336853898942</v>
      </c>
      <c r="F9" s="53">
        <v>3001000</v>
      </c>
      <c r="G9" s="55">
        <v>2239</v>
      </c>
      <c r="H9" s="55">
        <v>8822000000</v>
      </c>
      <c r="I9" s="2">
        <f t="shared" si="1"/>
        <v>4574.9950072946858</v>
      </c>
      <c r="J9" s="53">
        <v>3001000</v>
      </c>
      <c r="K9" s="2">
        <v>57596</v>
      </c>
      <c r="L9" s="2">
        <v>228895600000</v>
      </c>
      <c r="M9">
        <v>0.99593653325167952</v>
      </c>
      <c r="N9">
        <v>1.7694373023899563</v>
      </c>
      <c r="O9">
        <f t="shared" si="0"/>
        <v>7.9866657406764352E-2</v>
      </c>
    </row>
    <row r="10" spans="1:15" x14ac:dyDescent="0.3">
      <c r="A10" s="53">
        <v>6000000</v>
      </c>
      <c r="B10" s="53">
        <v>376</v>
      </c>
      <c r="C10" s="53">
        <v>2802000000</v>
      </c>
      <c r="D10" s="54">
        <v>1.7332053742802305</v>
      </c>
      <c r="F10" s="53">
        <v>6000000</v>
      </c>
      <c r="G10" s="55">
        <v>376</v>
      </c>
      <c r="H10" s="55">
        <v>2802000000</v>
      </c>
      <c r="I10" s="2">
        <f t="shared" si="1"/>
        <v>9146.9410342446226</v>
      </c>
      <c r="J10" s="53">
        <v>6000000</v>
      </c>
      <c r="K10" s="2">
        <v>10396</v>
      </c>
      <c r="L10" s="2">
        <v>77444404255.319153</v>
      </c>
      <c r="M10">
        <v>0.99916858637597195</v>
      </c>
      <c r="N10">
        <v>1.7505625710484749</v>
      </c>
      <c r="O10">
        <f t="shared" si="0"/>
        <v>8.4263178145440557E-2</v>
      </c>
    </row>
    <row r="11" spans="1:15" x14ac:dyDescent="0.3">
      <c r="A11" s="53">
        <v>10000000</v>
      </c>
      <c r="B11" s="53">
        <v>145</v>
      </c>
      <c r="C11" s="53">
        <v>2616000000</v>
      </c>
      <c r="D11" s="54">
        <v>1.8041379310344827</v>
      </c>
      <c r="F11" s="53">
        <v>10000000</v>
      </c>
      <c r="G11" s="55">
        <v>145</v>
      </c>
      <c r="H11" s="55">
        <v>2616000000</v>
      </c>
      <c r="I11" s="2">
        <f t="shared" si="1"/>
        <v>15244.901723741039</v>
      </c>
      <c r="J11" s="53">
        <v>10000000</v>
      </c>
      <c r="K11" s="2">
        <v>4420</v>
      </c>
      <c r="L11" s="2">
        <v>78173606060.606064</v>
      </c>
      <c r="M11">
        <v>0.99975196758786422</v>
      </c>
      <c r="N11">
        <v>1.7686336212806801</v>
      </c>
      <c r="O11">
        <f t="shared" si="0"/>
        <v>9.3891402714932126E-2</v>
      </c>
    </row>
    <row r="12" spans="1:15" x14ac:dyDescent="0.3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3">
      <c r="A13" s="53">
        <v>331500</v>
      </c>
      <c r="B13" s="53">
        <v>20830</v>
      </c>
      <c r="C13" s="53">
        <v>7098000000</v>
      </c>
      <c r="D13" s="54">
        <v>1.9908476292152912</v>
      </c>
      <c r="F13" s="53">
        <v>221000</v>
      </c>
      <c r="G13" s="2">
        <v>250215.79326383452</v>
      </c>
      <c r="H13" s="2">
        <v>70225309743.396835</v>
      </c>
      <c r="K13" s="5">
        <v>17820251.643483676</v>
      </c>
    </row>
    <row r="14" spans="1:15" x14ac:dyDescent="0.3">
      <c r="A14" s="53">
        <v>351000</v>
      </c>
      <c r="B14" s="53">
        <v>152469</v>
      </c>
      <c r="C14" s="53">
        <v>68554000000</v>
      </c>
      <c r="D14" s="54">
        <v>1.9618864983688498</v>
      </c>
      <c r="F14" s="53">
        <v>351000</v>
      </c>
      <c r="G14" s="55">
        <v>152469</v>
      </c>
      <c r="H14" s="55">
        <v>68554000000</v>
      </c>
    </row>
    <row r="15" spans="1:15" x14ac:dyDescent="0.3">
      <c r="A15" s="53">
        <v>601000</v>
      </c>
      <c r="B15" s="53">
        <v>48689</v>
      </c>
      <c r="C15" s="53">
        <v>34842000000</v>
      </c>
      <c r="D15" s="54">
        <v>1.907869600823872</v>
      </c>
      <c r="F15" s="53">
        <v>601000</v>
      </c>
      <c r="G15" s="55">
        <v>48689</v>
      </c>
      <c r="H15" s="55">
        <v>34842000000</v>
      </c>
    </row>
    <row r="16" spans="1:15" x14ac:dyDescent="0.3">
      <c r="A16" s="53">
        <v>901000</v>
      </c>
      <c r="B16" s="53">
        <v>19763</v>
      </c>
      <c r="C16" s="53">
        <v>22208000000</v>
      </c>
      <c r="D16" s="54">
        <v>2.027094653690193</v>
      </c>
      <c r="F16" s="53">
        <v>901000</v>
      </c>
      <c r="G16" s="55">
        <v>19763</v>
      </c>
      <c r="H16" s="55">
        <v>22208000000</v>
      </c>
    </row>
    <row r="17" spans="1:8" x14ac:dyDescent="0.3">
      <c r="A17" s="53">
        <v>1501000</v>
      </c>
      <c r="B17" s="53">
        <v>8153</v>
      </c>
      <c r="C17" s="53">
        <v>16299000000</v>
      </c>
      <c r="D17" s="54">
        <v>2.0496432629994503</v>
      </c>
      <c r="F17" s="53">
        <v>1501000</v>
      </c>
      <c r="G17" s="55">
        <v>8153</v>
      </c>
      <c r="H17" s="55">
        <v>16299000000</v>
      </c>
    </row>
    <row r="18" spans="1:8" x14ac:dyDescent="0.3">
      <c r="A18" s="53">
        <v>3001000</v>
      </c>
      <c r="B18" s="53">
        <v>2225</v>
      </c>
      <c r="C18" s="53">
        <v>8946000000</v>
      </c>
      <c r="D18" s="54">
        <v>2.0153408493966154</v>
      </c>
      <c r="F18" s="53">
        <v>3001000</v>
      </c>
      <c r="G18" s="55">
        <v>2225</v>
      </c>
      <c r="H18" s="55">
        <v>8946000000</v>
      </c>
    </row>
    <row r="19" spans="1:8" x14ac:dyDescent="0.3">
      <c r="A19" s="53">
        <v>6000000</v>
      </c>
      <c r="B19" s="53">
        <v>477</v>
      </c>
      <c r="C19" s="53">
        <v>3553000000</v>
      </c>
      <c r="D19" s="54">
        <v>2.0364797081623349</v>
      </c>
      <c r="F19" s="53">
        <v>6000000</v>
      </c>
      <c r="G19" s="55">
        <v>477</v>
      </c>
      <c r="H19" s="55">
        <v>3553000000</v>
      </c>
    </row>
    <row r="20" spans="1:8" x14ac:dyDescent="0.3">
      <c r="A20" s="53">
        <v>10000000</v>
      </c>
      <c r="B20" s="53">
        <v>254</v>
      </c>
      <c r="C20" s="53">
        <v>5379000000</v>
      </c>
      <c r="D20" s="54">
        <v>2.1177165354330709</v>
      </c>
      <c r="F20" s="53">
        <v>10000000</v>
      </c>
      <c r="G20" s="55">
        <v>254</v>
      </c>
      <c r="H20" s="55">
        <v>5379000000</v>
      </c>
    </row>
    <row r="21" spans="1:8" x14ac:dyDescent="0.3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3">
      <c r="A22" s="53">
        <v>221000</v>
      </c>
      <c r="B22" s="53"/>
      <c r="C22" s="53"/>
      <c r="D22" s="54"/>
      <c r="F22" s="53">
        <v>221000</v>
      </c>
      <c r="G22" s="2">
        <v>2702540.2409819844</v>
      </c>
      <c r="H22" s="2">
        <v>758492192044.95923</v>
      </c>
    </row>
    <row r="23" spans="1:8" x14ac:dyDescent="0.3">
      <c r="A23" s="53">
        <v>442000</v>
      </c>
      <c r="B23" s="53">
        <v>547874</v>
      </c>
      <c r="C23" s="53">
        <v>282551000000</v>
      </c>
      <c r="D23" s="54">
        <v>1.9624252001200311</v>
      </c>
      <c r="F23" s="53">
        <v>351000</v>
      </c>
      <c r="G23" s="2">
        <v>1646792.9646942841</v>
      </c>
      <c r="H23" s="2">
        <v>740440646306.14722</v>
      </c>
    </row>
    <row r="24" spans="1:8" x14ac:dyDescent="0.3">
      <c r="A24" s="53">
        <v>601000</v>
      </c>
      <c r="B24" s="53">
        <v>525882</v>
      </c>
      <c r="C24" s="53">
        <v>381504000000</v>
      </c>
      <c r="D24" s="54">
        <v>1.8012625070529895</v>
      </c>
      <c r="F24" s="53">
        <v>601000</v>
      </c>
      <c r="G24" s="55">
        <v>525882</v>
      </c>
      <c r="H24" s="55">
        <v>381504000000</v>
      </c>
    </row>
    <row r="25" spans="1:8" x14ac:dyDescent="0.3">
      <c r="A25" s="53">
        <v>901000</v>
      </c>
      <c r="B25" s="53">
        <v>261502</v>
      </c>
      <c r="C25" s="53">
        <v>290658000000</v>
      </c>
      <c r="D25" s="54">
        <v>1.7654916698491836</v>
      </c>
      <c r="F25" s="53">
        <v>901000</v>
      </c>
      <c r="G25" s="55">
        <v>261502</v>
      </c>
      <c r="H25" s="55">
        <v>290658000000</v>
      </c>
    </row>
    <row r="26" spans="1:8" x14ac:dyDescent="0.3">
      <c r="A26" s="53">
        <v>1501000</v>
      </c>
      <c r="B26" s="53">
        <v>84320</v>
      </c>
      <c r="C26" s="53">
        <v>166973000000</v>
      </c>
      <c r="D26" s="54">
        <v>1.832350824197519</v>
      </c>
      <c r="F26" s="53">
        <v>1501000</v>
      </c>
      <c r="G26" s="55">
        <v>84320</v>
      </c>
      <c r="H26" s="55">
        <v>166973000000</v>
      </c>
    </row>
    <row r="27" spans="1:8" x14ac:dyDescent="0.3">
      <c r="A27" s="53">
        <v>3001000</v>
      </c>
      <c r="B27" s="53">
        <v>18499</v>
      </c>
      <c r="C27" s="53">
        <v>73597000000</v>
      </c>
      <c r="D27" s="54">
        <v>1.8278454206317361</v>
      </c>
      <c r="F27" s="53">
        <v>3001000</v>
      </c>
      <c r="G27" s="55">
        <v>18499</v>
      </c>
      <c r="H27" s="55">
        <v>73597000000</v>
      </c>
    </row>
    <row r="28" spans="1:8" x14ac:dyDescent="0.3">
      <c r="A28" s="53">
        <v>6000000</v>
      </c>
      <c r="B28" s="53">
        <v>3573</v>
      </c>
      <c r="C28" s="53">
        <v>26827000000</v>
      </c>
      <c r="D28" s="54">
        <v>1.8002161200101705</v>
      </c>
      <c r="F28" s="53">
        <v>6000000</v>
      </c>
      <c r="G28" s="55">
        <v>3573</v>
      </c>
      <c r="H28" s="55">
        <v>26827000000</v>
      </c>
    </row>
    <row r="29" spans="1:8" x14ac:dyDescent="0.3">
      <c r="A29" s="53">
        <v>10000000</v>
      </c>
      <c r="B29" s="53">
        <v>1671</v>
      </c>
      <c r="C29" s="53">
        <v>29815000000</v>
      </c>
      <c r="D29" s="54">
        <v>1.7842609216038301</v>
      </c>
      <c r="F29" s="53">
        <v>10000000</v>
      </c>
      <c r="G29" s="55">
        <v>1671</v>
      </c>
      <c r="H29" s="55">
        <v>29815000000</v>
      </c>
    </row>
    <row r="30" spans="1:8" x14ac:dyDescent="0.3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3">
      <c r="A31" s="53">
        <v>221000</v>
      </c>
      <c r="B31" s="53"/>
      <c r="C31" s="53"/>
      <c r="D31" s="54"/>
      <c r="F31" s="53">
        <v>221000</v>
      </c>
      <c r="G31" s="2">
        <v>33876.697184070268</v>
      </c>
      <c r="H31" s="2">
        <v>9507799335.1367245</v>
      </c>
    </row>
    <row r="32" spans="1:8" x14ac:dyDescent="0.3">
      <c r="A32" s="53">
        <v>442000</v>
      </c>
      <c r="B32" s="53">
        <v>15449</v>
      </c>
      <c r="C32" s="53">
        <v>7903000000</v>
      </c>
      <c r="D32" s="54">
        <v>1.5696334638978875</v>
      </c>
      <c r="F32" s="53">
        <v>351000</v>
      </c>
      <c r="G32" s="2">
        <v>20642.766292180986</v>
      </c>
      <c r="H32" s="2">
        <v>9281520836.3285332</v>
      </c>
    </row>
    <row r="33" spans="1:8" x14ac:dyDescent="0.3">
      <c r="A33" s="53">
        <v>601000</v>
      </c>
      <c r="B33" s="53">
        <v>6592</v>
      </c>
      <c r="C33" s="53">
        <v>4660000000</v>
      </c>
      <c r="D33" s="54">
        <v>1.6443981584550909</v>
      </c>
      <c r="F33" s="53">
        <v>601000</v>
      </c>
      <c r="G33" s="55">
        <v>6592</v>
      </c>
      <c r="H33" s="55">
        <v>4660000000</v>
      </c>
    </row>
    <row r="34" spans="1:8" x14ac:dyDescent="0.3">
      <c r="A34" s="53">
        <v>901000</v>
      </c>
      <c r="B34" s="53">
        <v>2112</v>
      </c>
      <c r="C34" s="53">
        <v>2365000000</v>
      </c>
      <c r="D34" s="54">
        <v>1.7906928114550473</v>
      </c>
      <c r="F34" s="53">
        <v>901000</v>
      </c>
      <c r="G34" s="55">
        <v>2112</v>
      </c>
      <c r="H34" s="55">
        <v>2365000000</v>
      </c>
    </row>
    <row r="35" spans="1:8" x14ac:dyDescent="0.3">
      <c r="A35" s="53">
        <v>1501000</v>
      </c>
      <c r="B35" s="53">
        <v>680</v>
      </c>
      <c r="C35" s="53">
        <v>1358000000</v>
      </c>
      <c r="D35" s="54">
        <v>1.8872408647646208</v>
      </c>
      <c r="F35" s="53">
        <v>1501000</v>
      </c>
      <c r="G35" s="55">
        <v>680</v>
      </c>
      <c r="H35" s="55">
        <v>1358000000</v>
      </c>
    </row>
    <row r="36" spans="1:8" x14ac:dyDescent="0.3">
      <c r="A36" s="53">
        <v>3001000</v>
      </c>
      <c r="B36" s="53">
        <v>136</v>
      </c>
      <c r="C36" s="53">
        <v>547000000</v>
      </c>
      <c r="D36" s="54">
        <v>2.0259913362212596</v>
      </c>
      <c r="F36" s="53">
        <v>3001000</v>
      </c>
      <c r="G36" s="55">
        <v>136</v>
      </c>
      <c r="H36" s="55">
        <v>547000000</v>
      </c>
    </row>
    <row r="37" spans="1:8" x14ac:dyDescent="0.3">
      <c r="A37" s="53">
        <v>6000000</v>
      </c>
      <c r="B37" s="53">
        <v>23</v>
      </c>
      <c r="C37" s="53">
        <v>177000000</v>
      </c>
      <c r="D37" s="54">
        <v>2.2094017094017095</v>
      </c>
      <c r="F37" s="53">
        <v>6000000</v>
      </c>
      <c r="G37" s="55">
        <v>23</v>
      </c>
      <c r="H37" s="55">
        <v>177000000</v>
      </c>
    </row>
    <row r="38" spans="1:8" x14ac:dyDescent="0.3">
      <c r="A38" s="53">
        <v>10000000</v>
      </c>
      <c r="B38" s="53">
        <v>16</v>
      </c>
      <c r="C38" s="53">
        <v>340000000</v>
      </c>
      <c r="D38" s="54">
        <v>2.125</v>
      </c>
      <c r="F38" s="53">
        <v>10000000</v>
      </c>
      <c r="G38" s="55">
        <v>16</v>
      </c>
      <c r="H38" s="55">
        <v>340000000</v>
      </c>
    </row>
    <row r="39" spans="1:8" x14ac:dyDescent="0.3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3">
      <c r="A40" s="53">
        <v>221000</v>
      </c>
      <c r="B40" s="53"/>
      <c r="C40" s="53"/>
      <c r="D40" s="54"/>
      <c r="F40" s="53">
        <v>221000</v>
      </c>
      <c r="G40" s="2">
        <v>1877623.1361139966</v>
      </c>
      <c r="H40" s="2">
        <v>526971797403.45258</v>
      </c>
    </row>
    <row r="41" spans="1:8" x14ac:dyDescent="0.3">
      <c r="A41" s="53">
        <v>552500</v>
      </c>
      <c r="B41" s="53">
        <v>97516</v>
      </c>
      <c r="C41" s="53">
        <v>56126000000</v>
      </c>
      <c r="D41" s="54">
        <v>1.7676950387962389</v>
      </c>
      <c r="F41" s="53">
        <v>351000</v>
      </c>
      <c r="G41" s="2">
        <v>1144129.7058267782</v>
      </c>
      <c r="H41" s="2">
        <v>514430263550.28864</v>
      </c>
    </row>
    <row r="42" spans="1:8" x14ac:dyDescent="0.3">
      <c r="A42" s="53">
        <v>601000</v>
      </c>
      <c r="B42" s="53">
        <v>365363</v>
      </c>
      <c r="C42" s="53">
        <v>265381000000</v>
      </c>
      <c r="D42" s="54">
        <v>1.732285729275693</v>
      </c>
      <c r="F42" s="53">
        <v>601000</v>
      </c>
      <c r="G42" s="55">
        <v>365363</v>
      </c>
      <c r="H42" s="55">
        <v>265381000000</v>
      </c>
    </row>
    <row r="43" spans="1:8" x14ac:dyDescent="0.3">
      <c r="A43" s="53">
        <v>901000</v>
      </c>
      <c r="B43" s="53">
        <v>176193</v>
      </c>
      <c r="C43" s="53">
        <v>195672000000</v>
      </c>
      <c r="D43" s="54">
        <v>1.68402781575795</v>
      </c>
      <c r="F43" s="53">
        <v>901000</v>
      </c>
      <c r="G43" s="55">
        <v>176193</v>
      </c>
      <c r="H43" s="55">
        <v>195672000000</v>
      </c>
    </row>
    <row r="44" spans="1:8" x14ac:dyDescent="0.3">
      <c r="A44" s="53">
        <v>1501000</v>
      </c>
      <c r="B44" s="53">
        <v>52305</v>
      </c>
      <c r="C44" s="53">
        <v>103256000000</v>
      </c>
      <c r="D44" s="54">
        <v>1.742060829618491</v>
      </c>
      <c r="F44" s="53">
        <v>1501000</v>
      </c>
      <c r="G44" s="55">
        <v>52305</v>
      </c>
      <c r="H44" s="55">
        <v>103256000000</v>
      </c>
    </row>
    <row r="45" spans="1:8" x14ac:dyDescent="0.3">
      <c r="A45" s="53">
        <v>3001000</v>
      </c>
      <c r="B45" s="53">
        <v>10520</v>
      </c>
      <c r="C45" s="53">
        <v>41594000000</v>
      </c>
      <c r="D45" s="54">
        <v>1.7307349758792117</v>
      </c>
      <c r="F45" s="53">
        <v>3001000</v>
      </c>
      <c r="G45" s="55">
        <v>10520</v>
      </c>
      <c r="H45" s="55">
        <v>41594000000</v>
      </c>
    </row>
    <row r="46" spans="1:8" x14ac:dyDescent="0.3">
      <c r="A46" s="53">
        <v>6000000</v>
      </c>
      <c r="B46" s="53">
        <v>1756</v>
      </c>
      <c r="C46" s="53">
        <v>13022000000</v>
      </c>
      <c r="D46" s="54">
        <v>1.7445432497978981</v>
      </c>
      <c r="F46" s="53">
        <v>6000000</v>
      </c>
      <c r="G46" s="55">
        <v>1756</v>
      </c>
      <c r="H46" s="55">
        <v>13022000000</v>
      </c>
    </row>
    <row r="47" spans="1:8" x14ac:dyDescent="0.3">
      <c r="A47" s="53">
        <v>10000000</v>
      </c>
      <c r="B47" s="53">
        <v>718</v>
      </c>
      <c r="C47" s="53">
        <v>12874000000</v>
      </c>
      <c r="D47" s="54">
        <v>1.7930362116991643</v>
      </c>
      <c r="F47" s="53">
        <v>10000000</v>
      </c>
      <c r="G47" s="55">
        <v>718</v>
      </c>
      <c r="H47" s="55">
        <v>12874000000</v>
      </c>
    </row>
    <row r="48" spans="1:8" x14ac:dyDescent="0.3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3">
      <c r="A49" s="53">
        <v>221000</v>
      </c>
      <c r="B49" s="53"/>
      <c r="C49" s="53"/>
      <c r="D49" s="54"/>
      <c r="F49" s="53">
        <v>221000</v>
      </c>
      <c r="G49" s="2">
        <v>1295909.8209933348</v>
      </c>
      <c r="H49" s="2">
        <v>363708730738.70264</v>
      </c>
    </row>
    <row r="50" spans="1:8" x14ac:dyDescent="0.3">
      <c r="A50" s="53">
        <v>351000</v>
      </c>
      <c r="B50" s="53"/>
      <c r="C50" s="53"/>
      <c r="D50" s="54"/>
      <c r="F50" s="53">
        <v>351000</v>
      </c>
      <c r="G50" s="2">
        <v>789662.68243784469</v>
      </c>
      <c r="H50" s="2">
        <v>355052735518.98425</v>
      </c>
    </row>
    <row r="51" spans="1:8" x14ac:dyDescent="0.3">
      <c r="A51" s="53">
        <v>663000</v>
      </c>
      <c r="B51" s="53">
        <v>161143</v>
      </c>
      <c r="C51" s="53">
        <v>123252000000</v>
      </c>
      <c r="D51" s="54">
        <v>1.8344399002672291</v>
      </c>
      <c r="F51" s="53">
        <v>601000</v>
      </c>
      <c r="G51" s="2">
        <v>252168.54800133943</v>
      </c>
      <c r="H51" s="2">
        <v>183162338378.93671</v>
      </c>
    </row>
    <row r="52" spans="1:8" x14ac:dyDescent="0.3">
      <c r="A52" s="53">
        <v>901000</v>
      </c>
      <c r="B52" s="53">
        <v>121606</v>
      </c>
      <c r="C52" s="53">
        <v>136354000000</v>
      </c>
      <c r="D52" s="54">
        <v>1.7987563738985153</v>
      </c>
      <c r="F52" s="53">
        <v>901000</v>
      </c>
      <c r="G52" s="55">
        <v>121606</v>
      </c>
      <c r="H52" s="55">
        <v>136354000000</v>
      </c>
    </row>
    <row r="53" spans="1:8" x14ac:dyDescent="0.3">
      <c r="A53" s="53">
        <v>1501000</v>
      </c>
      <c r="B53" s="53">
        <v>45528</v>
      </c>
      <c r="C53" s="53">
        <v>90783000000</v>
      </c>
      <c r="D53" s="54">
        <v>1.7745150357912987</v>
      </c>
      <c r="F53" s="53">
        <v>1501000</v>
      </c>
      <c r="G53" s="55">
        <v>45528</v>
      </c>
      <c r="H53" s="55">
        <v>90783000000</v>
      </c>
    </row>
    <row r="54" spans="1:8" x14ac:dyDescent="0.3">
      <c r="A54" s="53">
        <v>3001000</v>
      </c>
      <c r="B54" s="53">
        <v>10395</v>
      </c>
      <c r="C54" s="53">
        <v>41019000000</v>
      </c>
      <c r="D54" s="54">
        <v>1.6869868604058893</v>
      </c>
      <c r="F54" s="53">
        <v>3001000</v>
      </c>
      <c r="G54" s="55">
        <v>10395</v>
      </c>
      <c r="H54" s="55">
        <v>41019000000</v>
      </c>
    </row>
    <row r="55" spans="1:8" x14ac:dyDescent="0.3">
      <c r="A55" s="53">
        <v>6000000</v>
      </c>
      <c r="B55" s="53">
        <v>1672</v>
      </c>
      <c r="C55" s="53">
        <v>12338000000</v>
      </c>
      <c r="D55" s="54">
        <v>1.6808740804846387</v>
      </c>
      <c r="F55" s="53">
        <v>6000000</v>
      </c>
      <c r="G55" s="55">
        <v>1672</v>
      </c>
      <c r="H55" s="55">
        <v>12338000000</v>
      </c>
    </row>
    <row r="56" spans="1:8" x14ac:dyDescent="0.3">
      <c r="A56" s="53">
        <v>10000000</v>
      </c>
      <c r="B56" s="53">
        <v>639</v>
      </c>
      <c r="C56" s="53">
        <v>10969000000</v>
      </c>
      <c r="D56" s="54">
        <v>1.7165884194053207</v>
      </c>
      <c r="F56" s="53">
        <v>10000000</v>
      </c>
      <c r="G56" s="55">
        <v>639</v>
      </c>
      <c r="H56" s="55">
        <v>10969000000</v>
      </c>
    </row>
    <row r="57" spans="1:8" x14ac:dyDescent="0.3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3">
      <c r="A58" s="53">
        <v>221000</v>
      </c>
      <c r="B58" s="53"/>
      <c r="C58" s="53"/>
      <c r="D58" s="54"/>
      <c r="F58" s="53">
        <v>221000</v>
      </c>
      <c r="G58" s="2">
        <v>614343.90795227839</v>
      </c>
      <c r="H58" s="2">
        <v>172421135621.23145</v>
      </c>
    </row>
    <row r="59" spans="1:8" x14ac:dyDescent="0.3">
      <c r="A59" s="53">
        <v>351000</v>
      </c>
      <c r="B59" s="53"/>
      <c r="C59" s="53"/>
      <c r="D59" s="54"/>
      <c r="F59" s="53">
        <v>351000</v>
      </c>
      <c r="G59" s="2">
        <v>374350.47596220014</v>
      </c>
      <c r="H59" s="2">
        <v>168317641809.89362</v>
      </c>
    </row>
    <row r="60" spans="1:8" x14ac:dyDescent="0.3">
      <c r="A60" s="53">
        <v>773500</v>
      </c>
      <c r="B60" s="53">
        <v>32114</v>
      </c>
      <c r="C60" s="53">
        <v>26709000000</v>
      </c>
      <c r="D60" s="54">
        <v>1.9539601120487025</v>
      </c>
      <c r="F60" s="53">
        <v>601000</v>
      </c>
      <c r="G60" s="2">
        <v>119543.97499900676</v>
      </c>
      <c r="H60" s="2">
        <v>86830630439.347748</v>
      </c>
    </row>
    <row r="61" spans="1:8" x14ac:dyDescent="0.3">
      <c r="A61" s="53">
        <v>901000</v>
      </c>
      <c r="B61" s="53">
        <v>57649</v>
      </c>
      <c r="C61" s="53">
        <v>65157000000</v>
      </c>
      <c r="D61" s="54">
        <v>1.9403891315947952</v>
      </c>
      <c r="F61" s="53">
        <v>901000</v>
      </c>
      <c r="G61" s="55">
        <v>57649</v>
      </c>
      <c r="H61" s="55">
        <v>65157000000</v>
      </c>
    </row>
    <row r="62" spans="1:8" x14ac:dyDescent="0.3">
      <c r="A62" s="53">
        <v>1501000</v>
      </c>
      <c r="B62" s="53">
        <v>26029</v>
      </c>
      <c r="C62" s="53">
        <v>52388000000</v>
      </c>
      <c r="D62" s="54">
        <v>1.853017701730697</v>
      </c>
      <c r="F62" s="53">
        <v>1501000</v>
      </c>
      <c r="G62" s="55">
        <v>26029</v>
      </c>
      <c r="H62" s="55">
        <v>52388000000</v>
      </c>
    </row>
    <row r="63" spans="1:8" x14ac:dyDescent="0.3">
      <c r="A63" s="53">
        <v>3001000</v>
      </c>
      <c r="B63" s="53">
        <v>6804</v>
      </c>
      <c r="C63" s="53">
        <v>27060000000</v>
      </c>
      <c r="D63" s="54">
        <v>1.7149129959044387</v>
      </c>
      <c r="F63" s="53">
        <v>3001000</v>
      </c>
      <c r="G63" s="55">
        <v>6804</v>
      </c>
      <c r="H63" s="55">
        <v>27060000000</v>
      </c>
    </row>
    <row r="64" spans="1:8" x14ac:dyDescent="0.3">
      <c r="A64" s="53">
        <v>6000000</v>
      </c>
      <c r="B64" s="53">
        <v>1183</v>
      </c>
      <c r="C64" s="53">
        <v>8763000000</v>
      </c>
      <c r="D64" s="54">
        <v>1.6585144927536231</v>
      </c>
      <c r="F64" s="53">
        <v>6000000</v>
      </c>
      <c r="G64" s="55">
        <v>1183</v>
      </c>
      <c r="H64" s="55">
        <v>8763000000</v>
      </c>
    </row>
    <row r="65" spans="1:8" x14ac:dyDescent="0.3">
      <c r="A65" s="53">
        <v>10000000</v>
      </c>
      <c r="B65" s="53">
        <v>473</v>
      </c>
      <c r="C65" s="53">
        <v>7716000000</v>
      </c>
      <c r="D65" s="54">
        <v>1.6312896405919661</v>
      </c>
      <c r="F65" s="53">
        <v>10000000</v>
      </c>
      <c r="G65" s="55">
        <v>473</v>
      </c>
      <c r="H65" s="55">
        <v>7716000000</v>
      </c>
    </row>
    <row r="66" spans="1:8" x14ac:dyDescent="0.3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3">
      <c r="A67" s="53">
        <v>221000</v>
      </c>
      <c r="B67" s="53"/>
      <c r="C67" s="53"/>
      <c r="D67" s="54"/>
      <c r="F67" s="53">
        <v>221000</v>
      </c>
      <c r="G67" s="2">
        <v>257634.62191285676</v>
      </c>
      <c r="H67" s="2">
        <v>72307470637.45929</v>
      </c>
    </row>
    <row r="68" spans="1:8" x14ac:dyDescent="0.3">
      <c r="A68" s="53">
        <v>351000</v>
      </c>
      <c r="B68" s="53"/>
      <c r="C68" s="53"/>
      <c r="D68" s="54"/>
      <c r="F68" s="53">
        <v>351000</v>
      </c>
      <c r="G68" s="2">
        <v>156989.66342628925</v>
      </c>
      <c r="H68" s="2">
        <v>70586607025.204025</v>
      </c>
    </row>
    <row r="69" spans="1:8" x14ac:dyDescent="0.3">
      <c r="A69" s="53">
        <v>884000</v>
      </c>
      <c r="B69" s="53">
        <v>1740</v>
      </c>
      <c r="C69" s="53">
        <v>1552000000</v>
      </c>
      <c r="D69" s="54">
        <v>2.0452533321346031</v>
      </c>
      <c r="F69" s="53">
        <v>601000</v>
      </c>
      <c r="G69" s="2">
        <v>50132.615302537553</v>
      </c>
      <c r="H69" s="2">
        <v>36413768174.672089</v>
      </c>
    </row>
    <row r="70" spans="1:8" x14ac:dyDescent="0.3">
      <c r="A70" s="53">
        <v>901000</v>
      </c>
      <c r="B70" s="53">
        <v>24176</v>
      </c>
      <c r="C70" s="53">
        <v>27311000000</v>
      </c>
      <c r="D70" s="54">
        <v>2.0499816569431752</v>
      </c>
      <c r="F70" s="53">
        <v>901000</v>
      </c>
      <c r="G70" s="55">
        <v>24176</v>
      </c>
      <c r="H70" s="55">
        <v>27311000000</v>
      </c>
    </row>
    <row r="71" spans="1:8" x14ac:dyDescent="0.3">
      <c r="A71" s="53">
        <v>1501000</v>
      </c>
      <c r="B71" s="53">
        <v>12236</v>
      </c>
      <c r="C71" s="53">
        <v>24853000000</v>
      </c>
      <c r="D71" s="54">
        <v>1.9239409218995533</v>
      </c>
      <c r="F71" s="53">
        <v>1501000</v>
      </c>
      <c r="G71" s="55">
        <v>12236</v>
      </c>
      <c r="H71" s="55">
        <v>24853000000</v>
      </c>
    </row>
    <row r="72" spans="1:8" x14ac:dyDescent="0.3">
      <c r="A72" s="53">
        <v>3001000</v>
      </c>
      <c r="B72" s="53">
        <v>3503</v>
      </c>
      <c r="C72" s="53">
        <v>14097000000</v>
      </c>
      <c r="D72" s="54">
        <v>1.7513174397781872</v>
      </c>
      <c r="F72" s="53">
        <v>3001000</v>
      </c>
      <c r="G72" s="55">
        <v>3503</v>
      </c>
      <c r="H72" s="55">
        <v>14097000000</v>
      </c>
    </row>
    <row r="73" spans="1:8" x14ac:dyDescent="0.3">
      <c r="A73" s="53">
        <v>6000000</v>
      </c>
      <c r="B73" s="53">
        <v>667</v>
      </c>
      <c r="C73" s="53">
        <v>4927000000</v>
      </c>
      <c r="D73" s="54">
        <v>1.654040404040404</v>
      </c>
      <c r="F73" s="53">
        <v>6000000</v>
      </c>
      <c r="G73" s="55">
        <v>667</v>
      </c>
      <c r="H73" s="55">
        <v>4927000000</v>
      </c>
    </row>
    <row r="74" spans="1:8" x14ac:dyDescent="0.3">
      <c r="A74" s="53">
        <v>10000000</v>
      </c>
      <c r="B74" s="53">
        <v>257</v>
      </c>
      <c r="C74" s="53">
        <v>4243000000</v>
      </c>
      <c r="D74" s="54">
        <v>1.6509727626459143</v>
      </c>
      <c r="F74" s="53">
        <v>10000000</v>
      </c>
      <c r="G74" s="55">
        <v>257</v>
      </c>
      <c r="H74" s="55">
        <v>4243000000</v>
      </c>
    </row>
    <row r="75" spans="1:8" x14ac:dyDescent="0.3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3">
      <c r="A76" s="53">
        <v>221000</v>
      </c>
      <c r="B76" s="53"/>
      <c r="C76" s="53"/>
      <c r="D76" s="54"/>
      <c r="F76" s="53">
        <v>221000</v>
      </c>
      <c r="G76" s="2">
        <v>116478.81075694044</v>
      </c>
      <c r="H76" s="2">
        <v>32690824417.001038</v>
      </c>
    </row>
    <row r="77" spans="1:8" x14ac:dyDescent="0.3">
      <c r="A77" s="53">
        <v>351000</v>
      </c>
      <c r="B77" s="53"/>
      <c r="C77" s="53"/>
      <c r="D77" s="54"/>
      <c r="F77" s="53">
        <v>351000</v>
      </c>
      <c r="G77" s="2">
        <v>70976.366302241906</v>
      </c>
      <c r="H77" s="2">
        <v>31912807295.147812</v>
      </c>
    </row>
    <row r="78" spans="1:8" x14ac:dyDescent="0.3">
      <c r="A78" s="53">
        <v>601000</v>
      </c>
      <c r="B78" s="53"/>
      <c r="C78" s="53"/>
      <c r="D78" s="54"/>
      <c r="F78" s="53">
        <v>601000</v>
      </c>
      <c r="G78" s="2">
        <v>22665.383119780789</v>
      </c>
      <c r="H78" s="2">
        <v>16462975281.32445</v>
      </c>
    </row>
    <row r="79" spans="1:8" x14ac:dyDescent="0.3">
      <c r="A79" s="53">
        <v>994500</v>
      </c>
      <c r="B79" s="53">
        <v>7473</v>
      </c>
      <c r="C79" s="53">
        <v>8934000000</v>
      </c>
      <c r="D79" s="54">
        <v>2.1331642408056513</v>
      </c>
      <c r="F79" s="53">
        <v>901000</v>
      </c>
      <c r="G79" s="2">
        <v>10930.175874468781</v>
      </c>
      <c r="H79" s="2">
        <v>12347536122.915985</v>
      </c>
    </row>
    <row r="80" spans="1:8" x14ac:dyDescent="0.3">
      <c r="A80" s="53">
        <v>1501000</v>
      </c>
      <c r="B80" s="53">
        <v>5532</v>
      </c>
      <c r="C80" s="53">
        <v>11279000000</v>
      </c>
      <c r="D80" s="54">
        <v>2.0016432808619333</v>
      </c>
      <c r="F80" s="53">
        <v>1501000</v>
      </c>
      <c r="G80" s="55">
        <v>5532</v>
      </c>
      <c r="H80" s="55">
        <v>11279000000</v>
      </c>
    </row>
    <row r="81" spans="1:8" x14ac:dyDescent="0.3">
      <c r="A81" s="53">
        <v>3001000</v>
      </c>
      <c r="B81" s="53">
        <v>1822</v>
      </c>
      <c r="C81" s="53">
        <v>7355000000</v>
      </c>
      <c r="D81" s="54">
        <v>1.7737143174497392</v>
      </c>
      <c r="F81" s="53">
        <v>3001000</v>
      </c>
      <c r="G81" s="55">
        <v>1822</v>
      </c>
      <c r="H81" s="55">
        <v>7355000000</v>
      </c>
    </row>
    <row r="82" spans="1:8" x14ac:dyDescent="0.3">
      <c r="A82" s="53">
        <v>6000000</v>
      </c>
      <c r="B82" s="53">
        <v>349</v>
      </c>
      <c r="C82" s="53">
        <v>2624000000</v>
      </c>
      <c r="D82" s="54">
        <v>1.6974412171507609</v>
      </c>
      <c r="F82" s="53">
        <v>6000000</v>
      </c>
      <c r="G82" s="55">
        <v>349</v>
      </c>
      <c r="H82" s="55">
        <v>2624000000</v>
      </c>
    </row>
    <row r="83" spans="1:8" x14ac:dyDescent="0.3">
      <c r="A83" s="53">
        <v>10000000</v>
      </c>
      <c r="B83" s="53">
        <v>133</v>
      </c>
      <c r="C83" s="53">
        <v>2285000000</v>
      </c>
      <c r="D83" s="54">
        <v>1.7180451127819549</v>
      </c>
      <c r="F83" s="53">
        <v>10000000</v>
      </c>
      <c r="G83" s="55">
        <v>133</v>
      </c>
      <c r="H83" s="55">
        <v>2285000000</v>
      </c>
    </row>
    <row r="84" spans="1:8" x14ac:dyDescent="0.3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3">
      <c r="A85" s="53">
        <v>221000</v>
      </c>
      <c r="B85" s="53"/>
      <c r="C85" s="53"/>
      <c r="D85" s="54"/>
      <c r="F85" s="53">
        <v>221000</v>
      </c>
      <c r="G85" s="2">
        <v>53986.202238032412</v>
      </c>
      <c r="H85" s="2">
        <v>15151712546.12991</v>
      </c>
    </row>
    <row r="86" spans="1:8" x14ac:dyDescent="0.3">
      <c r="A86" s="53">
        <v>351000</v>
      </c>
      <c r="B86" s="53"/>
      <c r="C86" s="53"/>
      <c r="D86" s="54"/>
      <c r="F86" s="53">
        <v>351000</v>
      </c>
      <c r="G86" s="2">
        <v>32896.49370913743</v>
      </c>
      <c r="H86" s="2">
        <v>14791113142.581163</v>
      </c>
    </row>
    <row r="87" spans="1:8" x14ac:dyDescent="0.3">
      <c r="A87" s="53">
        <v>601000</v>
      </c>
      <c r="B87" s="53"/>
      <c r="C87" s="53"/>
      <c r="D87" s="54"/>
      <c r="F87" s="53">
        <v>601000</v>
      </c>
      <c r="G87" s="2">
        <v>10505.069110469622</v>
      </c>
      <c r="H87" s="2">
        <v>7630345014.6991854</v>
      </c>
    </row>
    <row r="88" spans="1:8" x14ac:dyDescent="0.3">
      <c r="A88" s="53">
        <v>1105000</v>
      </c>
      <c r="B88" s="53">
        <v>2241</v>
      </c>
      <c r="C88" s="53">
        <v>2864000000</v>
      </c>
      <c r="D88" s="54">
        <v>2.1522169184285396</v>
      </c>
      <c r="F88" s="53">
        <v>901000</v>
      </c>
      <c r="G88" s="2">
        <v>5065.9745014710697</v>
      </c>
      <c r="H88" s="2">
        <v>5722899967.3095789</v>
      </c>
    </row>
    <row r="89" spans="1:8" x14ac:dyDescent="0.3">
      <c r="A89" s="53">
        <v>1501000</v>
      </c>
      <c r="B89" s="53">
        <v>2564</v>
      </c>
      <c r="C89" s="53">
        <v>5236000000</v>
      </c>
      <c r="D89" s="54">
        <v>2.0334539139024868</v>
      </c>
      <c r="F89" s="53">
        <v>1501000</v>
      </c>
      <c r="G89" s="55">
        <v>2564</v>
      </c>
      <c r="H89" s="55">
        <v>5236000000</v>
      </c>
    </row>
    <row r="90" spans="1:8" x14ac:dyDescent="0.3">
      <c r="A90" s="53">
        <v>3001000</v>
      </c>
      <c r="B90" s="53">
        <v>840</v>
      </c>
      <c r="C90" s="53">
        <v>3384000000</v>
      </c>
      <c r="D90" s="54">
        <v>1.8059184415676186</v>
      </c>
      <c r="F90" s="53">
        <v>3001000</v>
      </c>
      <c r="G90" s="55">
        <v>840</v>
      </c>
      <c r="H90" s="55">
        <v>3384000000</v>
      </c>
    </row>
    <row r="91" spans="1:8" x14ac:dyDescent="0.3">
      <c r="A91" s="53">
        <v>6000000</v>
      </c>
      <c r="B91" s="53">
        <v>188</v>
      </c>
      <c r="C91" s="53">
        <v>1413000000</v>
      </c>
      <c r="D91" s="54">
        <v>1.6699475065616798</v>
      </c>
      <c r="F91" s="53">
        <v>6000000</v>
      </c>
      <c r="G91" s="55">
        <v>188</v>
      </c>
      <c r="H91" s="55">
        <v>1413000000</v>
      </c>
    </row>
    <row r="92" spans="1:8" x14ac:dyDescent="0.3">
      <c r="A92" s="53">
        <v>10000000</v>
      </c>
      <c r="B92" s="53">
        <v>66</v>
      </c>
      <c r="C92" s="53">
        <v>1132000000</v>
      </c>
      <c r="D92" s="54">
        <v>1.7151515151515153</v>
      </c>
      <c r="F92" s="53">
        <v>10000000</v>
      </c>
      <c r="G92" s="55">
        <v>66</v>
      </c>
      <c r="H92" s="55">
        <v>1132000000</v>
      </c>
    </row>
    <row r="93" spans="1:8" x14ac:dyDescent="0.3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3">
      <c r="A94" s="53">
        <v>221000</v>
      </c>
      <c r="B94" s="53"/>
      <c r="C94" s="53"/>
      <c r="D94" s="54"/>
      <c r="F94" s="53">
        <v>221000</v>
      </c>
      <c r="G94" s="2">
        <v>22424.066062209255</v>
      </c>
      <c r="H94" s="2">
        <v>6293515546.6569252</v>
      </c>
    </row>
    <row r="95" spans="1:8" x14ac:dyDescent="0.3">
      <c r="A95" s="53">
        <v>351000</v>
      </c>
      <c r="B95" s="53"/>
      <c r="C95" s="53"/>
      <c r="D95" s="54"/>
      <c r="F95" s="53">
        <v>351000</v>
      </c>
      <c r="G95" s="2">
        <v>13664.105226299285</v>
      </c>
      <c r="H95" s="2">
        <v>6143734593.1548128</v>
      </c>
    </row>
    <row r="96" spans="1:8" x14ac:dyDescent="0.3">
      <c r="A96" s="53">
        <v>601000</v>
      </c>
      <c r="B96" s="53"/>
      <c r="C96" s="53"/>
      <c r="D96" s="54"/>
      <c r="F96" s="53">
        <v>601000</v>
      </c>
      <c r="G96" s="2">
        <v>4363.4549932332875</v>
      </c>
      <c r="H96" s="2">
        <v>3169390577.4784064</v>
      </c>
    </row>
    <row r="97" spans="1:8" x14ac:dyDescent="0.3">
      <c r="A97" s="53">
        <v>1215500</v>
      </c>
      <c r="B97" s="53">
        <v>609</v>
      </c>
      <c r="C97" s="53">
        <v>817000000</v>
      </c>
      <c r="D97" s="54">
        <v>2.1856761352559668</v>
      </c>
      <c r="F97" s="53">
        <v>901000</v>
      </c>
      <c r="G97" s="2">
        <v>2104.2366786531552</v>
      </c>
      <c r="H97" s="2">
        <v>2377101585.4854531</v>
      </c>
    </row>
    <row r="98" spans="1:8" x14ac:dyDescent="0.3">
      <c r="A98" s="53">
        <v>1501000</v>
      </c>
      <c r="B98" s="53">
        <v>1065</v>
      </c>
      <c r="C98" s="53">
        <v>2191000000</v>
      </c>
      <c r="D98" s="54">
        <v>2.104278016827545</v>
      </c>
      <c r="F98" s="53">
        <v>1501000</v>
      </c>
      <c r="G98" s="55">
        <v>1065</v>
      </c>
      <c r="H98" s="2">
        <v>2174859594.3837752</v>
      </c>
    </row>
    <row r="99" spans="1:8" x14ac:dyDescent="0.3">
      <c r="A99" s="53">
        <v>3001000</v>
      </c>
      <c r="B99" s="53">
        <v>406</v>
      </c>
      <c r="C99" s="53">
        <v>1638000000</v>
      </c>
      <c r="D99" s="54">
        <v>1.7884810524552079</v>
      </c>
      <c r="F99" s="53">
        <v>3001000</v>
      </c>
      <c r="G99" s="55">
        <v>406</v>
      </c>
      <c r="H99" s="2">
        <v>1635600000</v>
      </c>
    </row>
    <row r="100" spans="1:8" x14ac:dyDescent="0.3">
      <c r="A100" s="53">
        <v>6000000</v>
      </c>
      <c r="B100" s="53">
        <v>88</v>
      </c>
      <c r="C100" s="53">
        <v>653000000</v>
      </c>
      <c r="D100" s="54">
        <v>1.6160000000000001</v>
      </c>
      <c r="F100" s="53">
        <v>6000000</v>
      </c>
      <c r="G100" s="55">
        <v>88</v>
      </c>
      <c r="H100" s="2">
        <v>661404255.3191489</v>
      </c>
    </row>
    <row r="101" spans="1:8" x14ac:dyDescent="0.3">
      <c r="A101" s="53">
        <v>10000000</v>
      </c>
      <c r="B101" s="53">
        <v>37</v>
      </c>
      <c r="C101" s="53">
        <v>559000000</v>
      </c>
      <c r="D101" s="54">
        <v>1.5108108108108109</v>
      </c>
      <c r="F101" s="53">
        <v>10000000</v>
      </c>
      <c r="G101" s="55">
        <v>37</v>
      </c>
      <c r="H101" s="2">
        <v>634606060.60606062</v>
      </c>
    </row>
    <row r="102" spans="1:8" x14ac:dyDescent="0.3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3">
      <c r="A103" s="53">
        <v>221000</v>
      </c>
      <c r="B103" s="53"/>
      <c r="C103" s="53"/>
      <c r="D103" s="54"/>
      <c r="F103" s="53">
        <v>221000</v>
      </c>
      <c r="G103" s="2">
        <v>11454.170833654307</v>
      </c>
      <c r="H103" s="2">
        <v>3214715922.4238195</v>
      </c>
    </row>
    <row r="104" spans="1:8" x14ac:dyDescent="0.3">
      <c r="A104" s="53">
        <v>351000</v>
      </c>
      <c r="B104" s="53"/>
      <c r="C104" s="53"/>
      <c r="D104" s="54"/>
      <c r="F104" s="53">
        <v>351000</v>
      </c>
      <c r="G104" s="2">
        <v>6979.5992893021712</v>
      </c>
      <c r="H104" s="2">
        <v>3138208092.6537261</v>
      </c>
    </row>
    <row r="105" spans="1:8" x14ac:dyDescent="0.3">
      <c r="A105" s="53">
        <v>601000</v>
      </c>
      <c r="B105" s="53"/>
      <c r="C105" s="53"/>
      <c r="D105" s="54"/>
      <c r="F105" s="53">
        <v>601000</v>
      </c>
      <c r="G105" s="2">
        <v>2228.8446162618861</v>
      </c>
      <c r="H105" s="2">
        <v>1618918755.0687826</v>
      </c>
    </row>
    <row r="106" spans="1:8" x14ac:dyDescent="0.3">
      <c r="A106" s="53">
        <v>1326000</v>
      </c>
      <c r="B106" s="53">
        <v>159</v>
      </c>
      <c r="C106" s="53">
        <v>225000000</v>
      </c>
      <c r="D106" s="54">
        <v>2.1069248743738229</v>
      </c>
      <c r="F106" s="53">
        <v>901000</v>
      </c>
      <c r="G106" s="2">
        <v>1074.8401438378557</v>
      </c>
      <c r="H106" s="2">
        <v>1214219025.8254333</v>
      </c>
    </row>
    <row r="107" spans="1:8" x14ac:dyDescent="0.3">
      <c r="A107" s="53">
        <v>1501000</v>
      </c>
      <c r="B107" s="53">
        <v>544</v>
      </c>
      <c r="C107" s="53">
        <v>1125000000</v>
      </c>
      <c r="D107" s="54">
        <v>2.0424762317264089</v>
      </c>
      <c r="F107" s="53">
        <v>1501000</v>
      </c>
      <c r="G107" s="55">
        <v>544</v>
      </c>
      <c r="H107" s="55">
        <v>1125000000</v>
      </c>
    </row>
    <row r="108" spans="1:8" x14ac:dyDescent="0.3">
      <c r="A108" s="53">
        <v>3001000</v>
      </c>
      <c r="B108" s="53">
        <v>207</v>
      </c>
      <c r="C108" s="53">
        <v>839000000</v>
      </c>
      <c r="D108" s="54">
        <v>1.711897560863936</v>
      </c>
      <c r="F108" s="53">
        <v>3001000</v>
      </c>
      <c r="G108" s="55">
        <v>207</v>
      </c>
      <c r="H108" s="55">
        <v>839000000</v>
      </c>
    </row>
    <row r="109" spans="1:8" x14ac:dyDescent="0.3">
      <c r="A109" s="53">
        <v>6000000</v>
      </c>
      <c r="B109" s="53">
        <v>44</v>
      </c>
      <c r="C109" s="53">
        <v>337000000</v>
      </c>
      <c r="D109" s="54">
        <v>1.5363636363636364</v>
      </c>
      <c r="F109" s="53">
        <v>6000000</v>
      </c>
      <c r="G109" s="55">
        <v>44</v>
      </c>
      <c r="H109" s="55">
        <v>337000000</v>
      </c>
    </row>
    <row r="110" spans="1:8" x14ac:dyDescent="0.3">
      <c r="A110" s="53">
        <v>10000000</v>
      </c>
      <c r="B110" s="53">
        <v>11</v>
      </c>
      <c r="C110" s="53">
        <v>170000000</v>
      </c>
      <c r="D110" s="54">
        <v>1.5454545454545454</v>
      </c>
      <c r="F110" s="53">
        <v>10000000</v>
      </c>
      <c r="G110" s="55">
        <v>11</v>
      </c>
      <c r="H110" s="55">
        <v>170000000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"/>
  <sheetViews>
    <sheetView topLeftCell="D1" workbookViewId="0">
      <selection activeCell="I6" sqref="I6:I11"/>
    </sheetView>
  </sheetViews>
  <sheetFormatPr baseColWidth="10" defaultRowHeight="15.6" x14ac:dyDescent="0.3"/>
  <cols>
    <col min="7" max="7" width="11" bestFit="1" customWidth="1"/>
    <col min="8" max="8" width="14.296875" bestFit="1" customWidth="1"/>
    <col min="13" max="13" width="14" customWidth="1"/>
  </cols>
  <sheetData>
    <row r="1" spans="1:16" x14ac:dyDescent="0.3">
      <c r="A1" s="79" t="s">
        <v>219</v>
      </c>
      <c r="B1" s="79"/>
      <c r="C1" s="79"/>
      <c r="D1" s="79"/>
      <c r="E1" s="3" t="s">
        <v>205</v>
      </c>
      <c r="F1" s="3"/>
      <c r="G1" s="3"/>
      <c r="H1" s="3"/>
      <c r="I1" s="3"/>
      <c r="J1" s="3"/>
      <c r="K1" s="3"/>
    </row>
    <row r="2" spans="1:16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/>
      <c r="K2" s="3" t="s">
        <v>2</v>
      </c>
    </row>
    <row r="3" spans="1:16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271000</v>
      </c>
      <c r="N3" t="s">
        <v>7</v>
      </c>
      <c r="O3" t="s">
        <v>8</v>
      </c>
      <c r="P3" t="s">
        <v>14</v>
      </c>
    </row>
    <row r="4" spans="1:16" x14ac:dyDescent="0.3">
      <c r="A4" s="53">
        <v>271000</v>
      </c>
      <c r="B4" s="53">
        <v>481664</v>
      </c>
      <c r="C4" s="53">
        <v>148985000000</v>
      </c>
      <c r="D4" s="54">
        <v>1.7584737474281791</v>
      </c>
      <c r="F4" s="53">
        <v>271000</v>
      </c>
      <c r="G4" s="55">
        <v>481664</v>
      </c>
      <c r="H4" s="55">
        <v>148985000000</v>
      </c>
      <c r="I4">
        <f>G4/G5</f>
        <v>0.74926343626040293</v>
      </c>
      <c r="K4" s="53">
        <v>271000</v>
      </c>
      <c r="L4" s="2">
        <f>G4+G16+G28+G40+G52+G64+G76+G88+G100+G112+G124+G136</f>
        <v>3928381.1832435122</v>
      </c>
      <c r="M4" s="2">
        <f>H4+H16+H28+H40+H52+H64+H76+H88+H100+H112+H124+H136</f>
        <v>1702155147742.0388</v>
      </c>
      <c r="N4">
        <f>1-SUM(L4:$L$14)/$L$16</f>
        <v>0.3114406588569204</v>
      </c>
      <c r="O4">
        <f>SUM(M4:$M$14)/(K4*SUM(L4:$L$14))</f>
        <v>2.378098304252906</v>
      </c>
      <c r="P4">
        <f>(G4+G16+G40)/L4</f>
        <v>0.15449197902679845</v>
      </c>
    </row>
    <row r="5" spans="1:16" x14ac:dyDescent="0.3">
      <c r="A5" s="53">
        <v>351000</v>
      </c>
      <c r="B5" s="53">
        <v>642850</v>
      </c>
      <c r="C5" s="53">
        <v>284385000000</v>
      </c>
      <c r="D5" s="54">
        <v>1.6280927477820475</v>
      </c>
      <c r="F5" s="53">
        <v>351000</v>
      </c>
      <c r="G5" s="55">
        <v>642850</v>
      </c>
      <c r="H5" s="55">
        <v>284385000000</v>
      </c>
      <c r="I5">
        <f t="shared" ref="I5:I13" si="0">G5/G6</f>
        <v>4.624121535595342</v>
      </c>
      <c r="K5" s="53">
        <v>351000</v>
      </c>
      <c r="L5" s="2">
        <f t="shared" ref="L5:M14" si="1">G5+G17+G29+G41+G53+G65+G77+G89+G101+G113+G125+G137</f>
        <v>5242990.6400480224</v>
      </c>
      <c r="M5" s="2">
        <f t="shared" si="1"/>
        <v>2706245835729.5659</v>
      </c>
      <c r="N5">
        <f>1-SUM(L5:$L$14)/$L$16</f>
        <v>0.52960113181540525</v>
      </c>
      <c r="O5">
        <f>SUM(M5:$M$14)/(K5*SUM(L5:$L$14))</f>
        <v>2.115098414311019</v>
      </c>
      <c r="P5">
        <f t="shared" ref="P5:P14" si="2">(G5+G17+G41)/L5</f>
        <v>0.15449197902679851</v>
      </c>
    </row>
    <row r="6" spans="1:16" x14ac:dyDescent="0.3">
      <c r="A6" s="53">
        <v>601000</v>
      </c>
      <c r="B6" s="53">
        <v>139021</v>
      </c>
      <c r="C6" s="53">
        <v>98890000000</v>
      </c>
      <c r="D6" s="54">
        <v>1.621684584211837</v>
      </c>
      <c r="F6" s="53">
        <v>601000</v>
      </c>
      <c r="G6" s="55">
        <v>139021</v>
      </c>
      <c r="H6" s="55">
        <v>98890000000</v>
      </c>
      <c r="I6">
        <f t="shared" si="0"/>
        <v>2.9143030836635013</v>
      </c>
      <c r="J6" s="2">
        <f>K6/655.957</f>
        <v>916.2185935968364</v>
      </c>
      <c r="K6" s="53">
        <v>601000</v>
      </c>
      <c r="L6" s="2">
        <f t="shared" si="1"/>
        <v>1821505.7617883559</v>
      </c>
      <c r="M6" s="2">
        <f t="shared" si="1"/>
        <v>1324878776477.7456</v>
      </c>
      <c r="N6">
        <f>1-SUM(L6:$L$14)/$L$16</f>
        <v>0.82076771275432103</v>
      </c>
      <c r="O6">
        <f>SUM(M6:$M$14)/(K6*SUM(L6:$L$14))</f>
        <v>1.846793710599282</v>
      </c>
      <c r="P6">
        <f t="shared" si="2"/>
        <v>0.11559776774643307</v>
      </c>
    </row>
    <row r="7" spans="1:16" x14ac:dyDescent="0.3">
      <c r="A7" s="53">
        <v>901000</v>
      </c>
      <c r="B7" s="53">
        <v>47703</v>
      </c>
      <c r="C7" s="53">
        <v>53103000000</v>
      </c>
      <c r="D7" s="54">
        <v>1.6899662154645358</v>
      </c>
      <c r="F7" s="53">
        <v>901000</v>
      </c>
      <c r="G7" s="55">
        <v>47703</v>
      </c>
      <c r="H7" s="55">
        <v>53103000000</v>
      </c>
      <c r="I7">
        <f t="shared" si="0"/>
        <v>3.0720633693972181</v>
      </c>
      <c r="J7" s="2">
        <f t="shared" ref="J7:J14" si="3">K7/655.957</f>
        <v>1373.5656453090676</v>
      </c>
      <c r="K7" s="53">
        <v>901000</v>
      </c>
      <c r="L7" s="2">
        <f t="shared" si="1"/>
        <v>977535.48061978573</v>
      </c>
      <c r="M7" s="2">
        <f t="shared" si="1"/>
        <v>1094040265169.4565</v>
      </c>
      <c r="N7">
        <f>1-SUM(L7:$L$14)/$L$16</f>
        <v>0.92192402624634606</v>
      </c>
      <c r="O7">
        <f>SUM(M7:$M$14)/(K7*SUM(L7:$L$14))</f>
        <v>1.7820036178438696</v>
      </c>
      <c r="P7">
        <f t="shared" si="2"/>
        <v>7.8570038144603629E-2</v>
      </c>
    </row>
    <row r="8" spans="1:16" x14ac:dyDescent="0.3">
      <c r="A8" s="53">
        <v>1501000</v>
      </c>
      <c r="B8" s="53">
        <v>15528</v>
      </c>
      <c r="C8" s="53">
        <v>30571000000</v>
      </c>
      <c r="D8" s="54">
        <v>1.6960929486855105</v>
      </c>
      <c r="F8" s="53">
        <v>1501000</v>
      </c>
      <c r="G8" s="55">
        <v>15528</v>
      </c>
      <c r="H8" s="55">
        <v>30571000000</v>
      </c>
      <c r="I8">
        <f t="shared" si="0"/>
        <v>5.3141683778234086</v>
      </c>
      <c r="J8" s="2">
        <f t="shared" si="3"/>
        <v>2288.2597487335297</v>
      </c>
      <c r="K8" s="53">
        <v>1501000</v>
      </c>
      <c r="L8" s="2">
        <f t="shared" si="1"/>
        <v>334396.24849699397</v>
      </c>
      <c r="M8" s="2">
        <f t="shared" si="1"/>
        <v>664474827655.31067</v>
      </c>
      <c r="N8">
        <f>1-SUM(L8:$L$14)/$L$16</f>
        <v>0.976210917675154</v>
      </c>
      <c r="O8">
        <f>SUM(M8:$M$14)/(K8*SUM(L8:$L$14))</f>
        <v>1.8091681206185388</v>
      </c>
      <c r="P8">
        <f t="shared" si="2"/>
        <v>8.1923765960688594E-2</v>
      </c>
    </row>
    <row r="9" spans="1:16" x14ac:dyDescent="0.3">
      <c r="A9" s="53">
        <v>3001000</v>
      </c>
      <c r="B9" s="53">
        <v>2922</v>
      </c>
      <c r="C9" s="53">
        <v>11521000000</v>
      </c>
      <c r="D9" s="54">
        <v>1.6865985715785174</v>
      </c>
      <c r="F9" s="53">
        <v>3001000</v>
      </c>
      <c r="G9" s="55">
        <v>2922</v>
      </c>
      <c r="H9" s="55">
        <v>11521000000</v>
      </c>
      <c r="I9">
        <f t="shared" si="0"/>
        <v>6.3799126637554586</v>
      </c>
      <c r="J9" s="2">
        <f t="shared" si="3"/>
        <v>4574.9950072946858</v>
      </c>
      <c r="K9" s="53">
        <v>3001000</v>
      </c>
      <c r="L9" s="2">
        <f t="shared" si="1"/>
        <v>74812</v>
      </c>
      <c r="M9" s="2">
        <f t="shared" si="1"/>
        <v>297382000000</v>
      </c>
      <c r="N9">
        <f>1-SUM(L9:$L$14)/$L$16</f>
        <v>0.99478142810291581</v>
      </c>
      <c r="O9">
        <f>SUM(M9:$M$14)/(K9*SUM(L9:$L$14))</f>
        <v>1.7686985044926851</v>
      </c>
      <c r="P9">
        <f t="shared" si="2"/>
        <v>7.8196011335079932E-2</v>
      </c>
    </row>
    <row r="10" spans="1:16" x14ac:dyDescent="0.3">
      <c r="A10" s="53">
        <v>6001000</v>
      </c>
      <c r="B10" s="53">
        <v>458</v>
      </c>
      <c r="C10" s="53">
        <v>3392000000</v>
      </c>
      <c r="D10" s="54">
        <v>1.6945092484585902</v>
      </c>
      <c r="F10" s="53">
        <v>6001000</v>
      </c>
      <c r="G10" s="55">
        <v>458</v>
      </c>
      <c r="H10" s="55">
        <v>3392000000</v>
      </c>
      <c r="I10">
        <f t="shared" si="0"/>
        <v>4.4901960784313726</v>
      </c>
      <c r="J10" s="2">
        <f t="shared" si="3"/>
        <v>9148.4655244169971</v>
      </c>
      <c r="K10" s="53">
        <v>6001000</v>
      </c>
      <c r="L10" s="2">
        <f t="shared" si="1"/>
        <v>13374</v>
      </c>
      <c r="M10" s="2">
        <f t="shared" si="1"/>
        <v>99683000000</v>
      </c>
      <c r="N10">
        <f>1-SUM(L10:$L$14)/$L$16</f>
        <v>0.99893607108221416</v>
      </c>
      <c r="O10">
        <f>SUM(M10:$M$14)/(K10*SUM(L10:$L$14))</f>
        <v>1.751787236490616</v>
      </c>
      <c r="P10">
        <f t="shared" si="2"/>
        <v>8.3819350979512486E-2</v>
      </c>
    </row>
    <row r="11" spans="1:16" x14ac:dyDescent="0.3">
      <c r="A11" s="53">
        <v>10001000</v>
      </c>
      <c r="B11" s="53">
        <v>102</v>
      </c>
      <c r="C11" s="53">
        <v>1200000000</v>
      </c>
      <c r="D11" s="54">
        <v>1.7119167204158705</v>
      </c>
      <c r="F11" s="53">
        <v>10001000</v>
      </c>
      <c r="G11" s="55">
        <v>102</v>
      </c>
      <c r="H11" s="55">
        <v>1200000000</v>
      </c>
      <c r="I11">
        <f t="shared" si="0"/>
        <v>2.4878048780487805</v>
      </c>
      <c r="J11" s="2">
        <f t="shared" si="3"/>
        <v>15246.426213913412</v>
      </c>
      <c r="K11" s="53">
        <v>10001000</v>
      </c>
      <c r="L11" s="2">
        <f t="shared" si="1"/>
        <v>3490</v>
      </c>
      <c r="M11" s="2">
        <f t="shared" si="1"/>
        <v>41659000000</v>
      </c>
      <c r="N11">
        <f>1-SUM(L11:$L$14)/$L$16</f>
        <v>0.99967878876393812</v>
      </c>
      <c r="O11">
        <f>SUM(M11:$M$14)/(K11*SUM(L11:$L$14))</f>
        <v>1.7583822530610009</v>
      </c>
      <c r="P11">
        <f t="shared" si="2"/>
        <v>7.9083094555873923E-2</v>
      </c>
    </row>
    <row r="12" spans="1:16" x14ac:dyDescent="0.3">
      <c r="A12" s="53">
        <v>15001000</v>
      </c>
      <c r="B12" s="53">
        <v>41</v>
      </c>
      <c r="C12" s="53">
        <v>707000000</v>
      </c>
      <c r="D12" s="54">
        <v>1.5965602293180454</v>
      </c>
      <c r="F12" s="53">
        <v>15001000</v>
      </c>
      <c r="G12" s="55">
        <v>41</v>
      </c>
      <c r="H12" s="55">
        <v>707000000</v>
      </c>
      <c r="I12">
        <f t="shared" si="0"/>
        <v>1.5769230769230769</v>
      </c>
      <c r="J12" s="2">
        <f t="shared" si="3"/>
        <v>22868.87707578393</v>
      </c>
      <c r="K12" s="53">
        <v>15001000</v>
      </c>
      <c r="L12" s="2">
        <f t="shared" si="1"/>
        <v>1105</v>
      </c>
      <c r="M12" s="2">
        <f t="shared" si="1"/>
        <v>18962000000</v>
      </c>
      <c r="N12">
        <f>1-SUM(L12:$L$14)/$L$16</f>
        <v>0.9998726039807182</v>
      </c>
      <c r="O12">
        <f>SUM(M12:$M$14)/(K12*SUM(L12:$L$14))</f>
        <v>1.7451902509027732</v>
      </c>
      <c r="P12">
        <f t="shared" si="2"/>
        <v>0.10135746606334842</v>
      </c>
    </row>
    <row r="13" spans="1:16" x14ac:dyDescent="0.3">
      <c r="A13" s="53">
        <v>20001000</v>
      </c>
      <c r="B13" s="53">
        <v>26</v>
      </c>
      <c r="C13" s="53">
        <v>648000000</v>
      </c>
      <c r="D13" s="54">
        <v>1.5499225038748063</v>
      </c>
      <c r="F13" s="53">
        <v>20001000</v>
      </c>
      <c r="G13" s="55">
        <v>26</v>
      </c>
      <c r="H13" s="55">
        <v>648000000</v>
      </c>
      <c r="I13">
        <f t="shared" si="0"/>
        <v>2</v>
      </c>
      <c r="J13" s="2">
        <f t="shared" si="3"/>
        <v>30491.327937654449</v>
      </c>
      <c r="K13" s="53">
        <v>20001000</v>
      </c>
      <c r="L13" s="2">
        <f t="shared" si="1"/>
        <v>729</v>
      </c>
      <c r="M13" s="2">
        <f t="shared" si="1"/>
        <v>17422000000</v>
      </c>
      <c r="N13">
        <f>1-SUM(L13:$L$14)/$L$16</f>
        <v>0.99993396954362423</v>
      </c>
      <c r="O13">
        <f>SUM(M13:$M$14)/(K13*SUM(L13:$L$14))</f>
        <v>1.7280044324108437</v>
      </c>
      <c r="P13">
        <f t="shared" si="2"/>
        <v>0.10013717421124829</v>
      </c>
    </row>
    <row r="14" spans="1:16" x14ac:dyDescent="0.3">
      <c r="A14" s="53">
        <v>30000000</v>
      </c>
      <c r="B14" s="53">
        <v>13</v>
      </c>
      <c r="C14" s="53">
        <v>561000000</v>
      </c>
      <c r="D14" s="54">
        <v>1.4384615384615385</v>
      </c>
      <c r="F14" s="53">
        <v>30000000</v>
      </c>
      <c r="G14" s="55">
        <v>13</v>
      </c>
      <c r="H14" s="55">
        <v>561000000</v>
      </c>
      <c r="J14" s="2">
        <f t="shared" si="3"/>
        <v>45734.705171223111</v>
      </c>
      <c r="K14" s="53">
        <v>30000000</v>
      </c>
      <c r="L14" s="2">
        <f t="shared" si="1"/>
        <v>460</v>
      </c>
      <c r="M14" s="2">
        <f t="shared" si="1"/>
        <v>23672000000</v>
      </c>
      <c r="N14">
        <f>1-SUM(L14:$L$14)/$L$16</f>
        <v>0.99997445415480835</v>
      </c>
      <c r="O14">
        <f>SUM(M14:$M$14)/(K14*SUM(L14:$L$14))</f>
        <v>1.7153623188405798</v>
      </c>
      <c r="P14">
        <f t="shared" si="2"/>
        <v>0.13478260869565217</v>
      </c>
    </row>
    <row r="15" spans="1:16" x14ac:dyDescent="0.3">
      <c r="A15" s="51" t="s">
        <v>56</v>
      </c>
      <c r="B15" s="51" t="s">
        <v>89</v>
      </c>
      <c r="C15" s="51" t="s">
        <v>90</v>
      </c>
      <c r="D15" s="52" t="s">
        <v>59</v>
      </c>
      <c r="E15">
        <v>406500</v>
      </c>
      <c r="G15" s="2"/>
      <c r="H15" s="2"/>
    </row>
    <row r="16" spans="1:16" x14ac:dyDescent="0.3">
      <c r="A16" s="53">
        <v>271000</v>
      </c>
      <c r="B16" s="53"/>
      <c r="C16" s="53"/>
      <c r="D16" s="54"/>
      <c r="F16" s="53">
        <v>271000</v>
      </c>
      <c r="G16" s="2">
        <f>$I$4*G17</f>
        <v>108713.62902076691</v>
      </c>
      <c r="H16" s="2">
        <f>$I$4*H17</f>
        <v>51461660592.673256</v>
      </c>
      <c r="I16">
        <f>G16/G17</f>
        <v>0.74926343626040293</v>
      </c>
      <c r="L16" s="5">
        <v>18006842.073500037</v>
      </c>
    </row>
    <row r="17" spans="1:12" x14ac:dyDescent="0.3">
      <c r="A17" s="53">
        <v>380000</v>
      </c>
      <c r="B17" s="53">
        <v>145094</v>
      </c>
      <c r="C17" s="53">
        <v>68683000000</v>
      </c>
      <c r="D17" s="54">
        <v>1.9893777922192009</v>
      </c>
      <c r="F17" s="53">
        <v>351000</v>
      </c>
      <c r="G17" s="69">
        <f>B17</f>
        <v>145094</v>
      </c>
      <c r="H17" s="69">
        <f>C17</f>
        <v>68683000000</v>
      </c>
      <c r="I17">
        <f t="shared" ref="I17:I24" si="4">G17/G18</f>
        <v>2.3160936053379304</v>
      </c>
    </row>
    <row r="18" spans="1:12" x14ac:dyDescent="0.3">
      <c r="A18" s="53">
        <v>601000</v>
      </c>
      <c r="B18" s="53">
        <v>62646</v>
      </c>
      <c r="C18" s="53">
        <v>45134000000</v>
      </c>
      <c r="D18" s="54">
        <v>1.9167533865425934</v>
      </c>
      <c r="F18" s="53">
        <v>601000</v>
      </c>
      <c r="G18" s="55">
        <v>62646</v>
      </c>
      <c r="H18" s="55">
        <v>45134000000</v>
      </c>
      <c r="I18">
        <f t="shared" si="4"/>
        <v>2.3832458342844101</v>
      </c>
    </row>
    <row r="19" spans="1:12" x14ac:dyDescent="0.3">
      <c r="A19" s="53">
        <v>901000</v>
      </c>
      <c r="B19" s="53">
        <v>26286</v>
      </c>
      <c r="C19" s="53">
        <v>29478000000</v>
      </c>
      <c r="D19" s="54">
        <v>2.0121914233400582</v>
      </c>
      <c r="F19" s="53">
        <v>901000</v>
      </c>
      <c r="G19" s="55">
        <v>26286</v>
      </c>
      <c r="H19" s="55">
        <v>29478000000</v>
      </c>
      <c r="I19">
        <f t="shared" si="4"/>
        <v>2.4067020692180918</v>
      </c>
      <c r="L19" s="2"/>
    </row>
    <row r="20" spans="1:12" x14ac:dyDescent="0.3">
      <c r="A20" s="53">
        <v>1501000</v>
      </c>
      <c r="B20" s="53">
        <v>10922</v>
      </c>
      <c r="C20" s="53">
        <v>21879000000</v>
      </c>
      <c r="D20" s="54">
        <v>2.0368377410017433</v>
      </c>
      <c r="F20" s="53">
        <v>1501000</v>
      </c>
      <c r="G20" s="55">
        <v>10922</v>
      </c>
      <c r="H20" s="55">
        <v>21879000000</v>
      </c>
      <c r="I20">
        <f t="shared" si="4"/>
        <v>3.9846771251368116</v>
      </c>
    </row>
    <row r="21" spans="1:12" x14ac:dyDescent="0.3">
      <c r="A21" s="53">
        <v>3001000</v>
      </c>
      <c r="B21" s="53">
        <v>2741</v>
      </c>
      <c r="C21" s="53">
        <v>11045000000</v>
      </c>
      <c r="D21" s="54">
        <v>2.0592539129213505</v>
      </c>
      <c r="F21" s="53">
        <v>3001000</v>
      </c>
      <c r="G21" s="55">
        <v>2741</v>
      </c>
      <c r="H21" s="55">
        <v>11045000000</v>
      </c>
      <c r="I21">
        <f t="shared" si="4"/>
        <v>4.3926282051282053</v>
      </c>
    </row>
    <row r="22" spans="1:12" x14ac:dyDescent="0.3">
      <c r="A22" s="53">
        <v>6001000</v>
      </c>
      <c r="B22" s="53">
        <v>624</v>
      </c>
      <c r="C22" s="53">
        <v>4638000000</v>
      </c>
      <c r="D22" s="54">
        <v>2.0680133297022727</v>
      </c>
      <c r="F22" s="53">
        <v>6001000</v>
      </c>
      <c r="G22" s="55">
        <v>624</v>
      </c>
      <c r="H22" s="55">
        <v>4638000000</v>
      </c>
      <c r="I22">
        <f t="shared" si="4"/>
        <v>3.7818181818181817</v>
      </c>
    </row>
    <row r="23" spans="1:12" x14ac:dyDescent="0.3">
      <c r="A23" s="53">
        <v>10001000</v>
      </c>
      <c r="B23" s="53">
        <v>165</v>
      </c>
      <c r="C23" s="53">
        <v>2013000000</v>
      </c>
      <c r="D23" s="54">
        <v>2.2053695251592855</v>
      </c>
      <c r="F23" s="53">
        <v>10001000</v>
      </c>
      <c r="G23" s="55">
        <v>165</v>
      </c>
      <c r="H23" s="55">
        <v>2013000000</v>
      </c>
      <c r="I23">
        <f t="shared" si="4"/>
        <v>2.4264705882352939</v>
      </c>
    </row>
    <row r="24" spans="1:12" x14ac:dyDescent="0.3">
      <c r="A24" s="53">
        <v>15001000</v>
      </c>
      <c r="B24" s="53">
        <v>68</v>
      </c>
      <c r="C24" s="53">
        <v>1186000000</v>
      </c>
      <c r="D24" s="54">
        <v>2.1607901299149059</v>
      </c>
      <c r="F24" s="53">
        <v>15001000</v>
      </c>
      <c r="G24" s="55">
        <v>68</v>
      </c>
      <c r="H24" s="55">
        <v>1186000000</v>
      </c>
      <c r="I24">
        <f t="shared" si="4"/>
        <v>1.6190476190476191</v>
      </c>
    </row>
    <row r="25" spans="1:12" x14ac:dyDescent="0.3">
      <c r="A25" s="53">
        <v>20001000</v>
      </c>
      <c r="B25" s="53">
        <v>42</v>
      </c>
      <c r="C25" s="53">
        <v>973000000</v>
      </c>
      <c r="D25" s="54">
        <v>2.1925869998634901</v>
      </c>
      <c r="F25" s="53">
        <v>20001000</v>
      </c>
      <c r="G25" s="55">
        <v>42</v>
      </c>
      <c r="H25" s="55">
        <v>973000000</v>
      </c>
    </row>
    <row r="26" spans="1:12" x14ac:dyDescent="0.3">
      <c r="A26" s="53">
        <v>30000000</v>
      </c>
      <c r="B26" s="53">
        <v>47</v>
      </c>
      <c r="C26" s="53">
        <v>2930000000</v>
      </c>
      <c r="D26" s="54">
        <v>2.0780141843971633</v>
      </c>
      <c r="F26" s="53">
        <v>30000000</v>
      </c>
      <c r="G26" s="55">
        <v>47</v>
      </c>
      <c r="H26" s="55">
        <v>2930000000</v>
      </c>
    </row>
    <row r="27" spans="1:12" x14ac:dyDescent="0.3">
      <c r="A27" s="51" t="s">
        <v>56</v>
      </c>
      <c r="B27" s="51" t="s">
        <v>64</v>
      </c>
      <c r="C27" s="51" t="s">
        <v>65</v>
      </c>
      <c r="D27" s="52" t="s">
        <v>59</v>
      </c>
      <c r="E27">
        <v>542000</v>
      </c>
      <c r="G27" s="2"/>
      <c r="H27" s="2"/>
    </row>
    <row r="28" spans="1:12" x14ac:dyDescent="0.3">
      <c r="A28" s="53">
        <v>271000</v>
      </c>
      <c r="B28" s="53"/>
      <c r="C28" s="53"/>
      <c r="D28" s="54"/>
      <c r="F28" s="53">
        <v>271000</v>
      </c>
      <c r="G28" s="2">
        <f>$I$4*G29</f>
        <v>563745.80944232712</v>
      </c>
      <c r="H28" s="2">
        <f>$I$4*H29</f>
        <v>306850350632.34039</v>
      </c>
      <c r="I28">
        <f>G28/G29</f>
        <v>0.74926343626040293</v>
      </c>
    </row>
    <row r="29" spans="1:12" x14ac:dyDescent="0.3">
      <c r="A29" s="53">
        <v>490000</v>
      </c>
      <c r="B29" s="53">
        <v>376200</v>
      </c>
      <c r="C29" s="53">
        <v>204768000000</v>
      </c>
      <c r="D29" s="54">
        <v>1.9676026223915386</v>
      </c>
      <c r="F29" s="53">
        <v>351000</v>
      </c>
      <c r="G29" s="69">
        <f>2*B29</f>
        <v>752400</v>
      </c>
      <c r="H29" s="69">
        <f>2*C29</f>
        <v>409536000000</v>
      </c>
      <c r="I29">
        <f t="shared" ref="I29:I36" si="5">G29/G30</f>
        <v>1.2193837282608873</v>
      </c>
    </row>
    <row r="30" spans="1:12" x14ac:dyDescent="0.3">
      <c r="A30" s="53">
        <v>601000</v>
      </c>
      <c r="B30" s="53">
        <v>617033</v>
      </c>
      <c r="C30" s="53">
        <v>449884000000</v>
      </c>
      <c r="D30" s="54">
        <v>1.8420952996059694</v>
      </c>
      <c r="F30" s="53">
        <v>601000</v>
      </c>
      <c r="G30" s="55">
        <v>617033</v>
      </c>
      <c r="H30" s="55">
        <v>449884000000</v>
      </c>
      <c r="I30">
        <f t="shared" si="5"/>
        <v>1.788485897224082</v>
      </c>
    </row>
    <row r="31" spans="1:12" x14ac:dyDescent="0.3">
      <c r="A31" s="53">
        <v>901000</v>
      </c>
      <c r="B31" s="53">
        <v>345003</v>
      </c>
      <c r="C31" s="53">
        <v>385154000000</v>
      </c>
      <c r="D31" s="54">
        <v>1.7596145081937071</v>
      </c>
      <c r="F31" s="53">
        <v>901000</v>
      </c>
      <c r="G31" s="55">
        <v>345003</v>
      </c>
      <c r="H31" s="55">
        <v>385154000000</v>
      </c>
      <c r="I31">
        <f t="shared" si="5"/>
        <v>3.0683843540440066</v>
      </c>
    </row>
    <row r="32" spans="1:12" x14ac:dyDescent="0.3">
      <c r="A32" s="53">
        <v>1501000</v>
      </c>
      <c r="B32" s="53">
        <v>112438</v>
      </c>
      <c r="C32" s="53">
        <v>222368000000</v>
      </c>
      <c r="D32" s="54">
        <v>1.8121829904886939</v>
      </c>
      <c r="F32" s="53">
        <v>1501000</v>
      </c>
      <c r="G32" s="55">
        <v>112438</v>
      </c>
      <c r="H32" s="55">
        <v>222368000000</v>
      </c>
      <c r="I32">
        <f t="shared" si="5"/>
        <v>4.7716007469020543</v>
      </c>
    </row>
    <row r="33" spans="1:10" x14ac:dyDescent="0.3">
      <c r="A33" s="53">
        <v>3001000</v>
      </c>
      <c r="B33" s="53">
        <v>23564</v>
      </c>
      <c r="C33" s="53">
        <v>93623000000</v>
      </c>
      <c r="D33" s="54">
        <v>1.8282167361326962</v>
      </c>
      <c r="F33" s="53">
        <v>3001000</v>
      </c>
      <c r="G33" s="55">
        <v>23564</v>
      </c>
      <c r="H33" s="55">
        <v>93623000000</v>
      </c>
      <c r="I33">
        <f t="shared" si="5"/>
        <v>5.3143888137122239</v>
      </c>
    </row>
    <row r="34" spans="1:10" x14ac:dyDescent="0.3">
      <c r="A34" s="53">
        <v>6001000</v>
      </c>
      <c r="B34" s="53">
        <v>4434</v>
      </c>
      <c r="C34" s="53">
        <v>33153000000</v>
      </c>
      <c r="D34" s="54">
        <v>1.8132630945775301</v>
      </c>
      <c r="F34" s="53">
        <v>6001000</v>
      </c>
      <c r="G34" s="55">
        <v>4434</v>
      </c>
      <c r="H34" s="55">
        <v>33153000000</v>
      </c>
      <c r="I34">
        <f t="shared" si="5"/>
        <v>3.4479004665629862</v>
      </c>
    </row>
    <row r="35" spans="1:10" x14ac:dyDescent="0.3">
      <c r="A35" s="53">
        <v>10001000</v>
      </c>
      <c r="B35" s="53">
        <v>1286</v>
      </c>
      <c r="C35" s="53">
        <v>15297000000</v>
      </c>
      <c r="D35" s="54">
        <v>1.7816692595446337</v>
      </c>
      <c r="F35" s="53">
        <v>10001000</v>
      </c>
      <c r="G35" s="55">
        <v>1286</v>
      </c>
      <c r="H35" s="55">
        <v>15297000000</v>
      </c>
      <c r="I35">
        <f t="shared" si="5"/>
        <v>2.8577777777777778</v>
      </c>
    </row>
    <row r="36" spans="1:10" x14ac:dyDescent="0.3">
      <c r="A36" s="53">
        <v>15001000</v>
      </c>
      <c r="B36" s="53">
        <v>450</v>
      </c>
      <c r="C36" s="53">
        <v>7695000000</v>
      </c>
      <c r="D36" s="54">
        <v>1.7583846470160416</v>
      </c>
      <c r="F36" s="53">
        <v>15001000</v>
      </c>
      <c r="G36" s="55">
        <v>450</v>
      </c>
      <c r="H36" s="55">
        <v>7695000000</v>
      </c>
      <c r="I36">
        <f t="shared" si="5"/>
        <v>1.7374517374517375</v>
      </c>
    </row>
    <row r="37" spans="1:10" x14ac:dyDescent="0.3">
      <c r="A37" s="53">
        <v>20001000</v>
      </c>
      <c r="B37" s="53">
        <v>259</v>
      </c>
      <c r="C37" s="53">
        <v>6192000000</v>
      </c>
      <c r="D37" s="54">
        <v>1.793205794255742</v>
      </c>
      <c r="F37" s="53">
        <v>20001000</v>
      </c>
      <c r="G37" s="55">
        <v>259</v>
      </c>
      <c r="H37" s="55">
        <v>6192000000</v>
      </c>
    </row>
    <row r="38" spans="1:10" x14ac:dyDescent="0.3">
      <c r="A38" s="53">
        <v>30000000</v>
      </c>
      <c r="B38" s="53">
        <v>181</v>
      </c>
      <c r="C38" s="53">
        <v>9589000000</v>
      </c>
      <c r="D38" s="54">
        <v>1.7659300184162063</v>
      </c>
      <c r="F38" s="53">
        <v>30000000</v>
      </c>
      <c r="G38" s="55">
        <v>181</v>
      </c>
      <c r="H38" s="55">
        <v>9589000000</v>
      </c>
    </row>
    <row r="39" spans="1:10" x14ac:dyDescent="0.3">
      <c r="A39" s="51" t="s">
        <v>56</v>
      </c>
      <c r="B39" s="51" t="s">
        <v>66</v>
      </c>
      <c r="C39" s="51" t="s">
        <v>67</v>
      </c>
      <c r="D39" s="52" t="s">
        <v>59</v>
      </c>
      <c r="E39">
        <v>542000</v>
      </c>
      <c r="G39" s="2"/>
      <c r="H39" s="2"/>
    </row>
    <row r="40" spans="1:10" x14ac:dyDescent="0.3">
      <c r="A40" s="53">
        <v>271000</v>
      </c>
      <c r="B40" s="53"/>
      <c r="C40" s="53"/>
      <c r="D40" s="54"/>
      <c r="F40" s="53">
        <v>271000</v>
      </c>
      <c r="G40" s="2">
        <f>$I$4*G41</f>
        <v>16525.754350159448</v>
      </c>
      <c r="H40" s="2">
        <f>$I$4*H41</f>
        <v>8950701009.5667725</v>
      </c>
      <c r="I40">
        <f>G40/G41</f>
        <v>0.74926343626040304</v>
      </c>
    </row>
    <row r="41" spans="1:10" x14ac:dyDescent="0.3">
      <c r="A41" s="53">
        <v>490000</v>
      </c>
      <c r="B41" s="53">
        <v>11028</v>
      </c>
      <c r="C41" s="53">
        <v>5973000000</v>
      </c>
      <c r="D41" s="54">
        <v>1.5887988360123189</v>
      </c>
      <c r="F41" s="53">
        <v>351000</v>
      </c>
      <c r="G41" s="69">
        <f>2*B41</f>
        <v>22056</v>
      </c>
      <c r="H41" s="69">
        <f>2*C41</f>
        <v>11946000000</v>
      </c>
      <c r="I41">
        <f t="shared" ref="I41:I48" si="6">G41/G42</f>
        <v>2.4795952782462058</v>
      </c>
    </row>
    <row r="42" spans="1:10" x14ac:dyDescent="0.3">
      <c r="A42" s="53">
        <v>601000</v>
      </c>
      <c r="B42" s="53">
        <v>8895</v>
      </c>
      <c r="C42" s="53">
        <v>6302000000</v>
      </c>
      <c r="D42" s="54">
        <v>1.6322948820152341</v>
      </c>
      <c r="F42" s="53">
        <v>601000</v>
      </c>
      <c r="G42" s="55">
        <v>8895</v>
      </c>
      <c r="H42" s="55">
        <v>6302000000</v>
      </c>
      <c r="I42">
        <f t="shared" si="6"/>
        <v>3.1587357954545454</v>
      </c>
      <c r="J42" s="54"/>
    </row>
    <row r="43" spans="1:10" x14ac:dyDescent="0.3">
      <c r="A43" s="53">
        <v>901000</v>
      </c>
      <c r="B43" s="53">
        <v>2816</v>
      </c>
      <c r="C43" s="53">
        <v>3120000000</v>
      </c>
      <c r="D43" s="54">
        <v>1.7604004647856184</v>
      </c>
      <c r="F43" s="53">
        <v>901000</v>
      </c>
      <c r="G43" s="55">
        <v>2816</v>
      </c>
      <c r="H43" s="55">
        <v>3120000000</v>
      </c>
      <c r="I43">
        <f t="shared" si="6"/>
        <v>2.9798941798941798</v>
      </c>
      <c r="J43" s="54"/>
    </row>
    <row r="44" spans="1:10" x14ac:dyDescent="0.3">
      <c r="A44" s="53">
        <v>1501000</v>
      </c>
      <c r="B44" s="53">
        <v>945</v>
      </c>
      <c r="C44" s="53">
        <v>1843000000</v>
      </c>
      <c r="D44" s="54">
        <v>1.8105576674373949</v>
      </c>
      <c r="F44" s="53">
        <v>1501000</v>
      </c>
      <c r="G44" s="55">
        <v>945</v>
      </c>
      <c r="H44" s="55">
        <v>1843000000</v>
      </c>
      <c r="I44">
        <f t="shared" si="6"/>
        <v>5.0534759358288772</v>
      </c>
      <c r="J44" s="54"/>
    </row>
    <row r="45" spans="1:10" x14ac:dyDescent="0.3">
      <c r="A45" s="53">
        <v>3001000</v>
      </c>
      <c r="B45" s="53">
        <v>187</v>
      </c>
      <c r="C45" s="53">
        <v>730000000</v>
      </c>
      <c r="D45" s="54">
        <v>1.891886378010051</v>
      </c>
      <c r="F45" s="53">
        <v>3001000</v>
      </c>
      <c r="G45" s="55">
        <v>187</v>
      </c>
      <c r="H45" s="55">
        <v>730000000</v>
      </c>
      <c r="I45">
        <f t="shared" si="6"/>
        <v>4.7948717948717947</v>
      </c>
      <c r="J45" s="54"/>
    </row>
    <row r="46" spans="1:10" x14ac:dyDescent="0.3">
      <c r="A46" s="53">
        <v>6001000</v>
      </c>
      <c r="B46" s="53">
        <v>39</v>
      </c>
      <c r="C46" s="53">
        <v>291000000</v>
      </c>
      <c r="D46" s="54">
        <v>1.899108769228117</v>
      </c>
      <c r="F46" s="53">
        <v>6001000</v>
      </c>
      <c r="G46" s="55">
        <v>39</v>
      </c>
      <c r="H46" s="55">
        <v>291000000</v>
      </c>
      <c r="I46">
        <f t="shared" si="6"/>
        <v>4.333333333333333</v>
      </c>
      <c r="J46" s="54"/>
    </row>
    <row r="47" spans="1:10" x14ac:dyDescent="0.3">
      <c r="A47" s="53">
        <v>10001000</v>
      </c>
      <c r="B47" s="53">
        <v>9</v>
      </c>
      <c r="C47" s="53">
        <v>105000000</v>
      </c>
      <c r="D47" s="54">
        <v>1.9471737036822636</v>
      </c>
      <c r="F47" s="53">
        <v>10001000</v>
      </c>
      <c r="G47" s="55">
        <v>9</v>
      </c>
      <c r="H47" s="55">
        <v>105000000</v>
      </c>
      <c r="I47">
        <f t="shared" si="6"/>
        <v>3</v>
      </c>
      <c r="J47" s="54"/>
    </row>
    <row r="48" spans="1:10" x14ac:dyDescent="0.3">
      <c r="A48" s="53">
        <v>15001000</v>
      </c>
      <c r="B48" s="53">
        <v>3</v>
      </c>
      <c r="C48" s="53">
        <v>52000000</v>
      </c>
      <c r="D48" s="54">
        <v>1.7665488967402174</v>
      </c>
      <c r="F48" s="53">
        <v>15001000</v>
      </c>
      <c r="G48" s="55">
        <v>3</v>
      </c>
      <c r="H48" s="55">
        <v>52000000</v>
      </c>
      <c r="I48">
        <f t="shared" si="6"/>
        <v>0.6</v>
      </c>
      <c r="J48" s="54"/>
    </row>
    <row r="49" spans="1:10" x14ac:dyDescent="0.3">
      <c r="A49" s="53">
        <v>20001000</v>
      </c>
      <c r="B49" s="53">
        <v>5</v>
      </c>
      <c r="C49" s="53">
        <v>117000000</v>
      </c>
      <c r="D49" s="54">
        <v>1.5213525038033813</v>
      </c>
      <c r="F49" s="53">
        <v>20001000</v>
      </c>
      <c r="G49" s="55">
        <v>5</v>
      </c>
      <c r="H49" s="55">
        <v>117000000</v>
      </c>
      <c r="J49" s="54"/>
    </row>
    <row r="50" spans="1:10" x14ac:dyDescent="0.3">
      <c r="A50" s="53">
        <v>30000000</v>
      </c>
      <c r="B50" s="53">
        <v>2</v>
      </c>
      <c r="C50" s="53">
        <v>96000000</v>
      </c>
      <c r="D50" s="54">
        <v>1.6</v>
      </c>
      <c r="F50" s="53">
        <v>30000000</v>
      </c>
      <c r="G50" s="55">
        <v>2</v>
      </c>
      <c r="H50" s="55">
        <v>96000000</v>
      </c>
      <c r="I50" s="54"/>
      <c r="J50" s="54"/>
    </row>
    <row r="51" spans="1:10" x14ac:dyDescent="0.3">
      <c r="A51" s="51" t="s">
        <v>56</v>
      </c>
      <c r="B51" s="51" t="s">
        <v>68</v>
      </c>
      <c r="C51" s="51" t="s">
        <v>69</v>
      </c>
      <c r="D51" s="52" t="s">
        <v>59</v>
      </c>
      <c r="E51">
        <v>677500</v>
      </c>
      <c r="G51" s="2"/>
      <c r="H51" s="2"/>
    </row>
    <row r="52" spans="1:10" x14ac:dyDescent="0.3">
      <c r="A52" s="53">
        <v>271000</v>
      </c>
      <c r="B52" s="53"/>
      <c r="C52" s="53"/>
      <c r="D52" s="54"/>
      <c r="F52" s="53">
        <v>271000</v>
      </c>
      <c r="G52" s="2">
        <f>$I$4*G53</f>
        <v>793016.66934902186</v>
      </c>
      <c r="H52" s="2">
        <f>$I$4*H53</f>
        <v>578195187734.55457</v>
      </c>
      <c r="I52">
        <f>G52/G53</f>
        <v>0.74926343626040293</v>
      </c>
    </row>
    <row r="53" spans="1:10" x14ac:dyDescent="0.3">
      <c r="A53" s="53">
        <v>351000</v>
      </c>
      <c r="B53" s="53"/>
      <c r="C53" s="53"/>
      <c r="D53" s="54"/>
      <c r="F53" s="53">
        <v>351000</v>
      </c>
      <c r="G53" s="2">
        <f>$I$41*G54</f>
        <v>1058394.9929640137</v>
      </c>
      <c r="H53" s="2">
        <f>$I$41*H54</f>
        <v>771684777012.93506</v>
      </c>
      <c r="I53">
        <f t="shared" ref="I53:I58" si="7">G53/G54</f>
        <v>2.4795952782462058</v>
      </c>
    </row>
    <row r="54" spans="1:10" x14ac:dyDescent="0.3">
      <c r="A54" s="53">
        <v>601000</v>
      </c>
      <c r="B54" s="53">
        <v>420924</v>
      </c>
      <c r="C54" s="53">
        <v>308028000000</v>
      </c>
      <c r="D54" s="54">
        <v>1.7847566763714058</v>
      </c>
      <c r="F54" s="53">
        <v>601000</v>
      </c>
      <c r="G54" s="2">
        <v>426841.83271739667</v>
      </c>
      <c r="H54" s="2">
        <v>311214004875.31995</v>
      </c>
      <c r="I54">
        <f t="shared" si="7"/>
        <v>1.7884858972240822</v>
      </c>
    </row>
    <row r="55" spans="1:10" x14ac:dyDescent="0.3">
      <c r="A55" s="53">
        <v>901000</v>
      </c>
      <c r="B55" s="53">
        <v>238661</v>
      </c>
      <c r="C55" s="53">
        <v>266034000000</v>
      </c>
      <c r="D55" s="54">
        <v>1.6768284038063588</v>
      </c>
      <c r="F55" s="53">
        <v>901000</v>
      </c>
      <c r="G55" s="55">
        <v>238661</v>
      </c>
      <c r="H55" s="55">
        <v>266034000000</v>
      </c>
      <c r="I55">
        <f t="shared" si="7"/>
        <v>3.335769994129651</v>
      </c>
    </row>
    <row r="56" spans="1:10" x14ac:dyDescent="0.3">
      <c r="A56" s="53">
        <v>1501000</v>
      </c>
      <c r="B56" s="53">
        <v>71546</v>
      </c>
      <c r="C56" s="53">
        <v>140694000000</v>
      </c>
      <c r="D56" s="54">
        <v>1.7161373276741623</v>
      </c>
      <c r="F56" s="53">
        <v>1501000</v>
      </c>
      <c r="G56" s="55">
        <v>71546</v>
      </c>
      <c r="H56" s="55">
        <v>140694000000</v>
      </c>
      <c r="I56">
        <f t="shared" si="7"/>
        <v>5.0987742303306725</v>
      </c>
    </row>
    <row r="57" spans="1:10" x14ac:dyDescent="0.3">
      <c r="A57" s="53">
        <v>3001000</v>
      </c>
      <c r="B57" s="53">
        <v>14032</v>
      </c>
      <c r="C57" s="53">
        <v>55451000000</v>
      </c>
      <c r="D57" s="54">
        <v>1.7023058608716548</v>
      </c>
      <c r="F57" s="53">
        <v>3001000</v>
      </c>
      <c r="G57" s="55">
        <v>14032</v>
      </c>
      <c r="H57" s="55">
        <v>55451000000</v>
      </c>
      <c r="I57">
        <f t="shared" si="7"/>
        <v>6.2006186478126377</v>
      </c>
    </row>
    <row r="58" spans="1:10" x14ac:dyDescent="0.3">
      <c r="A58" s="53">
        <v>6001000</v>
      </c>
      <c r="B58" s="53">
        <v>2263</v>
      </c>
      <c r="C58" s="53">
        <v>16836000000</v>
      </c>
      <c r="D58" s="54">
        <v>1.7008785805380846</v>
      </c>
      <c r="F58" s="53">
        <v>6001000</v>
      </c>
      <c r="G58" s="55">
        <v>2263</v>
      </c>
      <c r="H58" s="55">
        <v>16836000000</v>
      </c>
      <c r="I58">
        <f t="shared" si="7"/>
        <v>3.9911816578483243</v>
      </c>
    </row>
    <row r="59" spans="1:10" x14ac:dyDescent="0.3">
      <c r="A59" s="53">
        <v>10001000</v>
      </c>
      <c r="B59" s="53">
        <v>567</v>
      </c>
      <c r="C59" s="53">
        <v>6775000000</v>
      </c>
      <c r="D59" s="54">
        <v>1.7004814176562801</v>
      </c>
      <c r="F59" s="53">
        <v>10001000</v>
      </c>
      <c r="G59" s="55">
        <v>567</v>
      </c>
      <c r="H59" s="55">
        <v>6775000000</v>
      </c>
    </row>
    <row r="60" spans="1:10" x14ac:dyDescent="0.3">
      <c r="A60" s="53">
        <v>15001000</v>
      </c>
      <c r="B60" s="53">
        <v>166</v>
      </c>
      <c r="C60" s="53">
        <v>2835000000</v>
      </c>
      <c r="D60" s="54">
        <v>1.6737113947582403</v>
      </c>
      <c r="F60" s="53">
        <v>15001000</v>
      </c>
      <c r="G60" s="55">
        <v>166</v>
      </c>
      <c r="H60" s="55">
        <v>2835000000</v>
      </c>
    </row>
    <row r="61" spans="1:10" x14ac:dyDescent="0.3">
      <c r="A61" s="53">
        <v>20001000</v>
      </c>
      <c r="B61" s="53">
        <v>124</v>
      </c>
      <c r="C61" s="53">
        <v>2958000000</v>
      </c>
      <c r="D61" s="54">
        <v>1.609759937535038</v>
      </c>
      <c r="F61" s="53">
        <v>20001000</v>
      </c>
      <c r="G61" s="55">
        <v>124</v>
      </c>
      <c r="H61" s="55">
        <v>2958000000</v>
      </c>
    </row>
    <row r="62" spans="1:10" x14ac:dyDescent="0.3">
      <c r="A62" s="53">
        <v>30000000</v>
      </c>
      <c r="B62" s="53">
        <v>64</v>
      </c>
      <c r="C62" s="53">
        <v>3095000000</v>
      </c>
      <c r="D62" s="54">
        <v>1.6119791666666667</v>
      </c>
      <c r="F62" s="53">
        <v>30000000</v>
      </c>
      <c r="G62" s="55">
        <v>64</v>
      </c>
      <c r="H62" s="55">
        <v>3095000000</v>
      </c>
    </row>
    <row r="63" spans="1:10" x14ac:dyDescent="0.3">
      <c r="A63" s="51" t="s">
        <v>56</v>
      </c>
      <c r="B63" s="51" t="s">
        <v>70</v>
      </c>
      <c r="C63" s="51" t="s">
        <v>71</v>
      </c>
      <c r="D63" s="52" t="s">
        <v>59</v>
      </c>
      <c r="E63">
        <v>813000</v>
      </c>
      <c r="G63" s="2"/>
      <c r="H63" s="2"/>
    </row>
    <row r="64" spans="1:10" x14ac:dyDescent="0.3">
      <c r="A64" s="53">
        <v>271000</v>
      </c>
      <c r="B64" s="53"/>
      <c r="C64" s="53"/>
      <c r="D64" s="54"/>
      <c r="F64" s="53">
        <v>271000</v>
      </c>
      <c r="G64" s="2">
        <v>990572.78429048252</v>
      </c>
      <c r="H64" s="2">
        <v>306397169536.2691</v>
      </c>
    </row>
    <row r="65" spans="1:8" x14ac:dyDescent="0.3">
      <c r="A65" s="53">
        <v>351000</v>
      </c>
      <c r="B65" s="53"/>
      <c r="C65" s="53"/>
      <c r="D65" s="54"/>
      <c r="F65" s="53">
        <v>351000</v>
      </c>
      <c r="G65" s="2">
        <v>1322062.0897163511</v>
      </c>
      <c r="H65" s="2">
        <v>584855918774.18457</v>
      </c>
    </row>
    <row r="66" spans="1:8" x14ac:dyDescent="0.3">
      <c r="A66" s="53">
        <v>710000</v>
      </c>
      <c r="B66" s="53">
        <v>142155</v>
      </c>
      <c r="C66" s="53">
        <v>113340000000</v>
      </c>
      <c r="D66" s="54">
        <v>1.8617161253619883</v>
      </c>
      <c r="F66" s="53">
        <v>601000</v>
      </c>
      <c r="G66" s="2">
        <v>285905.56704434456</v>
      </c>
      <c r="H66" s="2">
        <v>208456176775.27444</v>
      </c>
    </row>
    <row r="67" spans="1:8" x14ac:dyDescent="0.3">
      <c r="A67" s="53">
        <v>901000</v>
      </c>
      <c r="B67" s="53">
        <v>159859</v>
      </c>
      <c r="C67" s="53">
        <v>180069000000</v>
      </c>
      <c r="D67" s="54">
        <v>1.8134365545760909</v>
      </c>
      <c r="F67" s="53">
        <v>901000</v>
      </c>
      <c r="G67" s="55">
        <v>159859</v>
      </c>
      <c r="H67" s="55">
        <v>180069000000</v>
      </c>
    </row>
    <row r="68" spans="1:8" x14ac:dyDescent="0.3">
      <c r="A68" s="53">
        <v>1501000</v>
      </c>
      <c r="B68" s="53">
        <v>62023</v>
      </c>
      <c r="C68" s="53">
        <v>123604000000</v>
      </c>
      <c r="D68" s="54">
        <v>1.7721916742190928</v>
      </c>
      <c r="F68" s="53">
        <v>1501000</v>
      </c>
      <c r="G68" s="55">
        <v>62023</v>
      </c>
      <c r="H68" s="55">
        <v>123604000000</v>
      </c>
    </row>
    <row r="69" spans="1:8" x14ac:dyDescent="0.3">
      <c r="A69" s="53">
        <v>3001000</v>
      </c>
      <c r="B69" s="53">
        <v>13918</v>
      </c>
      <c r="C69" s="53">
        <v>55214000000</v>
      </c>
      <c r="D69" s="54">
        <v>1.6958440719349297</v>
      </c>
      <c r="F69" s="53">
        <v>3001000</v>
      </c>
      <c r="G69" s="55">
        <v>13918</v>
      </c>
      <c r="H69" s="55">
        <v>55214000000</v>
      </c>
    </row>
    <row r="70" spans="1:8" x14ac:dyDescent="0.3">
      <c r="A70" s="53">
        <v>6001000</v>
      </c>
      <c r="B70" s="53">
        <v>2254</v>
      </c>
      <c r="C70" s="53">
        <v>16706000000</v>
      </c>
      <c r="D70" s="54">
        <v>1.6830154016144352</v>
      </c>
      <c r="F70" s="53">
        <v>6001000</v>
      </c>
      <c r="G70" s="55">
        <v>2254</v>
      </c>
      <c r="H70" s="55">
        <v>16706000000</v>
      </c>
    </row>
    <row r="71" spans="1:8" x14ac:dyDescent="0.3">
      <c r="A71" s="53">
        <v>10001000</v>
      </c>
      <c r="B71" s="53">
        <v>542</v>
      </c>
      <c r="C71" s="53">
        <v>6531000000</v>
      </c>
      <c r="D71" s="54">
        <v>1.7118797969565733</v>
      </c>
      <c r="F71" s="53">
        <v>10001000</v>
      </c>
      <c r="G71" s="55">
        <v>542</v>
      </c>
      <c r="H71" s="55">
        <v>6531000000</v>
      </c>
    </row>
    <row r="72" spans="1:8" x14ac:dyDescent="0.3">
      <c r="A72" s="53">
        <v>15001000</v>
      </c>
      <c r="B72" s="53">
        <v>141</v>
      </c>
      <c r="C72" s="53">
        <v>2435000000</v>
      </c>
      <c r="D72" s="54">
        <v>1.7120353970171458</v>
      </c>
      <c r="F72" s="53">
        <v>15001000</v>
      </c>
      <c r="G72" s="55">
        <v>141</v>
      </c>
      <c r="H72" s="55">
        <v>2435000000</v>
      </c>
    </row>
    <row r="73" spans="1:8" x14ac:dyDescent="0.3">
      <c r="A73" s="53">
        <v>20001000</v>
      </c>
      <c r="B73" s="53">
        <v>124</v>
      </c>
      <c r="C73" s="53">
        <v>2957000000</v>
      </c>
      <c r="D73" s="54">
        <v>1.6135304345893817</v>
      </c>
      <c r="F73" s="53">
        <v>20001000</v>
      </c>
      <c r="G73" s="55">
        <v>124</v>
      </c>
      <c r="H73" s="55">
        <v>2957000000</v>
      </c>
    </row>
    <row r="74" spans="1:8" x14ac:dyDescent="0.3">
      <c r="A74" s="53">
        <v>30000000</v>
      </c>
      <c r="B74" s="53">
        <v>56</v>
      </c>
      <c r="C74" s="53">
        <v>2852000000</v>
      </c>
      <c r="D74" s="54">
        <v>1.6976190476190476</v>
      </c>
      <c r="F74" s="53">
        <v>30000000</v>
      </c>
      <c r="G74" s="55">
        <v>56</v>
      </c>
      <c r="H74" s="55">
        <v>2852000000</v>
      </c>
    </row>
    <row r="75" spans="1:8" x14ac:dyDescent="0.3">
      <c r="A75" s="51" t="s">
        <v>56</v>
      </c>
      <c r="B75" s="51" t="s">
        <v>72</v>
      </c>
      <c r="C75" s="51" t="s">
        <v>73</v>
      </c>
      <c r="D75" s="52" t="s">
        <v>59</v>
      </c>
      <c r="E75">
        <v>948500</v>
      </c>
      <c r="G75" s="2"/>
      <c r="H75" s="2"/>
    </row>
    <row r="76" spans="1:8" x14ac:dyDescent="0.3">
      <c r="A76" s="53">
        <v>271000</v>
      </c>
      <c r="B76" s="53"/>
      <c r="C76" s="53"/>
      <c r="D76" s="54"/>
      <c r="F76" s="53">
        <v>271000</v>
      </c>
      <c r="G76" s="2">
        <v>542153.4549364706</v>
      </c>
      <c r="H76" s="2">
        <v>167695182707.67603</v>
      </c>
    </row>
    <row r="77" spans="1:8" x14ac:dyDescent="0.3">
      <c r="A77" s="53">
        <v>351000</v>
      </c>
      <c r="B77" s="53"/>
      <c r="C77" s="53"/>
      <c r="D77" s="54"/>
      <c r="F77" s="53">
        <v>351000</v>
      </c>
      <c r="G77" s="2">
        <v>723581.89216115396</v>
      </c>
      <c r="H77" s="2">
        <v>320099302173.5238</v>
      </c>
    </row>
    <row r="78" spans="1:8" x14ac:dyDescent="0.3">
      <c r="A78" s="53">
        <v>820000</v>
      </c>
      <c r="B78" s="53">
        <v>22155</v>
      </c>
      <c r="C78" s="53">
        <v>19050000000</v>
      </c>
      <c r="D78" s="54">
        <v>1.9814273894706946</v>
      </c>
      <c r="F78" s="53">
        <v>601000</v>
      </c>
      <c r="G78" s="2">
        <v>156479.86035643745</v>
      </c>
      <c r="H78" s="2">
        <v>114090794976.27438</v>
      </c>
    </row>
    <row r="79" spans="1:8" x14ac:dyDescent="0.3">
      <c r="A79" s="53">
        <v>901000</v>
      </c>
      <c r="B79" s="53">
        <v>73301</v>
      </c>
      <c r="C79" s="53">
        <v>82970000000</v>
      </c>
      <c r="D79" s="54">
        <v>1.9622320390147179</v>
      </c>
      <c r="F79" s="53">
        <v>901000</v>
      </c>
      <c r="G79" s="2">
        <v>87492.923818583426</v>
      </c>
      <c r="H79" s="2">
        <v>98554121438.821075</v>
      </c>
    </row>
    <row r="80" spans="1:8" x14ac:dyDescent="0.3">
      <c r="A80" s="53">
        <v>1501000</v>
      </c>
      <c r="B80" s="53">
        <v>33946</v>
      </c>
      <c r="C80" s="53">
        <v>68334000000</v>
      </c>
      <c r="D80" s="54">
        <v>1.8674849361855503</v>
      </c>
      <c r="F80" s="53">
        <v>1501000</v>
      </c>
      <c r="G80" s="55">
        <v>33946</v>
      </c>
      <c r="H80" s="55">
        <v>68334000000</v>
      </c>
    </row>
    <row r="81" spans="1:8" x14ac:dyDescent="0.3">
      <c r="A81" s="53">
        <v>3001000</v>
      </c>
      <c r="B81" s="53">
        <v>8875</v>
      </c>
      <c r="C81" s="53">
        <v>35306000000</v>
      </c>
      <c r="D81" s="54">
        <v>1.7394766512580402</v>
      </c>
      <c r="F81" s="53">
        <v>3001000</v>
      </c>
      <c r="G81" s="55">
        <v>8875</v>
      </c>
      <c r="H81" s="55">
        <v>35306000000</v>
      </c>
    </row>
    <row r="82" spans="1:8" x14ac:dyDescent="0.3">
      <c r="A82" s="53">
        <v>6001000</v>
      </c>
      <c r="B82" s="53">
        <v>1590</v>
      </c>
      <c r="C82" s="53">
        <v>11916000000</v>
      </c>
      <c r="D82" s="54">
        <v>1.6969256437149414</v>
      </c>
      <c r="F82" s="53">
        <v>6001000</v>
      </c>
      <c r="G82" s="55">
        <v>1590</v>
      </c>
      <c r="H82" s="55">
        <v>11916000000</v>
      </c>
    </row>
    <row r="83" spans="1:8" x14ac:dyDescent="0.3">
      <c r="A83" s="53">
        <v>10001000</v>
      </c>
      <c r="B83" s="53">
        <v>397</v>
      </c>
      <c r="C83" s="53">
        <v>4704000000</v>
      </c>
      <c r="D83" s="54">
        <v>1.6957099852613786</v>
      </c>
      <c r="F83" s="53">
        <v>10001000</v>
      </c>
      <c r="G83" s="55">
        <v>397</v>
      </c>
      <c r="H83" s="55">
        <v>4704000000</v>
      </c>
    </row>
    <row r="84" spans="1:8" x14ac:dyDescent="0.3">
      <c r="A84" s="53">
        <v>15001000</v>
      </c>
      <c r="B84" s="53">
        <v>111</v>
      </c>
      <c r="C84" s="53">
        <v>1904000000</v>
      </c>
      <c r="D84" s="54">
        <v>1.7084331130061414</v>
      </c>
      <c r="F84" s="53">
        <v>15001000</v>
      </c>
      <c r="G84" s="55">
        <v>111</v>
      </c>
      <c r="H84" s="55">
        <v>1904000000</v>
      </c>
    </row>
    <row r="85" spans="1:8" x14ac:dyDescent="0.3">
      <c r="A85" s="53">
        <v>20001000</v>
      </c>
      <c r="B85" s="53">
        <v>72</v>
      </c>
      <c r="C85" s="53">
        <v>1714000000</v>
      </c>
      <c r="D85" s="54">
        <v>1.6637379513138164</v>
      </c>
      <c r="F85" s="53">
        <v>20001000</v>
      </c>
      <c r="G85" s="55">
        <v>72</v>
      </c>
      <c r="H85" s="55">
        <v>1714000000</v>
      </c>
    </row>
    <row r="86" spans="1:8" x14ac:dyDescent="0.3">
      <c r="A86" s="53">
        <v>30000000</v>
      </c>
      <c r="B86" s="53">
        <v>51</v>
      </c>
      <c r="C86" s="53">
        <v>2379000000</v>
      </c>
      <c r="D86" s="54">
        <v>1.5549019607843138</v>
      </c>
      <c r="F86" s="53">
        <v>30000000</v>
      </c>
      <c r="G86" s="55">
        <v>51</v>
      </c>
      <c r="H86" s="55">
        <v>2379000000</v>
      </c>
    </row>
    <row r="87" spans="1:8" x14ac:dyDescent="0.3">
      <c r="A87" s="51" t="s">
        <v>56</v>
      </c>
      <c r="B87" s="51" t="s">
        <v>74</v>
      </c>
      <c r="C87" s="51" t="s">
        <v>75</v>
      </c>
      <c r="D87" s="52" t="s">
        <v>59</v>
      </c>
      <c r="E87">
        <v>1084000</v>
      </c>
      <c r="G87" s="2"/>
      <c r="H87" s="2"/>
    </row>
    <row r="88" spans="1:8" x14ac:dyDescent="0.3">
      <c r="A88" s="53">
        <v>271000</v>
      </c>
      <c r="B88" s="53"/>
      <c r="C88" s="53"/>
      <c r="D88" s="54"/>
      <c r="F88" s="53">
        <v>271000</v>
      </c>
      <c r="G88" s="2">
        <v>244884.19620988937</v>
      </c>
      <c r="H88" s="2">
        <v>75745897497.696243</v>
      </c>
    </row>
    <row r="89" spans="1:8" x14ac:dyDescent="0.3">
      <c r="A89" s="53">
        <v>351000</v>
      </c>
      <c r="B89" s="53"/>
      <c r="C89" s="53"/>
      <c r="D89" s="54"/>
      <c r="F89" s="53">
        <v>351000</v>
      </c>
      <c r="G89" s="2">
        <v>326833.2396307952</v>
      </c>
      <c r="H89" s="2">
        <v>144585005603.80136</v>
      </c>
    </row>
    <row r="90" spans="1:8" x14ac:dyDescent="0.3">
      <c r="A90" s="53">
        <v>601000</v>
      </c>
      <c r="B90" s="53"/>
      <c r="C90" s="53"/>
      <c r="D90" s="54"/>
      <c r="F90" s="53">
        <v>601000</v>
      </c>
      <c r="G90" s="2">
        <v>70680.071255678296</v>
      </c>
      <c r="H90" s="2">
        <v>51533440151.158165</v>
      </c>
    </row>
    <row r="91" spans="1:8" x14ac:dyDescent="0.3">
      <c r="A91" s="53">
        <v>930000</v>
      </c>
      <c r="B91" s="53">
        <v>27230</v>
      </c>
      <c r="C91" s="53">
        <v>31471000000</v>
      </c>
      <c r="D91" s="54">
        <v>2.0621438162299426</v>
      </c>
      <c r="F91" s="53">
        <v>901000</v>
      </c>
      <c r="G91" s="2">
        <v>39519.501588120533</v>
      </c>
      <c r="H91" s="2">
        <v>44515711542.492294</v>
      </c>
    </row>
    <row r="92" spans="1:8" x14ac:dyDescent="0.3">
      <c r="A92" s="53">
        <v>1501000</v>
      </c>
      <c r="B92" s="53">
        <v>15333</v>
      </c>
      <c r="C92" s="53">
        <v>31138000000</v>
      </c>
      <c r="D92" s="54">
        <v>1.9343904215867869</v>
      </c>
      <c r="F92" s="53">
        <v>1501000</v>
      </c>
      <c r="G92" s="55">
        <v>15333</v>
      </c>
      <c r="H92" s="55">
        <v>31138000000</v>
      </c>
    </row>
    <row r="93" spans="1:8" x14ac:dyDescent="0.3">
      <c r="A93" s="53">
        <v>3001000</v>
      </c>
      <c r="B93" s="53">
        <v>4528</v>
      </c>
      <c r="C93" s="53">
        <v>18153000000</v>
      </c>
      <c r="D93" s="54">
        <v>1.7473480624798146</v>
      </c>
      <c r="F93" s="53">
        <v>3001000</v>
      </c>
      <c r="G93" s="55">
        <v>4528</v>
      </c>
      <c r="H93" s="55">
        <v>18153000000</v>
      </c>
    </row>
    <row r="94" spans="1:8" x14ac:dyDescent="0.3">
      <c r="A94" s="53">
        <v>6001000</v>
      </c>
      <c r="B94" s="53">
        <v>863</v>
      </c>
      <c r="C94" s="53">
        <v>6416000000</v>
      </c>
      <c r="D94" s="54">
        <v>1.6567266800071137</v>
      </c>
      <c r="F94" s="53">
        <v>6001000</v>
      </c>
      <c r="G94" s="55">
        <v>863</v>
      </c>
      <c r="H94" s="55">
        <v>6416000000</v>
      </c>
    </row>
    <row r="95" spans="1:8" x14ac:dyDescent="0.3">
      <c r="A95" s="53">
        <v>10001000</v>
      </c>
      <c r="B95" s="53">
        <v>199</v>
      </c>
      <c r="C95" s="53">
        <v>2375000000</v>
      </c>
      <c r="D95" s="54">
        <v>1.6557977229799956</v>
      </c>
      <c r="F95" s="53">
        <v>10001000</v>
      </c>
      <c r="G95" s="55">
        <v>199</v>
      </c>
      <c r="H95" s="55">
        <v>2375000000</v>
      </c>
    </row>
    <row r="96" spans="1:8" x14ac:dyDescent="0.3">
      <c r="A96" s="53">
        <v>15001000</v>
      </c>
      <c r="B96" s="53">
        <v>72</v>
      </c>
      <c r="C96" s="53">
        <v>1246000000</v>
      </c>
      <c r="D96" s="54">
        <v>1.5832277848143457</v>
      </c>
      <c r="F96" s="53">
        <v>15001000</v>
      </c>
      <c r="G96" s="55">
        <v>72</v>
      </c>
      <c r="H96" s="55">
        <v>1246000000</v>
      </c>
    </row>
    <row r="97" spans="1:8" x14ac:dyDescent="0.3">
      <c r="A97" s="53">
        <v>20001000</v>
      </c>
      <c r="B97" s="53">
        <v>35</v>
      </c>
      <c r="C97" s="53">
        <v>851000000</v>
      </c>
      <c r="D97" s="54">
        <v>1.6017056290042642</v>
      </c>
      <c r="F97" s="53">
        <v>20001000</v>
      </c>
      <c r="G97" s="55">
        <v>35</v>
      </c>
      <c r="H97" s="55">
        <v>851000000</v>
      </c>
    </row>
    <row r="98" spans="1:8" x14ac:dyDescent="0.3">
      <c r="A98" s="53">
        <v>30000000</v>
      </c>
      <c r="B98" s="53">
        <v>21</v>
      </c>
      <c r="C98" s="53">
        <v>943000000</v>
      </c>
      <c r="D98" s="54">
        <v>1.4968253968253968</v>
      </c>
      <c r="F98" s="53">
        <v>30000000</v>
      </c>
      <c r="G98" s="55">
        <v>21</v>
      </c>
      <c r="H98" s="55">
        <v>943000000</v>
      </c>
    </row>
    <row r="99" spans="1:8" x14ac:dyDescent="0.3">
      <c r="A99" s="51" t="s">
        <v>56</v>
      </c>
      <c r="B99" s="51" t="s">
        <v>76</v>
      </c>
      <c r="C99" s="51" t="s">
        <v>77</v>
      </c>
      <c r="D99" s="52" t="s">
        <v>59</v>
      </c>
      <c r="E99">
        <v>1219500</v>
      </c>
      <c r="G99" s="2"/>
      <c r="H99" s="2"/>
    </row>
    <row r="100" spans="1:8" x14ac:dyDescent="0.3">
      <c r="A100" s="53">
        <v>271000</v>
      </c>
      <c r="B100" s="53"/>
      <c r="C100" s="53"/>
      <c r="D100" s="54"/>
      <c r="F100" s="53">
        <v>271000</v>
      </c>
      <c r="G100" s="2">
        <v>108028.22038503176</v>
      </c>
      <c r="H100" s="2">
        <v>33414547099.355473</v>
      </c>
    </row>
    <row r="101" spans="1:8" x14ac:dyDescent="0.3">
      <c r="A101" s="53">
        <v>351000</v>
      </c>
      <c r="B101" s="53"/>
      <c r="C101" s="53"/>
      <c r="D101" s="54"/>
      <c r="F101" s="53">
        <v>351000</v>
      </c>
      <c r="G101" s="2">
        <v>144179.22343068538</v>
      </c>
      <c r="H101" s="2">
        <v>63782232955.332458</v>
      </c>
    </row>
    <row r="102" spans="1:8" x14ac:dyDescent="0.3">
      <c r="A102" s="53">
        <v>601000</v>
      </c>
      <c r="B102" s="53"/>
      <c r="C102" s="53"/>
      <c r="D102" s="54"/>
      <c r="F102" s="53">
        <v>601000</v>
      </c>
      <c r="G102" s="2">
        <v>31179.808385404554</v>
      </c>
      <c r="H102" s="2">
        <v>22733463065.44276</v>
      </c>
    </row>
    <row r="103" spans="1:8" x14ac:dyDescent="0.3">
      <c r="A103" s="53">
        <v>1040000</v>
      </c>
      <c r="B103" s="53">
        <v>7715</v>
      </c>
      <c r="C103" s="53">
        <v>9505000000</v>
      </c>
      <c r="D103" s="54">
        <v>2.1615689637642399</v>
      </c>
      <c r="F103" s="53">
        <v>901000</v>
      </c>
      <c r="G103" s="2">
        <v>17433.633910001128</v>
      </c>
      <c r="H103" s="2">
        <v>19637662093.094494</v>
      </c>
    </row>
    <row r="104" spans="1:8" x14ac:dyDescent="0.3">
      <c r="A104" s="53">
        <v>1501000</v>
      </c>
      <c r="B104" s="53">
        <v>6764</v>
      </c>
      <c r="C104" s="53">
        <v>13880000000</v>
      </c>
      <c r="D104" s="54">
        <v>2.0368415687635042</v>
      </c>
      <c r="F104" s="53">
        <v>1501000</v>
      </c>
      <c r="G104" s="55">
        <v>6764</v>
      </c>
      <c r="H104" s="55">
        <v>13880000000</v>
      </c>
    </row>
    <row r="105" spans="1:8" x14ac:dyDescent="0.3">
      <c r="A105" s="53">
        <v>3001000</v>
      </c>
      <c r="B105" s="53">
        <v>2256</v>
      </c>
      <c r="C105" s="53">
        <v>9091000000</v>
      </c>
      <c r="D105" s="54">
        <v>1.7941772090115524</v>
      </c>
      <c r="F105" s="53">
        <v>3001000</v>
      </c>
      <c r="G105" s="55">
        <v>2256</v>
      </c>
      <c r="H105" s="55">
        <v>9091000000</v>
      </c>
    </row>
    <row r="106" spans="1:8" x14ac:dyDescent="0.3">
      <c r="A106" s="53">
        <v>6001000</v>
      </c>
      <c r="B106" s="53">
        <v>481</v>
      </c>
      <c r="C106" s="53">
        <v>3564000000</v>
      </c>
      <c r="D106" s="54">
        <v>1.6618851812986122</v>
      </c>
      <c r="F106" s="53">
        <v>6001000</v>
      </c>
      <c r="G106" s="55">
        <v>481</v>
      </c>
      <c r="H106" s="55">
        <v>3564000000</v>
      </c>
    </row>
    <row r="107" spans="1:8" x14ac:dyDescent="0.3">
      <c r="A107" s="53">
        <v>10001000</v>
      </c>
      <c r="B107" s="53">
        <v>120</v>
      </c>
      <c r="C107" s="53">
        <v>1425000000</v>
      </c>
      <c r="D107" s="54">
        <v>1.6636174220415796</v>
      </c>
      <c r="F107" s="53">
        <v>10001000</v>
      </c>
      <c r="G107" s="55">
        <v>120</v>
      </c>
      <c r="H107" s="55">
        <v>1425000000</v>
      </c>
    </row>
    <row r="108" spans="1:8" x14ac:dyDescent="0.3">
      <c r="A108" s="53">
        <v>15001000</v>
      </c>
      <c r="B108" s="53">
        <v>30</v>
      </c>
      <c r="C108" s="53">
        <v>512000000</v>
      </c>
      <c r="D108" s="54">
        <v>1.6952715972781303</v>
      </c>
      <c r="F108" s="53">
        <v>15001000</v>
      </c>
      <c r="G108" s="55">
        <v>30</v>
      </c>
      <c r="H108" s="55">
        <v>512000000</v>
      </c>
    </row>
    <row r="109" spans="1:8" x14ac:dyDescent="0.3">
      <c r="A109" s="53">
        <v>20001000</v>
      </c>
      <c r="B109" s="53">
        <v>22</v>
      </c>
      <c r="C109" s="53">
        <v>529000000</v>
      </c>
      <c r="D109" s="54">
        <v>1.6299185040747963</v>
      </c>
      <c r="F109" s="53">
        <v>20001000</v>
      </c>
      <c r="G109" s="55">
        <v>22</v>
      </c>
      <c r="H109" s="55">
        <v>529000000</v>
      </c>
    </row>
    <row r="110" spans="1:8" x14ac:dyDescent="0.3">
      <c r="A110" s="53">
        <v>30000000</v>
      </c>
      <c r="B110" s="53">
        <v>13</v>
      </c>
      <c r="C110" s="53">
        <v>612000000</v>
      </c>
      <c r="D110" s="54">
        <v>1.5692307692307694</v>
      </c>
      <c r="F110" s="53">
        <v>30000000</v>
      </c>
      <c r="G110" s="55">
        <v>13</v>
      </c>
      <c r="H110" s="55">
        <v>612000000</v>
      </c>
    </row>
    <row r="111" spans="1:8" x14ac:dyDescent="0.3">
      <c r="A111" s="51" t="s">
        <v>56</v>
      </c>
      <c r="B111" s="51" t="s">
        <v>78</v>
      </c>
      <c r="C111" s="51" t="s">
        <v>79</v>
      </c>
      <c r="D111" s="52" t="s">
        <v>59</v>
      </c>
      <c r="E111">
        <v>1355000</v>
      </c>
      <c r="G111" s="2"/>
      <c r="H111" s="2"/>
    </row>
    <row r="112" spans="1:8" x14ac:dyDescent="0.3">
      <c r="A112" s="53">
        <v>271000</v>
      </c>
      <c r="B112" s="53"/>
      <c r="C112" s="53"/>
      <c r="D112" s="54"/>
      <c r="F112" s="53">
        <v>271000</v>
      </c>
      <c r="G112" s="2">
        <v>48983.227664236016</v>
      </c>
      <c r="H112" s="2">
        <v>15151155522.430992</v>
      </c>
    </row>
    <row r="113" spans="1:8" x14ac:dyDescent="0.3">
      <c r="A113" s="53">
        <v>351000</v>
      </c>
      <c r="B113" s="53"/>
      <c r="C113" s="53"/>
      <c r="D113" s="54"/>
      <c r="F113" s="53">
        <v>351000</v>
      </c>
      <c r="G113" s="2">
        <v>65375.174196024847</v>
      </c>
      <c r="H113" s="2">
        <v>28920772985.512218</v>
      </c>
    </row>
    <row r="114" spans="1:8" x14ac:dyDescent="0.3">
      <c r="A114" s="53">
        <v>601000</v>
      </c>
      <c r="B114" s="53"/>
      <c r="C114" s="53"/>
      <c r="D114" s="54"/>
      <c r="F114" s="53">
        <v>601000</v>
      </c>
      <c r="G114" s="2">
        <v>14137.858119165548</v>
      </c>
      <c r="H114" s="2">
        <v>10308032410.069921</v>
      </c>
    </row>
    <row r="115" spans="1:8" x14ac:dyDescent="0.3">
      <c r="A115" s="53">
        <v>1150000</v>
      </c>
      <c r="B115" s="53">
        <v>2212</v>
      </c>
      <c r="C115" s="53">
        <v>2900000000</v>
      </c>
      <c r="D115" s="54">
        <v>2.2150287810162768</v>
      </c>
      <c r="F115" s="53">
        <v>901000</v>
      </c>
      <c r="G115" s="2">
        <v>7904.9312835561004</v>
      </c>
      <c r="H115" s="2">
        <v>8904303613.1757565</v>
      </c>
    </row>
    <row r="116" spans="1:8" x14ac:dyDescent="0.3">
      <c r="A116" s="53">
        <v>1501000</v>
      </c>
      <c r="B116" s="53">
        <v>3067</v>
      </c>
      <c r="C116" s="53">
        <v>6290000000</v>
      </c>
      <c r="D116" s="54">
        <v>2.1064608612984599</v>
      </c>
      <c r="F116" s="53">
        <v>1501000</v>
      </c>
      <c r="G116" s="55">
        <v>3067</v>
      </c>
      <c r="H116" s="55">
        <v>6290000000</v>
      </c>
    </row>
    <row r="117" spans="1:8" x14ac:dyDescent="0.3">
      <c r="A117" s="53">
        <v>3001000</v>
      </c>
      <c r="B117" s="53">
        <v>1059</v>
      </c>
      <c r="C117" s="53">
        <v>4285000000</v>
      </c>
      <c r="D117" s="54">
        <v>1.8745257967758637</v>
      </c>
      <c r="F117" s="53">
        <v>3001000</v>
      </c>
      <c r="G117" s="55">
        <v>1059</v>
      </c>
      <c r="H117" s="55">
        <v>4285000000</v>
      </c>
    </row>
    <row r="118" spans="1:8" x14ac:dyDescent="0.3">
      <c r="A118" s="53">
        <v>6001000</v>
      </c>
      <c r="B118" s="53">
        <v>230</v>
      </c>
      <c r="C118" s="53">
        <v>1729000000</v>
      </c>
      <c r="D118" s="54">
        <v>1.7975399161868084</v>
      </c>
      <c r="F118" s="53">
        <v>6001000</v>
      </c>
      <c r="G118" s="55">
        <v>230</v>
      </c>
      <c r="H118" s="55">
        <v>1729000000</v>
      </c>
    </row>
    <row r="119" spans="1:8" x14ac:dyDescent="0.3">
      <c r="A119" s="53">
        <v>10001000</v>
      </c>
      <c r="B119" s="53">
        <v>56</v>
      </c>
      <c r="C119" s="53">
        <v>679000000</v>
      </c>
      <c r="D119" s="54">
        <v>1.878535550700249</v>
      </c>
      <c r="F119" s="53">
        <v>10001000</v>
      </c>
      <c r="G119" s="55">
        <v>56</v>
      </c>
      <c r="H119" s="55">
        <v>679000000</v>
      </c>
    </row>
    <row r="120" spans="1:8" x14ac:dyDescent="0.3">
      <c r="A120" s="53">
        <v>15001000</v>
      </c>
      <c r="B120" s="53">
        <v>16</v>
      </c>
      <c r="C120" s="53">
        <v>269000000</v>
      </c>
      <c r="D120" s="54">
        <v>1.9068904178317938</v>
      </c>
      <c r="F120" s="53">
        <v>15001000</v>
      </c>
      <c r="G120" s="55">
        <v>16</v>
      </c>
      <c r="H120" s="55">
        <v>269000000</v>
      </c>
    </row>
    <row r="121" spans="1:8" x14ac:dyDescent="0.3">
      <c r="A121" s="53">
        <v>20001000</v>
      </c>
      <c r="B121" s="53">
        <v>13</v>
      </c>
      <c r="C121" s="53">
        <v>318000000</v>
      </c>
      <c r="D121" s="54">
        <v>1.8589979591929493</v>
      </c>
      <c r="F121" s="53">
        <v>20001000</v>
      </c>
      <c r="G121" s="55">
        <v>13</v>
      </c>
      <c r="H121" s="55">
        <v>318000000</v>
      </c>
    </row>
    <row r="122" spans="1:8" x14ac:dyDescent="0.3">
      <c r="A122" s="53">
        <v>30000000</v>
      </c>
      <c r="B122" s="53">
        <v>9</v>
      </c>
      <c r="C122" s="53">
        <v>500000000</v>
      </c>
      <c r="D122" s="54">
        <v>1.8518518518518516</v>
      </c>
      <c r="F122" s="53">
        <v>30000000</v>
      </c>
      <c r="G122" s="55">
        <v>9</v>
      </c>
      <c r="H122" s="55">
        <v>500000000</v>
      </c>
    </row>
    <row r="123" spans="1:8" x14ac:dyDescent="0.3">
      <c r="A123" s="51" t="s">
        <v>56</v>
      </c>
      <c r="B123" s="51" t="s">
        <v>80</v>
      </c>
      <c r="C123" s="51" t="s">
        <v>81</v>
      </c>
      <c r="D123" s="52" t="s">
        <v>59</v>
      </c>
      <c r="E123">
        <v>1490500</v>
      </c>
      <c r="G123" s="2"/>
      <c r="H123" s="2"/>
    </row>
    <row r="124" spans="1:8" x14ac:dyDescent="0.3">
      <c r="A124" s="53">
        <v>271000</v>
      </c>
      <c r="B124" s="53"/>
      <c r="C124" s="53"/>
      <c r="D124" s="54"/>
      <c r="F124" s="53">
        <v>271000</v>
      </c>
      <c r="G124" s="2">
        <v>20570.719671188781</v>
      </c>
      <c r="H124" s="2">
        <v>6362793711.4089079</v>
      </c>
    </row>
    <row r="125" spans="1:8" x14ac:dyDescent="0.3">
      <c r="A125" s="53">
        <v>351000</v>
      </c>
      <c r="B125" s="53"/>
      <c r="C125" s="53"/>
      <c r="D125" s="54"/>
      <c r="F125" s="53">
        <v>351000</v>
      </c>
      <c r="G125" s="2">
        <v>27454.588967877407</v>
      </c>
      <c r="H125" s="2">
        <v>12145404501.251953</v>
      </c>
    </row>
    <row r="126" spans="1:8" x14ac:dyDescent="0.3">
      <c r="A126" s="53">
        <v>601000</v>
      </c>
      <c r="B126" s="53"/>
      <c r="C126" s="53"/>
      <c r="D126" s="54"/>
      <c r="F126" s="53">
        <v>601000</v>
      </c>
      <c r="G126" s="2">
        <v>5937.2550562390697</v>
      </c>
      <c r="H126" s="2">
        <v>4328903079.2859659</v>
      </c>
    </row>
    <row r="127" spans="1:8" x14ac:dyDescent="0.3">
      <c r="A127" s="53">
        <v>1260000</v>
      </c>
      <c r="B127" s="53">
        <v>525</v>
      </c>
      <c r="C127" s="53">
        <v>718000000</v>
      </c>
      <c r="D127" s="54">
        <v>2.1661540058923543</v>
      </c>
      <c r="F127" s="53">
        <v>901000</v>
      </c>
      <c r="G127" s="2">
        <v>3319.7103010173646</v>
      </c>
      <c r="H127" s="2">
        <v>3739401060.8967638</v>
      </c>
    </row>
    <row r="128" spans="1:8" x14ac:dyDescent="0.3">
      <c r="A128" s="53">
        <v>1501000</v>
      </c>
      <c r="B128" s="53">
        <v>1288</v>
      </c>
      <c r="C128" s="53">
        <v>2648000000</v>
      </c>
      <c r="D128" s="54">
        <v>2.0662955565628467</v>
      </c>
      <c r="F128" s="53">
        <v>1501000</v>
      </c>
      <c r="G128" s="55">
        <v>1288</v>
      </c>
      <c r="H128" s="55">
        <v>2648000000</v>
      </c>
    </row>
    <row r="129" spans="1:8" x14ac:dyDescent="0.3">
      <c r="A129" s="53">
        <v>3001000</v>
      </c>
      <c r="B129" s="53">
        <v>499</v>
      </c>
      <c r="C129" s="53">
        <v>2017000000</v>
      </c>
      <c r="D129" s="54">
        <v>1.7424418295533926</v>
      </c>
      <c r="F129" s="53">
        <v>3001000</v>
      </c>
      <c r="G129" s="55">
        <v>499</v>
      </c>
      <c r="H129" s="55">
        <v>2017000000</v>
      </c>
    </row>
    <row r="130" spans="1:8" x14ac:dyDescent="0.3">
      <c r="A130" s="53">
        <v>6001000</v>
      </c>
      <c r="B130" s="53">
        <v>90</v>
      </c>
      <c r="C130" s="53">
        <v>673000000</v>
      </c>
      <c r="D130" s="54">
        <v>1.607940965063037</v>
      </c>
      <c r="F130" s="53">
        <v>6001000</v>
      </c>
      <c r="G130" s="55">
        <v>90</v>
      </c>
      <c r="H130" s="55">
        <v>673000000</v>
      </c>
    </row>
    <row r="131" spans="1:8" x14ac:dyDescent="0.3">
      <c r="A131" s="53">
        <v>10001000</v>
      </c>
      <c r="B131" s="53">
        <v>34</v>
      </c>
      <c r="C131" s="53">
        <v>410000000</v>
      </c>
      <c r="D131" s="54">
        <v>1.4089500140895002</v>
      </c>
      <c r="F131" s="53">
        <v>10001000</v>
      </c>
      <c r="G131" s="55">
        <v>34</v>
      </c>
      <c r="H131" s="55">
        <v>410000000</v>
      </c>
    </row>
    <row r="132" spans="1:8" x14ac:dyDescent="0.3">
      <c r="A132" s="53">
        <v>15001000</v>
      </c>
      <c r="B132" s="53">
        <v>4</v>
      </c>
      <c r="C132" s="53">
        <v>68000000</v>
      </c>
      <c r="D132" s="54">
        <v>1.3999066728884741</v>
      </c>
      <c r="F132" s="53">
        <v>15001000</v>
      </c>
      <c r="G132" s="55">
        <v>4</v>
      </c>
      <c r="H132" s="55">
        <v>68000000</v>
      </c>
    </row>
    <row r="133" spans="1:8" x14ac:dyDescent="0.3">
      <c r="A133" s="53">
        <v>20001000</v>
      </c>
      <c r="B133" s="53">
        <v>6</v>
      </c>
      <c r="C133" s="53">
        <v>142000000</v>
      </c>
      <c r="D133" s="54">
        <v>1.1832741696248521</v>
      </c>
      <c r="F133" s="53">
        <v>20001000</v>
      </c>
      <c r="G133" s="55">
        <v>6</v>
      </c>
      <c r="H133" s="55">
        <v>142000000</v>
      </c>
    </row>
    <row r="134" spans="1:8" x14ac:dyDescent="0.3">
      <c r="A134" s="53">
        <v>30000000</v>
      </c>
      <c r="B134" s="53"/>
      <c r="C134" s="53"/>
      <c r="D134" s="54"/>
      <c r="F134" s="53">
        <v>30000000</v>
      </c>
      <c r="G134" s="2"/>
      <c r="H134" s="2"/>
    </row>
    <row r="135" spans="1:8" x14ac:dyDescent="0.3">
      <c r="A135" s="51" t="s">
        <v>56</v>
      </c>
      <c r="B135" s="51" t="s">
        <v>82</v>
      </c>
      <c r="C135" s="51" t="s">
        <v>83</v>
      </c>
      <c r="D135" s="52" t="s">
        <v>59</v>
      </c>
      <c r="E135">
        <v>1626000</v>
      </c>
      <c r="G135" s="2"/>
      <c r="H135" s="2"/>
    </row>
    <row r="136" spans="1:8" x14ac:dyDescent="0.3">
      <c r="A136" s="53">
        <v>271000</v>
      </c>
      <c r="B136" s="53"/>
      <c r="C136" s="53"/>
      <c r="D136" s="54"/>
      <c r="F136" s="53">
        <v>271000</v>
      </c>
      <c r="G136" s="2">
        <v>9522.7179239370907</v>
      </c>
      <c r="H136" s="2">
        <v>2945501698.0670495</v>
      </c>
    </row>
    <row r="137" spans="1:8" x14ac:dyDescent="0.3">
      <c r="A137" s="53">
        <v>351000</v>
      </c>
      <c r="B137" s="53"/>
      <c r="C137" s="53"/>
      <c r="D137" s="54"/>
      <c r="F137" s="53">
        <v>351000</v>
      </c>
      <c r="G137" s="2">
        <v>12709.438981121604</v>
      </c>
      <c r="H137" s="2">
        <v>5622421723.0244513</v>
      </c>
    </row>
    <row r="138" spans="1:8" x14ac:dyDescent="0.3">
      <c r="A138" s="53">
        <v>601000</v>
      </c>
      <c r="B138" s="53"/>
      <c r="C138" s="53"/>
      <c r="D138" s="54"/>
      <c r="F138" s="53">
        <v>601000</v>
      </c>
      <c r="G138" s="2">
        <v>2748.5088536898297</v>
      </c>
      <c r="H138" s="2">
        <v>2003961144.9199562</v>
      </c>
    </row>
    <row r="139" spans="1:8" x14ac:dyDescent="0.3">
      <c r="A139" s="53">
        <v>1370000</v>
      </c>
      <c r="B139" s="53">
        <v>126</v>
      </c>
      <c r="C139" s="53">
        <v>181000000</v>
      </c>
      <c r="D139" s="54">
        <v>2.1779631560653456</v>
      </c>
      <c r="F139" s="53">
        <v>901000</v>
      </c>
      <c r="G139" s="2">
        <v>1536.7797185070365</v>
      </c>
      <c r="H139" s="2">
        <v>1731065420.9762573</v>
      </c>
    </row>
    <row r="140" spans="1:8" x14ac:dyDescent="0.3">
      <c r="A140" s="53">
        <v>1501000</v>
      </c>
      <c r="B140" s="53">
        <v>625</v>
      </c>
      <c r="C140" s="53">
        <v>1301000000</v>
      </c>
      <c r="D140" s="54">
        <v>2.1284511624285107</v>
      </c>
      <c r="F140" s="53">
        <v>1501000</v>
      </c>
      <c r="G140" s="2">
        <v>596.24849699398794</v>
      </c>
      <c r="H140" s="2">
        <v>1225827655.3106213</v>
      </c>
    </row>
    <row r="141" spans="1:8" x14ac:dyDescent="0.3">
      <c r="A141" s="53">
        <v>3001000</v>
      </c>
      <c r="B141" s="53">
        <v>231</v>
      </c>
      <c r="C141" s="53">
        <v>946000000</v>
      </c>
      <c r="D141" s="54">
        <v>1.839966388015589</v>
      </c>
      <c r="F141" s="53">
        <v>3001000</v>
      </c>
      <c r="G141" s="55">
        <v>231</v>
      </c>
      <c r="H141" s="55">
        <v>946000000</v>
      </c>
    </row>
    <row r="142" spans="1:8" x14ac:dyDescent="0.3">
      <c r="A142" s="53">
        <v>6001000</v>
      </c>
      <c r="B142" s="53">
        <v>48</v>
      </c>
      <c r="C142" s="53">
        <v>369000000</v>
      </c>
      <c r="D142" s="54">
        <v>1.7276532342648774</v>
      </c>
      <c r="F142" s="53">
        <v>6001000</v>
      </c>
      <c r="G142" s="55">
        <v>48</v>
      </c>
      <c r="H142" s="55">
        <v>369000000</v>
      </c>
    </row>
    <row r="143" spans="1:8" x14ac:dyDescent="0.3">
      <c r="A143" s="53">
        <v>10001000</v>
      </c>
      <c r="B143" s="53">
        <v>13</v>
      </c>
      <c r="C143" s="53">
        <v>145000000</v>
      </c>
      <c r="D143" s="54">
        <v>1.6798320167983201</v>
      </c>
      <c r="F143" s="53">
        <v>10001000</v>
      </c>
      <c r="G143" s="55">
        <v>13</v>
      </c>
      <c r="H143" s="55">
        <v>145000000</v>
      </c>
    </row>
    <row r="144" spans="1:8" x14ac:dyDescent="0.3">
      <c r="A144" s="53">
        <v>15001000</v>
      </c>
      <c r="B144" s="53">
        <v>3</v>
      </c>
      <c r="C144" s="53">
        <v>53000000</v>
      </c>
      <c r="D144" s="54">
        <v>1.8189263572904664</v>
      </c>
      <c r="F144" s="53">
        <v>15001000</v>
      </c>
      <c r="G144" s="55">
        <v>3</v>
      </c>
      <c r="H144" s="55">
        <v>53000000</v>
      </c>
    </row>
    <row r="145" spans="1:8" x14ac:dyDescent="0.3">
      <c r="A145" s="53">
        <v>20001000</v>
      </c>
      <c r="B145" s="53">
        <v>1</v>
      </c>
      <c r="C145" s="53">
        <v>23000000</v>
      </c>
      <c r="D145" s="54">
        <v>1.7249137543122843</v>
      </c>
      <c r="F145" s="53">
        <v>20001000</v>
      </c>
      <c r="G145" s="55">
        <v>1</v>
      </c>
      <c r="H145" s="55">
        <v>23000000</v>
      </c>
    </row>
    <row r="146" spans="1:8" x14ac:dyDescent="0.3">
      <c r="A146" s="53">
        <v>30000000</v>
      </c>
      <c r="B146" s="53">
        <v>3</v>
      </c>
      <c r="C146" s="53">
        <v>115000000</v>
      </c>
      <c r="D146" s="54">
        <v>1.2777777777777779</v>
      </c>
      <c r="F146" s="53">
        <v>30000000</v>
      </c>
      <c r="G146" s="55">
        <v>3</v>
      </c>
      <c r="H146" s="55">
        <v>115000000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"/>
  <sheetViews>
    <sheetView topLeftCell="F1" workbookViewId="0">
      <selection activeCell="I6" sqref="I6:I11"/>
    </sheetView>
  </sheetViews>
  <sheetFormatPr baseColWidth="10" defaultRowHeight="15.6" x14ac:dyDescent="0.3"/>
  <cols>
    <col min="8" max="8" width="14.5" customWidth="1"/>
    <col min="12" max="12" width="16.296875" customWidth="1"/>
    <col min="13" max="13" width="13.69921875" customWidth="1"/>
  </cols>
  <sheetData>
    <row r="1" spans="1:16" x14ac:dyDescent="0.3">
      <c r="A1" s="79" t="s">
        <v>220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6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64"/>
      <c r="J2" s="3"/>
      <c r="K2" s="3" t="s">
        <v>2</v>
      </c>
    </row>
    <row r="3" spans="1:16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3">
        <v>301000</v>
      </c>
      <c r="N3" t="s">
        <v>7</v>
      </c>
      <c r="O3" t="s">
        <v>8</v>
      </c>
      <c r="P3" t="s">
        <v>14</v>
      </c>
    </row>
    <row r="4" spans="1:16" x14ac:dyDescent="0.3">
      <c r="A4" s="53">
        <v>301000</v>
      </c>
      <c r="B4" s="53">
        <v>294273</v>
      </c>
      <c r="C4" s="53">
        <v>95796000000</v>
      </c>
      <c r="D4" s="54">
        <v>1.7503370541175904</v>
      </c>
      <c r="F4" s="53">
        <v>301000</v>
      </c>
      <c r="G4" s="55">
        <v>294273</v>
      </c>
      <c r="H4" s="55">
        <v>95796000000</v>
      </c>
      <c r="I4">
        <f t="shared" ref="I4:I7" si="0">G4/G5</f>
        <v>0.35536440571533462</v>
      </c>
      <c r="K4" s="53">
        <v>301000</v>
      </c>
      <c r="L4" s="2">
        <f t="shared" ref="L4:L14" si="1">G4+G16+G28+G40+G52+G64+G76+G88+G100+G112+G124+G136</f>
        <v>2059859.8409922256</v>
      </c>
      <c r="M4" s="2">
        <f t="shared" ref="M4:M14" si="2">H4+H16+H28+H40+H52+H64+H76+H88+H100+H112+H124+H136</f>
        <v>670555345980.40344</v>
      </c>
      <c r="N4">
        <f>1-SUM(L4:$L$14)/$K$16</f>
        <v>0.28977539796144081</v>
      </c>
      <c r="O4">
        <f>SUM(M4:$M$14)/(K4*SUM(L4:$L$14))</f>
        <v>2.2732484341475914</v>
      </c>
      <c r="P4">
        <f t="shared" ref="P4:P14" si="3">(G4+G16+G40)/L4</f>
        <v>0.17129922776148002</v>
      </c>
    </row>
    <row r="5" spans="1:16" x14ac:dyDescent="0.3">
      <c r="A5" s="53">
        <v>351000</v>
      </c>
      <c r="B5" s="53">
        <v>828088</v>
      </c>
      <c r="C5" s="53">
        <v>369918000000</v>
      </c>
      <c r="D5" s="54">
        <v>1.651315246011632</v>
      </c>
      <c r="F5" s="53">
        <v>351000</v>
      </c>
      <c r="G5" s="55">
        <v>828088</v>
      </c>
      <c r="H5" s="55">
        <v>369918000000</v>
      </c>
      <c r="I5">
        <f t="shared" si="0"/>
        <v>4.0782065677757418</v>
      </c>
      <c r="J5" s="2">
        <f>K5/655.957</f>
        <v>535.09605050331038</v>
      </c>
      <c r="K5" s="53">
        <v>351000</v>
      </c>
      <c r="L5" s="2">
        <f t="shared" si="1"/>
        <v>5796472.03789532</v>
      </c>
      <c r="M5" s="2">
        <f t="shared" si="2"/>
        <v>2824558161075.8696</v>
      </c>
      <c r="N5">
        <f>1-SUM(L5:$L$14)/$K$16</f>
        <v>0.40281113122624324</v>
      </c>
      <c r="O5">
        <f>SUM(M5:$M$14)/(K5*SUM(L5:$L$14))</f>
        <v>2.1428630524542629</v>
      </c>
      <c r="P5">
        <f t="shared" si="3"/>
        <v>0.1712992277614801</v>
      </c>
    </row>
    <row r="6" spans="1:16" x14ac:dyDescent="0.3">
      <c r="A6" s="53">
        <v>601000</v>
      </c>
      <c r="B6" s="53">
        <v>203052</v>
      </c>
      <c r="C6" s="53">
        <v>144561000000</v>
      </c>
      <c r="D6" s="54">
        <v>1.5856235861591701</v>
      </c>
      <c r="F6" s="53">
        <v>601000</v>
      </c>
      <c r="G6" s="55">
        <v>203052</v>
      </c>
      <c r="H6" s="55">
        <v>144561000000</v>
      </c>
      <c r="I6">
        <f t="shared" si="0"/>
        <v>3.0181488473029416</v>
      </c>
      <c r="J6" s="2">
        <f>K6/655.957</f>
        <v>916.2185935968364</v>
      </c>
      <c r="K6" s="53">
        <v>601000</v>
      </c>
      <c r="L6" s="2">
        <f t="shared" si="1"/>
        <v>3103159.055661751</v>
      </c>
      <c r="M6" s="2">
        <f t="shared" si="2"/>
        <v>2270938006559.5254</v>
      </c>
      <c r="N6">
        <f>1-SUM(L6:$L$14)/$K$16</f>
        <v>0.72089513583347431</v>
      </c>
      <c r="O6">
        <f>SUM(M6:$M$14)/(K6*SUM(L6:$L$14))</f>
        <v>1.7537268125092376</v>
      </c>
      <c r="P6">
        <f t="shared" si="3"/>
        <v>9.6441398791329375E-2</v>
      </c>
    </row>
    <row r="7" spans="1:16" x14ac:dyDescent="0.3">
      <c r="A7" s="53">
        <v>901000</v>
      </c>
      <c r="B7" s="53">
        <v>67277</v>
      </c>
      <c r="C7" s="53">
        <v>74570000000</v>
      </c>
      <c r="D7" s="54">
        <v>1.6498901454780246</v>
      </c>
      <c r="F7" s="53">
        <v>901000</v>
      </c>
      <c r="G7" s="55">
        <v>67277</v>
      </c>
      <c r="H7" s="55">
        <v>74570000000</v>
      </c>
      <c r="I7">
        <f t="shared" si="0"/>
        <v>3.3437872763419483</v>
      </c>
      <c r="J7" s="2">
        <f t="shared" ref="J7:J14" si="4">K7/655.957</f>
        <v>1373.5656453090676</v>
      </c>
      <c r="K7" s="53">
        <v>901000</v>
      </c>
      <c r="L7" s="2">
        <f t="shared" si="1"/>
        <v>1418794.1179656219</v>
      </c>
      <c r="M7" s="2">
        <f t="shared" si="2"/>
        <v>1587074311266.3342</v>
      </c>
      <c r="N7">
        <f>1-SUM(L7:$L$14)/$K$16</f>
        <v>0.89118238174874709</v>
      </c>
      <c r="O7">
        <f>SUM(M7:$M$14)/(K7*SUM(L7:$L$14))</f>
        <v>1.7293641217738898</v>
      </c>
      <c r="P7">
        <f t="shared" si="3"/>
        <v>7.6108294101777815E-2</v>
      </c>
    </row>
    <row r="8" spans="1:16" x14ac:dyDescent="0.3">
      <c r="A8" s="53">
        <v>1501000</v>
      </c>
      <c r="B8" s="53">
        <v>20120</v>
      </c>
      <c r="C8" s="53">
        <v>39506000000</v>
      </c>
      <c r="D8" s="54">
        <v>1.6838746891052445</v>
      </c>
      <c r="F8" s="53">
        <v>1501000</v>
      </c>
      <c r="G8" s="55">
        <v>20120</v>
      </c>
      <c r="H8" s="55">
        <v>39506000000</v>
      </c>
      <c r="I8">
        <f>G8/G9</f>
        <v>5.6868287167891465</v>
      </c>
      <c r="J8" s="2">
        <f t="shared" si="4"/>
        <v>2288.2597487335297</v>
      </c>
      <c r="K8" s="53">
        <v>1501000</v>
      </c>
      <c r="L8" s="2">
        <f t="shared" si="1"/>
        <v>445716.65214431583</v>
      </c>
      <c r="M8" s="2">
        <f t="shared" si="2"/>
        <v>881247900612.66162</v>
      </c>
      <c r="N8">
        <f>1-SUM(L8:$L$14)/$K$16</f>
        <v>0.9690393457443075</v>
      </c>
      <c r="O8">
        <f>SUM(M8:$M$14)/(K8*SUM(L8:$L$14))</f>
        <v>1.7744798878245285</v>
      </c>
      <c r="P8">
        <f t="shared" si="3"/>
        <v>7.7977791120863421E-2</v>
      </c>
    </row>
    <row r="9" spans="1:16" x14ac:dyDescent="0.3">
      <c r="A9" s="53">
        <v>3001000</v>
      </c>
      <c r="B9" s="53">
        <v>3538</v>
      </c>
      <c r="C9" s="53">
        <v>13874000000</v>
      </c>
      <c r="D9" s="54">
        <v>1.7174830612018217</v>
      </c>
      <c r="F9" s="53">
        <v>3001000</v>
      </c>
      <c r="G9" s="55">
        <v>3538</v>
      </c>
      <c r="H9" s="55">
        <v>13874000000</v>
      </c>
      <c r="I9">
        <f>G9/G10</f>
        <v>6.3747747747747745</v>
      </c>
      <c r="J9" s="2">
        <f t="shared" si="4"/>
        <v>4574.9950072946858</v>
      </c>
      <c r="K9" s="53">
        <v>3001000</v>
      </c>
      <c r="L9" s="2">
        <f t="shared" si="1"/>
        <v>94931</v>
      </c>
      <c r="M9" s="2">
        <f t="shared" si="2"/>
        <v>376305000000</v>
      </c>
      <c r="N9">
        <f>1-SUM(L9:$L$14)/$K$16</f>
        <v>0.99349824707382561</v>
      </c>
      <c r="O9">
        <f>SUM(M9:$M$14)/(K9*SUM(L9:$L$14))</f>
        <v>1.747902367818617</v>
      </c>
      <c r="P9">
        <f t="shared" si="3"/>
        <v>7.4580484773151032E-2</v>
      </c>
    </row>
    <row r="10" spans="1:16" x14ac:dyDescent="0.3">
      <c r="A10" s="53">
        <v>6001000</v>
      </c>
      <c r="B10" s="53">
        <v>555</v>
      </c>
      <c r="C10" s="53">
        <v>4104000000</v>
      </c>
      <c r="D10" s="54">
        <v>1.7882782537096333</v>
      </c>
      <c r="F10" s="53">
        <v>6001000</v>
      </c>
      <c r="G10" s="55">
        <v>555</v>
      </c>
      <c r="H10" s="55">
        <v>4104000000</v>
      </c>
      <c r="I10">
        <f>G10/G11</f>
        <v>4.3023255813953485</v>
      </c>
      <c r="J10" s="2">
        <f t="shared" si="4"/>
        <v>9148.4655244169971</v>
      </c>
      <c r="K10" s="53">
        <v>6001000</v>
      </c>
      <c r="L10" s="2">
        <f t="shared" si="1"/>
        <v>16451</v>
      </c>
      <c r="M10" s="2">
        <f t="shared" si="2"/>
        <v>122486000000</v>
      </c>
      <c r="N10">
        <f>1-SUM(L10:$L$14)/$K$16</f>
        <v>0.99870762830502247</v>
      </c>
      <c r="O10">
        <f>SUM(M10:$M$14)/(K10*SUM(L10:$L$14))</f>
        <v>1.7348601072114069</v>
      </c>
      <c r="P10">
        <f t="shared" si="3"/>
        <v>8.1575588110145286E-2</v>
      </c>
    </row>
    <row r="11" spans="1:16" x14ac:dyDescent="0.3">
      <c r="A11" s="53">
        <v>10001000</v>
      </c>
      <c r="B11" s="53">
        <v>129</v>
      </c>
      <c r="C11" s="53">
        <v>1543000000</v>
      </c>
      <c r="D11" s="54">
        <v>1.8887979043505341</v>
      </c>
      <c r="F11" s="53">
        <v>10001000</v>
      </c>
      <c r="G11" s="55">
        <v>129</v>
      </c>
      <c r="H11" s="55">
        <v>1543000000</v>
      </c>
      <c r="I11" s="55"/>
      <c r="J11" s="2">
        <f t="shared" si="4"/>
        <v>15246.426213913412</v>
      </c>
      <c r="K11" s="53">
        <v>10001000</v>
      </c>
      <c r="L11" s="2">
        <f t="shared" si="1"/>
        <v>4393</v>
      </c>
      <c r="M11" s="2">
        <f t="shared" si="2"/>
        <v>52586000000</v>
      </c>
      <c r="N11">
        <f>1-SUM(L11:$L$14)/$K$16</f>
        <v>0.99961038431343296</v>
      </c>
      <c r="O11">
        <f>SUM(M11:$M$14)/(K11*SUM(L11:$L$14))</f>
        <v>1.728010297561793</v>
      </c>
      <c r="P11">
        <f t="shared" si="3"/>
        <v>7.5119508308672894E-2</v>
      </c>
    </row>
    <row r="12" spans="1:16" x14ac:dyDescent="0.3">
      <c r="A12" s="53">
        <v>15001000</v>
      </c>
      <c r="B12" s="53">
        <v>42</v>
      </c>
      <c r="C12" s="53">
        <v>727000000</v>
      </c>
      <c r="D12" s="54">
        <v>1.8672224572783582</v>
      </c>
      <c r="F12" s="53">
        <v>15001000</v>
      </c>
      <c r="G12" s="55">
        <v>42</v>
      </c>
      <c r="H12" s="55">
        <v>727000000</v>
      </c>
      <c r="I12" s="55"/>
      <c r="J12" s="2">
        <f t="shared" si="4"/>
        <v>22868.87707578393</v>
      </c>
      <c r="K12" s="53">
        <v>15001000</v>
      </c>
      <c r="L12" s="2">
        <f t="shared" si="1"/>
        <v>1322</v>
      </c>
      <c r="M12" s="2">
        <f t="shared" si="2"/>
        <v>22569000000</v>
      </c>
      <c r="N12">
        <f>1-SUM(L12:$L$14)/$K$16</f>
        <v>0.99985145216006521</v>
      </c>
      <c r="O12">
        <f>SUM(M12:$M$14)/(K12*SUM(L12:$L$14))</f>
        <v>1.7266426789377691</v>
      </c>
      <c r="P12">
        <f t="shared" si="3"/>
        <v>9.0771558245083206E-2</v>
      </c>
    </row>
    <row r="13" spans="1:16" x14ac:dyDescent="0.3">
      <c r="A13" s="53">
        <v>20001000</v>
      </c>
      <c r="B13" s="53">
        <v>33</v>
      </c>
      <c r="C13" s="53">
        <v>782000000</v>
      </c>
      <c r="D13" s="54">
        <v>1.801695629504239</v>
      </c>
      <c r="F13" s="53">
        <v>20001000</v>
      </c>
      <c r="G13" s="55">
        <v>33</v>
      </c>
      <c r="H13" s="55">
        <v>782000000</v>
      </c>
      <c r="I13" s="55"/>
      <c r="J13" s="2">
        <f t="shared" si="4"/>
        <v>30491.327937654449</v>
      </c>
      <c r="K13" s="53">
        <v>20001000</v>
      </c>
      <c r="L13" s="2">
        <f t="shared" si="1"/>
        <v>874</v>
      </c>
      <c r="M13" s="2">
        <f t="shared" si="2"/>
        <v>20827000000</v>
      </c>
      <c r="N13">
        <f>1-SUM(L13:$L$14)/$K$16</f>
        <v>0.999923997503395</v>
      </c>
      <c r="O13">
        <f>SUM(M13:$M$14)/(K13*SUM(L13:$L$14))</f>
        <v>1.7163762750490634</v>
      </c>
      <c r="P13">
        <f t="shared" si="3"/>
        <v>0.10983981693363844</v>
      </c>
    </row>
    <row r="14" spans="1:16" x14ac:dyDescent="0.3">
      <c r="A14" s="53">
        <v>30000000</v>
      </c>
      <c r="B14" s="53">
        <v>23</v>
      </c>
      <c r="C14" s="53">
        <v>1236000000</v>
      </c>
      <c r="D14" s="54">
        <v>1.7913043478260871</v>
      </c>
      <c r="F14" s="53">
        <v>30000000</v>
      </c>
      <c r="G14" s="55">
        <v>23</v>
      </c>
      <c r="H14" s="55">
        <v>1236000000</v>
      </c>
      <c r="I14" s="55"/>
      <c r="J14" s="2">
        <f t="shared" si="4"/>
        <v>45734.705171223111</v>
      </c>
      <c r="K14" s="53">
        <v>30000000</v>
      </c>
      <c r="L14" s="2">
        <f t="shared" si="1"/>
        <v>511</v>
      </c>
      <c r="M14" s="2">
        <f t="shared" si="2"/>
        <v>26719000000</v>
      </c>
      <c r="N14">
        <f>1-SUM(L14:$L$14)/$K$16</f>
        <v>0.99997195864565691</v>
      </c>
      <c r="O14">
        <f>SUM(M14:$M$14)/(K14*SUM(L14:$L$14))</f>
        <v>1.7429223744292237</v>
      </c>
      <c r="P14">
        <f t="shared" si="3"/>
        <v>0.14285714285714285</v>
      </c>
    </row>
    <row r="15" spans="1:16" x14ac:dyDescent="0.3">
      <c r="A15" s="51" t="s">
        <v>56</v>
      </c>
      <c r="B15" s="51" t="s">
        <v>89</v>
      </c>
      <c r="C15" s="51" t="s">
        <v>90</v>
      </c>
      <c r="D15" s="52" t="s">
        <v>59</v>
      </c>
      <c r="E15">
        <v>451500</v>
      </c>
      <c r="G15" s="2"/>
      <c r="H15" s="2"/>
    </row>
    <row r="16" spans="1:16" x14ac:dyDescent="0.3">
      <c r="A16" s="53">
        <v>301000</v>
      </c>
      <c r="B16" s="53"/>
      <c r="C16" s="53"/>
      <c r="D16" s="54"/>
      <c r="F16" s="53">
        <v>301000</v>
      </c>
      <c r="G16" s="2">
        <f>I$4*G17</f>
        <v>50006.879172261884</v>
      </c>
      <c r="H16" s="2">
        <f>G16*(H4/G4)</f>
        <v>16278962042.681454</v>
      </c>
      <c r="I16">
        <f t="shared" ref="I16:I19" si="5">G16/G17</f>
        <v>0.35536440571533462</v>
      </c>
      <c r="K16" s="5">
        <v>18223085.580970295</v>
      </c>
    </row>
    <row r="17" spans="1:11" x14ac:dyDescent="0.3">
      <c r="A17" s="53">
        <v>410000</v>
      </c>
      <c r="B17" s="53">
        <v>140720</v>
      </c>
      <c r="C17" s="53">
        <v>69523000000</v>
      </c>
      <c r="D17" s="54">
        <v>1.9586870632996891</v>
      </c>
      <c r="F17" s="53">
        <v>351000</v>
      </c>
      <c r="G17" s="69">
        <f>B17</f>
        <v>140720</v>
      </c>
      <c r="H17" s="69">
        <f>C17</f>
        <v>69523000000</v>
      </c>
      <c r="I17">
        <f t="shared" si="5"/>
        <v>1.713172632091551</v>
      </c>
      <c r="K17" s="5">
        <v>18223085.580970295</v>
      </c>
    </row>
    <row r="18" spans="1:11" x14ac:dyDescent="0.3">
      <c r="A18" s="53">
        <v>601000</v>
      </c>
      <c r="B18" s="53">
        <v>82140</v>
      </c>
      <c r="C18" s="53">
        <v>59319000000</v>
      </c>
      <c r="D18" s="54">
        <v>1.866979430538195</v>
      </c>
      <c r="F18" s="53">
        <v>601000</v>
      </c>
      <c r="G18" s="55">
        <v>82140</v>
      </c>
      <c r="H18" s="55">
        <v>59319000000</v>
      </c>
      <c r="I18">
        <f t="shared" si="5"/>
        <v>2.2581443298969073</v>
      </c>
      <c r="K18" s="5">
        <f>SUM(K6:K16)</f>
        <v>105231085.58097029</v>
      </c>
    </row>
    <row r="19" spans="1:11" x14ac:dyDescent="0.3">
      <c r="A19" s="53">
        <v>901000</v>
      </c>
      <c r="B19" s="53">
        <v>36375</v>
      </c>
      <c r="C19" s="53">
        <v>40410000000</v>
      </c>
      <c r="D19" s="54">
        <v>1.9182556560833832</v>
      </c>
      <c r="F19" s="53">
        <v>901000</v>
      </c>
      <c r="G19" s="55">
        <v>36375</v>
      </c>
      <c r="H19" s="55">
        <v>40410000000</v>
      </c>
      <c r="I19">
        <f t="shared" si="5"/>
        <v>2.7133373116514994</v>
      </c>
    </row>
    <row r="20" spans="1:11" x14ac:dyDescent="0.3">
      <c r="A20" s="53">
        <v>1501000</v>
      </c>
      <c r="B20" s="53">
        <v>13406</v>
      </c>
      <c r="C20" s="53">
        <v>26771000000</v>
      </c>
      <c r="D20" s="54">
        <v>1.9920057040414343</v>
      </c>
      <c r="F20" s="53">
        <v>1501000</v>
      </c>
      <c r="G20" s="55">
        <v>13406</v>
      </c>
      <c r="H20" s="55">
        <v>26771000000</v>
      </c>
      <c r="I20">
        <f>G20/G21</f>
        <v>4.0847044485070079</v>
      </c>
    </row>
    <row r="21" spans="1:11" x14ac:dyDescent="0.3">
      <c r="A21" s="53">
        <v>3001000</v>
      </c>
      <c r="B21" s="53">
        <v>3282</v>
      </c>
      <c r="C21" s="53">
        <v>13088000000</v>
      </c>
      <c r="D21" s="54">
        <v>2.0057023085592629</v>
      </c>
      <c r="F21" s="53">
        <v>3001000</v>
      </c>
      <c r="G21" s="55">
        <v>3282</v>
      </c>
      <c r="H21" s="55">
        <v>13088000000</v>
      </c>
      <c r="I21">
        <f>G21/G22</f>
        <v>4.4053691275167788</v>
      </c>
    </row>
    <row r="22" spans="1:11" x14ac:dyDescent="0.3">
      <c r="A22" s="53">
        <v>6001000</v>
      </c>
      <c r="B22" s="53">
        <v>745</v>
      </c>
      <c r="C22" s="53">
        <v>5545000000</v>
      </c>
      <c r="D22" s="54">
        <v>2.0011639270064752</v>
      </c>
      <c r="F22" s="53">
        <v>6001000</v>
      </c>
      <c r="G22" s="55">
        <v>745</v>
      </c>
      <c r="H22" s="55">
        <v>5545000000</v>
      </c>
      <c r="I22">
        <f>G22/G23</f>
        <v>3.9005235602094239</v>
      </c>
    </row>
    <row r="23" spans="1:11" x14ac:dyDescent="0.3">
      <c r="A23" s="53">
        <v>10001000</v>
      </c>
      <c r="B23" s="53">
        <v>191</v>
      </c>
      <c r="C23" s="53">
        <v>2305000000</v>
      </c>
      <c r="D23" s="54">
        <v>2.1250592332071139</v>
      </c>
      <c r="F23" s="53">
        <v>10001000</v>
      </c>
      <c r="G23" s="55">
        <v>191</v>
      </c>
      <c r="H23" s="55">
        <v>2305000000</v>
      </c>
    </row>
    <row r="24" spans="1:11" x14ac:dyDescent="0.3">
      <c r="A24" s="53">
        <v>15001000</v>
      </c>
      <c r="B24" s="53">
        <v>72</v>
      </c>
      <c r="C24" s="53">
        <v>1232000000</v>
      </c>
      <c r="D24" s="54">
        <v>2.0774509571301651</v>
      </c>
      <c r="F24" s="53">
        <v>15001000</v>
      </c>
      <c r="G24" s="55">
        <v>72</v>
      </c>
      <c r="H24" s="55">
        <v>1232000000</v>
      </c>
    </row>
    <row r="25" spans="1:11" x14ac:dyDescent="0.3">
      <c r="A25" s="53">
        <v>20001000</v>
      </c>
      <c r="B25" s="53">
        <v>58</v>
      </c>
      <c r="C25" s="53">
        <v>1410000000</v>
      </c>
      <c r="D25" s="54">
        <v>2.0398980050997451</v>
      </c>
      <c r="F25" s="53">
        <v>20001000</v>
      </c>
      <c r="G25" s="55">
        <v>58</v>
      </c>
      <c r="H25" s="55">
        <v>1410000000</v>
      </c>
    </row>
    <row r="26" spans="1:11" x14ac:dyDescent="0.3">
      <c r="A26" s="53">
        <v>30000000</v>
      </c>
      <c r="B26" s="53">
        <v>47</v>
      </c>
      <c r="C26" s="53">
        <v>2874000000</v>
      </c>
      <c r="D26" s="54">
        <v>2.0382978723404257</v>
      </c>
      <c r="F26" s="53">
        <v>30000000</v>
      </c>
      <c r="G26" s="55">
        <v>47</v>
      </c>
      <c r="H26" s="55">
        <v>2874000000</v>
      </c>
    </row>
    <row r="27" spans="1:11" x14ac:dyDescent="0.3">
      <c r="A27" s="51" t="s">
        <v>56</v>
      </c>
      <c r="B27" s="51" t="s">
        <v>64</v>
      </c>
      <c r="C27" s="51" t="s">
        <v>65</v>
      </c>
      <c r="D27" s="52" t="s">
        <v>59</v>
      </c>
      <c r="E27">
        <v>602000</v>
      </c>
      <c r="G27" s="2"/>
      <c r="H27" s="2"/>
    </row>
    <row r="28" spans="1:11" x14ac:dyDescent="0.3">
      <c r="A28" s="53">
        <v>301000</v>
      </c>
      <c r="B28" s="53"/>
      <c r="C28" s="53"/>
      <c r="D28" s="54"/>
      <c r="F28" s="53">
        <v>301000</v>
      </c>
      <c r="G28" s="2">
        <f>I$4*G29</f>
        <v>429396.1770560494</v>
      </c>
      <c r="H28" s="2">
        <f>G28*(H16/G16)</f>
        <v>139783249490.30768</v>
      </c>
      <c r="I28">
        <f t="shared" ref="I28:I31" si="6">G28/G29</f>
        <v>0.35536440571533462</v>
      </c>
    </row>
    <row r="29" spans="1:11" x14ac:dyDescent="0.3">
      <c r="A29" s="53">
        <v>520000</v>
      </c>
      <c r="B29" s="53">
        <v>276870</v>
      </c>
      <c r="C29" s="53">
        <v>155115000000</v>
      </c>
      <c r="D29" s="54">
        <v>1.9814839691558248</v>
      </c>
      <c r="F29" s="53">
        <v>351000</v>
      </c>
      <c r="G29" s="2">
        <f>I17*G30</f>
        <v>1208326.3550036524</v>
      </c>
      <c r="H29" s="2">
        <f>G29*(H17/G17)</f>
        <v>596976074324.32434</v>
      </c>
      <c r="I29">
        <f t="shared" si="6"/>
        <v>1.7131726320915512</v>
      </c>
    </row>
    <row r="30" spans="1:11" x14ac:dyDescent="0.3">
      <c r="A30" s="53">
        <v>601000</v>
      </c>
      <c r="B30" s="53">
        <v>705315</v>
      </c>
      <c r="C30" s="53">
        <v>515873000000</v>
      </c>
      <c r="D30" s="54">
        <v>1.8768612180873334</v>
      </c>
      <c r="F30" s="53">
        <v>601000</v>
      </c>
      <c r="G30" s="69">
        <f>B30</f>
        <v>705315</v>
      </c>
      <c r="H30" s="69">
        <f>C30</f>
        <v>515873000000</v>
      </c>
      <c r="I30">
        <f t="shared" si="6"/>
        <v>1.5894959829628044</v>
      </c>
    </row>
    <row r="31" spans="1:11" x14ac:dyDescent="0.3">
      <c r="A31" s="53">
        <v>901000</v>
      </c>
      <c r="B31" s="53">
        <v>443735</v>
      </c>
      <c r="C31" s="53">
        <v>497587000000</v>
      </c>
      <c r="D31" s="54">
        <v>1.7462604862908182</v>
      </c>
      <c r="F31" s="53">
        <v>901000</v>
      </c>
      <c r="G31" s="55">
        <v>443735</v>
      </c>
      <c r="H31" s="55">
        <v>497587000000</v>
      </c>
      <c r="I31">
        <f t="shared" si="6"/>
        <v>3.018297452640887</v>
      </c>
    </row>
    <row r="32" spans="1:11" x14ac:dyDescent="0.3">
      <c r="A32" s="53">
        <v>1501000</v>
      </c>
      <c r="B32" s="53">
        <v>147015</v>
      </c>
      <c r="C32" s="53">
        <v>289224000000</v>
      </c>
      <c r="D32" s="54">
        <v>1.7732917552951657</v>
      </c>
      <c r="F32" s="53">
        <v>1501000</v>
      </c>
      <c r="G32" s="55">
        <v>147015</v>
      </c>
      <c r="H32" s="55">
        <v>289224000000</v>
      </c>
      <c r="I32">
        <f>G32/G33</f>
        <v>5.0011906381820657</v>
      </c>
    </row>
    <row r="33" spans="1:9" x14ac:dyDescent="0.3">
      <c r="A33" s="53">
        <v>3001000</v>
      </c>
      <c r="B33" s="53">
        <v>29396</v>
      </c>
      <c r="C33" s="53">
        <v>116673000000</v>
      </c>
      <c r="D33" s="54">
        <v>1.7993626618197693</v>
      </c>
      <c r="F33" s="53">
        <v>3001000</v>
      </c>
      <c r="G33" s="55">
        <v>29396</v>
      </c>
      <c r="H33" s="55">
        <v>116673000000</v>
      </c>
      <c r="I33">
        <f>G33/G34</f>
        <v>5.5506042296072504</v>
      </c>
    </row>
    <row r="34" spans="1:9" x14ac:dyDescent="0.3">
      <c r="A34" s="53">
        <v>6001000</v>
      </c>
      <c r="B34" s="53">
        <v>5296</v>
      </c>
      <c r="C34" s="53">
        <v>39558000000</v>
      </c>
      <c r="D34" s="54">
        <v>1.7885316311868653</v>
      </c>
      <c r="F34" s="53">
        <v>6001000</v>
      </c>
      <c r="G34" s="55">
        <v>5296</v>
      </c>
      <c r="H34" s="55">
        <v>39558000000</v>
      </c>
      <c r="I34">
        <f>G34/G35</f>
        <v>3.3970493906350225</v>
      </c>
    </row>
    <row r="35" spans="1:9" x14ac:dyDescent="0.3">
      <c r="A35" s="53">
        <v>10001000</v>
      </c>
      <c r="B35" s="53">
        <v>1559</v>
      </c>
      <c r="C35" s="53">
        <v>18594000000</v>
      </c>
      <c r="D35" s="54">
        <v>1.7401964936659557</v>
      </c>
      <c r="F35" s="53">
        <v>10001000</v>
      </c>
      <c r="G35" s="55">
        <v>1559</v>
      </c>
      <c r="H35" s="55">
        <v>18594000000</v>
      </c>
    </row>
    <row r="36" spans="1:9" x14ac:dyDescent="0.3">
      <c r="A36" s="53">
        <v>15001000</v>
      </c>
      <c r="B36" s="53">
        <v>496</v>
      </c>
      <c r="C36" s="53">
        <v>8465000000</v>
      </c>
      <c r="D36" s="54">
        <v>1.7117075915869175</v>
      </c>
      <c r="F36" s="53">
        <v>15001000</v>
      </c>
      <c r="G36" s="55">
        <v>496</v>
      </c>
      <c r="H36" s="55">
        <v>8465000000</v>
      </c>
    </row>
    <row r="37" spans="1:9" x14ac:dyDescent="0.3">
      <c r="A37" s="53">
        <v>20001000</v>
      </c>
      <c r="B37" s="53">
        <v>324</v>
      </c>
      <c r="C37" s="53">
        <v>7648000000</v>
      </c>
      <c r="D37" s="54">
        <v>1.6821920098024947</v>
      </c>
      <c r="F37" s="53">
        <v>20001000</v>
      </c>
      <c r="G37" s="55">
        <v>324</v>
      </c>
      <c r="H37" s="55">
        <v>7648000000</v>
      </c>
    </row>
    <row r="38" spans="1:9" x14ac:dyDescent="0.3">
      <c r="A38" s="53">
        <v>30000000</v>
      </c>
      <c r="B38" s="53">
        <v>212</v>
      </c>
      <c r="C38" s="53">
        <v>10386000000</v>
      </c>
      <c r="D38" s="54">
        <v>1.6330188679245283</v>
      </c>
      <c r="F38" s="53">
        <v>30000000</v>
      </c>
      <c r="G38" s="55">
        <v>212</v>
      </c>
      <c r="H38" s="55">
        <v>10386000000</v>
      </c>
    </row>
    <row r="39" spans="1:9" x14ac:dyDescent="0.3">
      <c r="A39" s="51" t="s">
        <v>56</v>
      </c>
      <c r="B39" s="51" t="s">
        <v>66</v>
      </c>
      <c r="C39" s="51" t="s">
        <v>67</v>
      </c>
      <c r="D39" s="52" t="s">
        <v>59</v>
      </c>
      <c r="E39">
        <v>602000</v>
      </c>
      <c r="G39" s="2"/>
      <c r="H39" s="2"/>
    </row>
    <row r="40" spans="1:9" x14ac:dyDescent="0.3">
      <c r="A40" s="53">
        <v>301000</v>
      </c>
      <c r="B40" s="53"/>
      <c r="C40" s="53"/>
      <c r="D40" s="54">
        <v>2.7355362195622988</v>
      </c>
      <c r="F40" s="53">
        <v>301000</v>
      </c>
      <c r="G40" s="2">
        <f>I$4*G41</f>
        <v>8572.5208865914265</v>
      </c>
      <c r="H40" s="2">
        <f>G40*(H28/G28)</f>
        <v>2790650895.0937138</v>
      </c>
      <c r="I40">
        <f t="shared" ref="I40:I43" si="7">G40/G41</f>
        <v>0.35536440571533462</v>
      </c>
    </row>
    <row r="41" spans="1:9" x14ac:dyDescent="0.3">
      <c r="A41" s="53">
        <v>520000</v>
      </c>
      <c r="B41" s="53">
        <v>10106</v>
      </c>
      <c r="C41" s="53">
        <v>5650000000</v>
      </c>
      <c r="D41" s="54">
        <v>1.5834546194004844</v>
      </c>
      <c r="F41" s="53">
        <v>351000</v>
      </c>
      <c r="G41" s="2">
        <f>I29*G42</f>
        <v>24123.183832481132</v>
      </c>
      <c r="H41" s="2">
        <f>G41*(H29/G29)</f>
        <v>11918107657.657658</v>
      </c>
      <c r="I41">
        <f t="shared" si="7"/>
        <v>1.7131726320915512</v>
      </c>
    </row>
    <row r="42" spans="1:9" x14ac:dyDescent="0.3">
      <c r="A42" s="53">
        <v>601000</v>
      </c>
      <c r="B42" s="53">
        <v>14081</v>
      </c>
      <c r="C42" s="53">
        <v>10057000000</v>
      </c>
      <c r="D42" s="54">
        <v>1.5926445023640088</v>
      </c>
      <c r="F42" s="53">
        <v>601000</v>
      </c>
      <c r="G42" s="69">
        <f>B42</f>
        <v>14081</v>
      </c>
      <c r="H42" s="69">
        <f>C42</f>
        <v>10057000000</v>
      </c>
      <c r="I42">
        <f t="shared" si="7"/>
        <v>3.2519630484988453</v>
      </c>
    </row>
    <row r="43" spans="1:9" x14ac:dyDescent="0.3">
      <c r="A43" s="53">
        <v>901000</v>
      </c>
      <c r="B43" s="53">
        <v>4330</v>
      </c>
      <c r="C43" s="53">
        <v>4783000000</v>
      </c>
      <c r="D43" s="54">
        <v>1.7074319582236372</v>
      </c>
      <c r="F43" s="53">
        <v>901000</v>
      </c>
      <c r="G43" s="55">
        <v>4330</v>
      </c>
      <c r="H43" s="55">
        <v>4783000000</v>
      </c>
      <c r="I43">
        <f t="shared" si="7"/>
        <v>3.5203252032520327</v>
      </c>
    </row>
    <row r="44" spans="1:9" x14ac:dyDescent="0.3">
      <c r="A44" s="53">
        <v>1501000</v>
      </c>
      <c r="B44" s="53">
        <v>1230</v>
      </c>
      <c r="C44" s="53">
        <v>2429000000</v>
      </c>
      <c r="D44" s="54">
        <v>1.8291147803777772</v>
      </c>
      <c r="F44" s="53">
        <v>1501000</v>
      </c>
      <c r="G44" s="55">
        <v>1230</v>
      </c>
      <c r="H44" s="55">
        <v>2429000000</v>
      </c>
      <c r="I44">
        <f>G44/G45</f>
        <v>4.7307692307692308</v>
      </c>
    </row>
    <row r="45" spans="1:9" x14ac:dyDescent="0.3">
      <c r="A45" s="53">
        <v>3001000</v>
      </c>
      <c r="B45" s="53">
        <v>260</v>
      </c>
      <c r="C45" s="53">
        <v>1027000000</v>
      </c>
      <c r="D45" s="54">
        <v>1.8838301343315009</v>
      </c>
      <c r="F45" s="53">
        <v>3001000</v>
      </c>
      <c r="G45" s="55">
        <v>260</v>
      </c>
      <c r="H45" s="55">
        <v>1027000000</v>
      </c>
      <c r="I45">
        <f>G45/G46</f>
        <v>6.1904761904761907</v>
      </c>
    </row>
    <row r="46" spans="1:9" x14ac:dyDescent="0.3">
      <c r="A46" s="53">
        <v>6001000</v>
      </c>
      <c r="B46" s="53">
        <v>42</v>
      </c>
      <c r="C46" s="53">
        <v>331000000</v>
      </c>
      <c r="D46" s="54">
        <v>2.0602626834921454</v>
      </c>
      <c r="F46" s="53">
        <v>6001000</v>
      </c>
      <c r="G46" s="55">
        <v>42</v>
      </c>
      <c r="H46" s="55">
        <v>331000000</v>
      </c>
      <c r="I46">
        <f>G46/G47</f>
        <v>4.2</v>
      </c>
    </row>
    <row r="47" spans="1:9" x14ac:dyDescent="0.3">
      <c r="A47" s="53">
        <v>10001000</v>
      </c>
      <c r="B47" s="53">
        <v>10</v>
      </c>
      <c r="C47" s="53">
        <v>118000000</v>
      </c>
      <c r="D47" s="54">
        <v>2.0206312702063127</v>
      </c>
      <c r="F47" s="53">
        <v>10001000</v>
      </c>
      <c r="G47" s="55">
        <v>10</v>
      </c>
      <c r="H47" s="55">
        <v>118000000</v>
      </c>
    </row>
    <row r="48" spans="1:9" x14ac:dyDescent="0.3">
      <c r="A48" s="53">
        <v>15001000</v>
      </c>
      <c r="B48" s="53">
        <v>6</v>
      </c>
      <c r="C48" s="53">
        <v>99000000</v>
      </c>
      <c r="D48" s="54">
        <v>1.7475025474492176</v>
      </c>
      <c r="F48" s="53">
        <v>15001000</v>
      </c>
      <c r="G48" s="55">
        <v>6</v>
      </c>
      <c r="H48" s="55">
        <v>99000000</v>
      </c>
    </row>
    <row r="49" spans="1:9" x14ac:dyDescent="0.3">
      <c r="A49" s="53">
        <v>20001000</v>
      </c>
      <c r="B49" s="53">
        <v>5</v>
      </c>
      <c r="C49" s="53">
        <v>113000000</v>
      </c>
      <c r="D49" s="54">
        <v>1.6749162541872906</v>
      </c>
      <c r="F49" s="53">
        <v>20001000</v>
      </c>
      <c r="G49" s="55">
        <v>5</v>
      </c>
      <c r="H49" s="55">
        <v>113000000</v>
      </c>
    </row>
    <row r="50" spans="1:9" x14ac:dyDescent="0.3">
      <c r="A50" s="53">
        <v>30000000</v>
      </c>
      <c r="B50" s="53">
        <v>3</v>
      </c>
      <c r="C50" s="53">
        <v>155000000</v>
      </c>
      <c r="D50" s="54">
        <v>1.7222222222222221</v>
      </c>
      <c r="F50" s="53">
        <v>30000000</v>
      </c>
      <c r="G50" s="55">
        <v>3</v>
      </c>
      <c r="H50" s="55">
        <v>155000000</v>
      </c>
    </row>
    <row r="51" spans="1:9" x14ac:dyDescent="0.3">
      <c r="A51" s="51" t="s">
        <v>56</v>
      </c>
      <c r="B51" s="51" t="s">
        <v>68</v>
      </c>
      <c r="C51" s="51" t="s">
        <v>69</v>
      </c>
      <c r="D51" s="52" t="s">
        <v>59</v>
      </c>
      <c r="E51">
        <v>752500</v>
      </c>
      <c r="G51" s="2"/>
      <c r="H51" s="2"/>
    </row>
    <row r="52" spans="1:9" x14ac:dyDescent="0.3">
      <c r="A52" s="53">
        <v>301000</v>
      </c>
      <c r="B52" s="53"/>
      <c r="C52" s="53"/>
      <c r="D52" s="54"/>
      <c r="F52" s="53">
        <v>301000</v>
      </c>
      <c r="G52" s="2">
        <f>I$4*G53</f>
        <v>523914.29261644842</v>
      </c>
      <c r="H52" s="2">
        <f>G52*(H40/G40)</f>
        <v>170552152509.6944</v>
      </c>
      <c r="I52">
        <f t="shared" ref="I52:I55" si="8">G52/G53</f>
        <v>0.35536440571533462</v>
      </c>
    </row>
    <row r="53" spans="1:9" x14ac:dyDescent="0.3">
      <c r="A53" s="53">
        <v>351000</v>
      </c>
      <c r="B53" s="53"/>
      <c r="C53" s="53"/>
      <c r="D53" s="54"/>
      <c r="F53" s="53">
        <v>351000</v>
      </c>
      <c r="G53" s="2">
        <f>I41*G54</f>
        <v>1474301.5456537621</v>
      </c>
      <c r="H53" s="2">
        <f>G53*(H41/G41)</f>
        <v>728381654054.05408</v>
      </c>
      <c r="I53">
        <f t="shared" si="8"/>
        <v>1.7131726320915512</v>
      </c>
    </row>
    <row r="54" spans="1:9" x14ac:dyDescent="0.3">
      <c r="A54" s="53">
        <v>630000</v>
      </c>
      <c r="B54" s="53">
        <v>430284</v>
      </c>
      <c r="C54" s="53">
        <v>323540000000</v>
      </c>
      <c r="D54" s="54">
        <v>1.7891952744644328</v>
      </c>
      <c r="F54" s="53">
        <v>601000</v>
      </c>
      <c r="G54" s="69">
        <f>2*B54</f>
        <v>860568</v>
      </c>
      <c r="H54" s="69">
        <f>2*C54</f>
        <v>647080000000</v>
      </c>
      <c r="I54">
        <f t="shared" si="8"/>
        <v>2.6990760197968875</v>
      </c>
    </row>
    <row r="55" spans="1:9" x14ac:dyDescent="0.3">
      <c r="A55" s="53">
        <v>901000</v>
      </c>
      <c r="B55" s="53">
        <v>318838</v>
      </c>
      <c r="C55" s="53">
        <v>356583000000</v>
      </c>
      <c r="D55" s="54">
        <v>1.6611393893917052</v>
      </c>
      <c r="F55" s="53">
        <v>901000</v>
      </c>
      <c r="G55" s="55">
        <v>318838</v>
      </c>
      <c r="H55" s="55">
        <v>356583000000</v>
      </c>
      <c r="I55">
        <f t="shared" si="8"/>
        <v>3.2850592950534221</v>
      </c>
    </row>
    <row r="56" spans="1:9" x14ac:dyDescent="0.3">
      <c r="A56" s="53">
        <v>1501000</v>
      </c>
      <c r="B56" s="53">
        <v>97057</v>
      </c>
      <c r="C56" s="53">
        <v>189383000000</v>
      </c>
      <c r="D56" s="54">
        <v>1.67712473393297</v>
      </c>
      <c r="F56" s="53">
        <v>1501000</v>
      </c>
      <c r="G56" s="55">
        <v>97057</v>
      </c>
      <c r="H56" s="55">
        <v>189383000000</v>
      </c>
      <c r="I56">
        <f>G56/G57</f>
        <v>5.6242104653184217</v>
      </c>
    </row>
    <row r="57" spans="1:9" x14ac:dyDescent="0.3">
      <c r="A57" s="53">
        <v>3001000</v>
      </c>
      <c r="B57" s="53">
        <v>17257</v>
      </c>
      <c r="C57" s="53">
        <v>68109000000</v>
      </c>
      <c r="D57" s="54">
        <v>1.7058606389936446</v>
      </c>
      <c r="F57" s="53">
        <v>3001000</v>
      </c>
      <c r="G57" s="55">
        <v>17257</v>
      </c>
      <c r="H57" s="55">
        <v>68109000000</v>
      </c>
      <c r="I57">
        <f>G57/G58</f>
        <v>6.298175182481752</v>
      </c>
    </row>
    <row r="58" spans="1:9" x14ac:dyDescent="0.3">
      <c r="A58" s="53">
        <v>6001000</v>
      </c>
      <c r="B58" s="53">
        <v>2740</v>
      </c>
      <c r="C58" s="53">
        <v>20365000000</v>
      </c>
      <c r="D58" s="54">
        <v>1.7266120586119931</v>
      </c>
      <c r="F58" s="53">
        <v>6001000</v>
      </c>
      <c r="G58" s="55">
        <v>2740</v>
      </c>
      <c r="H58" s="55">
        <v>20365000000</v>
      </c>
      <c r="I58">
        <f>G58/G59</f>
        <v>3.8537271448663852</v>
      </c>
    </row>
    <row r="59" spans="1:9" x14ac:dyDescent="0.3">
      <c r="A59" s="53">
        <v>10001000</v>
      </c>
      <c r="B59" s="53">
        <v>711</v>
      </c>
      <c r="C59" s="53">
        <v>8535000000</v>
      </c>
      <c r="D59" s="54">
        <v>1.7525033210964616</v>
      </c>
      <c r="F59" s="53">
        <v>10001000</v>
      </c>
      <c r="G59" s="55">
        <v>711</v>
      </c>
      <c r="H59" s="55">
        <v>8535000000</v>
      </c>
    </row>
    <row r="60" spans="1:9" x14ac:dyDescent="0.3">
      <c r="A60" s="53">
        <v>15001000</v>
      </c>
      <c r="B60" s="53">
        <v>198</v>
      </c>
      <c r="C60" s="53">
        <v>3391000000</v>
      </c>
      <c r="D60" s="54">
        <v>1.8083554005935056</v>
      </c>
      <c r="F60" s="53">
        <v>15001000</v>
      </c>
      <c r="G60" s="55">
        <v>198</v>
      </c>
      <c r="H60" s="55">
        <v>3391000000</v>
      </c>
    </row>
    <row r="61" spans="1:9" x14ac:dyDescent="0.3">
      <c r="A61" s="53">
        <v>20001000</v>
      </c>
      <c r="B61" s="53">
        <v>135</v>
      </c>
      <c r="C61" s="53">
        <v>3199000000</v>
      </c>
      <c r="D61" s="54">
        <v>1.8255011420045111</v>
      </c>
      <c r="F61" s="53">
        <v>20001000</v>
      </c>
      <c r="G61" s="55">
        <v>135</v>
      </c>
      <c r="H61" s="55">
        <v>3199000000</v>
      </c>
    </row>
    <row r="62" spans="1:9" x14ac:dyDescent="0.3">
      <c r="A62" s="53">
        <v>30000000</v>
      </c>
      <c r="B62" s="53">
        <v>76</v>
      </c>
      <c r="C62" s="53">
        <v>4505000000</v>
      </c>
      <c r="D62" s="54">
        <v>1.9758771929824561</v>
      </c>
      <c r="F62" s="53">
        <v>30000000</v>
      </c>
      <c r="G62" s="55">
        <v>76</v>
      </c>
      <c r="H62" s="55">
        <v>4505000000</v>
      </c>
    </row>
    <row r="63" spans="1:9" x14ac:dyDescent="0.3">
      <c r="A63" s="51" t="s">
        <v>56</v>
      </c>
      <c r="B63" s="51" t="s">
        <v>70</v>
      </c>
      <c r="C63" s="51" t="s">
        <v>71</v>
      </c>
      <c r="D63" s="52" t="s">
        <v>59</v>
      </c>
      <c r="E63">
        <v>903000</v>
      </c>
      <c r="G63" s="2"/>
      <c r="H63" s="2"/>
    </row>
    <row r="64" spans="1:9" x14ac:dyDescent="0.3">
      <c r="A64" s="53">
        <v>301000</v>
      </c>
      <c r="B64" s="53"/>
      <c r="C64" s="53"/>
      <c r="D64" s="54"/>
      <c r="F64" s="53">
        <v>301000</v>
      </c>
      <c r="G64" s="2">
        <f>I$4*G65</f>
        <v>384777.40173668013</v>
      </c>
      <c r="H64" s="2">
        <f>G64*(H52/G52)</f>
        <v>125258300886.47961</v>
      </c>
      <c r="I64">
        <f t="shared" ref="I64:I65" si="9">G64/G65</f>
        <v>0.35536440571533462</v>
      </c>
    </row>
    <row r="65" spans="1:9" x14ac:dyDescent="0.3">
      <c r="A65" s="53">
        <v>351000</v>
      </c>
      <c r="B65" s="53"/>
      <c r="C65" s="53"/>
      <c r="D65" s="54"/>
      <c r="F65" s="53">
        <v>351000</v>
      </c>
      <c r="G65" s="2">
        <f>I53*G66</f>
        <v>1082768.5484204257</v>
      </c>
      <c r="H65" s="2">
        <f>G65*(H53/G53)</f>
        <v>534943986582.10101</v>
      </c>
      <c r="I65">
        <f t="shared" si="9"/>
        <v>1.7131726320915515</v>
      </c>
    </row>
    <row r="66" spans="1:9" x14ac:dyDescent="0.3">
      <c r="A66" s="53">
        <v>740000</v>
      </c>
      <c r="B66" s="53">
        <v>163744</v>
      </c>
      <c r="C66" s="53">
        <v>133369000000</v>
      </c>
      <c r="D66" s="54">
        <v>1.816108802980537</v>
      </c>
      <c r="F66" s="53">
        <v>601000</v>
      </c>
      <c r="G66" s="2">
        <v>632025.35934660141</v>
      </c>
      <c r="H66" s="2">
        <v>456429416740.6994</v>
      </c>
      <c r="I66">
        <f t="shared" ref="I66:I67" si="10">G66/G67</f>
        <v>2.2581443298969073</v>
      </c>
    </row>
    <row r="67" spans="1:9" x14ac:dyDescent="0.3">
      <c r="A67" s="53">
        <v>901000</v>
      </c>
      <c r="B67" s="53">
        <v>223173</v>
      </c>
      <c r="C67" s="53">
        <v>250641000000</v>
      </c>
      <c r="D67" s="54">
        <v>1.7826788376341653</v>
      </c>
      <c r="F67" s="53">
        <v>901000</v>
      </c>
      <c r="G67" s="2">
        <v>279887.05193855159</v>
      </c>
      <c r="H67" s="2">
        <v>313020921726.4082</v>
      </c>
      <c r="I67">
        <f t="shared" si="10"/>
        <v>3.2850592950534225</v>
      </c>
    </row>
    <row r="68" spans="1:9" x14ac:dyDescent="0.3">
      <c r="A68" s="53">
        <v>1501000</v>
      </c>
      <c r="B68" s="53">
        <v>85200</v>
      </c>
      <c r="C68" s="53">
        <v>168845000000</v>
      </c>
      <c r="D68" s="54">
        <v>1.739147324535754</v>
      </c>
      <c r="F68" s="53">
        <v>1501000</v>
      </c>
      <c r="G68" s="55">
        <v>85200</v>
      </c>
      <c r="H68" s="55">
        <v>168845000000</v>
      </c>
      <c r="I68">
        <f>G68/G69</f>
        <v>4.6921467121929732</v>
      </c>
    </row>
    <row r="69" spans="1:9" x14ac:dyDescent="0.3">
      <c r="A69" s="53">
        <v>3001000</v>
      </c>
      <c r="B69" s="53">
        <v>18158</v>
      </c>
      <c r="C69" s="53">
        <v>71707000000</v>
      </c>
      <c r="D69" s="54">
        <v>1.6753440790494625</v>
      </c>
      <c r="F69" s="53">
        <v>3001000</v>
      </c>
      <c r="G69" s="55">
        <v>18158</v>
      </c>
      <c r="H69" s="55">
        <v>71707000000</v>
      </c>
      <c r="I69">
        <f>G69/G70</f>
        <v>6.2743607463718041</v>
      </c>
    </row>
    <row r="70" spans="1:9" x14ac:dyDescent="0.3">
      <c r="A70" s="53">
        <v>6001000</v>
      </c>
      <c r="B70" s="53">
        <v>2894</v>
      </c>
      <c r="C70" s="53">
        <v>21537000000</v>
      </c>
      <c r="D70" s="54">
        <v>1.6533559582481712</v>
      </c>
      <c r="F70" s="53">
        <v>6001000</v>
      </c>
      <c r="G70" s="55">
        <v>2894</v>
      </c>
      <c r="H70" s="55">
        <v>21537000000</v>
      </c>
      <c r="I70">
        <f>G70/G71</f>
        <v>4.0991501416430598</v>
      </c>
    </row>
    <row r="71" spans="1:9" x14ac:dyDescent="0.3">
      <c r="A71" s="53">
        <v>10001000</v>
      </c>
      <c r="B71" s="53">
        <v>706</v>
      </c>
      <c r="C71" s="53">
        <v>8492000000</v>
      </c>
      <c r="D71" s="54">
        <v>1.6397277239785046</v>
      </c>
      <c r="F71" s="53">
        <v>10001000</v>
      </c>
      <c r="G71" s="55">
        <v>706</v>
      </c>
      <c r="H71" s="55">
        <v>8492000000</v>
      </c>
    </row>
    <row r="72" spans="1:9" x14ac:dyDescent="0.3">
      <c r="A72" s="53">
        <v>15001000</v>
      </c>
      <c r="B72" s="53">
        <v>215</v>
      </c>
      <c r="C72" s="53">
        <v>3659000000</v>
      </c>
      <c r="D72" s="54">
        <v>1.6048681331692316</v>
      </c>
      <c r="F72" s="53">
        <v>15001000</v>
      </c>
      <c r="G72" s="55">
        <v>215</v>
      </c>
      <c r="H72" s="55">
        <v>3659000000</v>
      </c>
    </row>
    <row r="73" spans="1:9" x14ac:dyDescent="0.3">
      <c r="A73" s="53">
        <v>20001000</v>
      </c>
      <c r="B73" s="53">
        <v>135</v>
      </c>
      <c r="C73" s="53">
        <v>3283000000</v>
      </c>
      <c r="D73" s="54">
        <v>1.6092778248788095</v>
      </c>
      <c r="F73" s="53">
        <v>20001000</v>
      </c>
      <c r="G73" s="55">
        <v>135</v>
      </c>
      <c r="H73" s="55">
        <v>3283000000</v>
      </c>
    </row>
    <row r="74" spans="1:9" x14ac:dyDescent="0.3">
      <c r="A74" s="53">
        <v>30000000</v>
      </c>
      <c r="B74" s="53">
        <v>52</v>
      </c>
      <c r="C74" s="53">
        <v>2736000000</v>
      </c>
      <c r="D74" s="54">
        <v>1.7538461538461538</v>
      </c>
      <c r="F74" s="53">
        <v>30000000</v>
      </c>
      <c r="G74" s="55">
        <v>52</v>
      </c>
      <c r="H74" s="55">
        <v>2736000000</v>
      </c>
    </row>
    <row r="75" spans="1:9" x14ac:dyDescent="0.3">
      <c r="A75" s="51" t="s">
        <v>56</v>
      </c>
      <c r="B75" s="51" t="s">
        <v>72</v>
      </c>
      <c r="C75" s="51" t="s">
        <v>73</v>
      </c>
      <c r="D75" s="52" t="s">
        <v>59</v>
      </c>
      <c r="E75">
        <v>1053500</v>
      </c>
      <c r="G75" s="2"/>
      <c r="H75" s="2"/>
    </row>
    <row r="76" spans="1:9" x14ac:dyDescent="0.3">
      <c r="A76" s="53">
        <v>301000</v>
      </c>
      <c r="B76" s="53"/>
      <c r="C76" s="53"/>
      <c r="D76" s="54"/>
      <c r="F76" s="53">
        <v>301000</v>
      </c>
      <c r="G76" s="2">
        <f>I$4*G77</f>
        <v>207021.08093438286</v>
      </c>
      <c r="H76" s="2">
        <f>G76*(H64/G64)</f>
        <v>67392494279.767914</v>
      </c>
      <c r="I76">
        <f t="shared" ref="I76" si="11">G76/G77</f>
        <v>0.35536440571533462</v>
      </c>
    </row>
    <row r="77" spans="1:9" x14ac:dyDescent="0.3">
      <c r="A77" s="53">
        <v>351000</v>
      </c>
      <c r="B77" s="53"/>
      <c r="C77" s="53"/>
      <c r="D77" s="54"/>
      <c r="F77" s="53">
        <v>351000</v>
      </c>
      <c r="G77" s="2">
        <f>I65*G78</f>
        <v>582559.97957267985</v>
      </c>
      <c r="H77" s="2">
        <f>G77*(H65/G65)</f>
        <v>287814933625.86285</v>
      </c>
      <c r="I77">
        <f t="shared" ref="I77:I79" si="12">G77/G78</f>
        <v>1.7131726320915515</v>
      </c>
    </row>
    <row r="78" spans="1:9" x14ac:dyDescent="0.3">
      <c r="A78" s="53">
        <v>850000</v>
      </c>
      <c r="B78" s="53">
        <v>21127</v>
      </c>
      <c r="C78" s="53">
        <v>18493000000</v>
      </c>
      <c r="D78" s="54">
        <v>1.9026115118944773</v>
      </c>
      <c r="F78" s="53">
        <v>601000</v>
      </c>
      <c r="G78" s="2">
        <v>340047.4468597208</v>
      </c>
      <c r="H78" s="2">
        <v>245571883373.16504</v>
      </c>
      <c r="I78">
        <f t="shared" si="12"/>
        <v>2.2581443298969073</v>
      </c>
    </row>
    <row r="79" spans="1:9" x14ac:dyDescent="0.3">
      <c r="A79" s="53">
        <v>901000</v>
      </c>
      <c r="B79" s="53">
        <v>107125</v>
      </c>
      <c r="C79" s="53">
        <v>120200000000</v>
      </c>
      <c r="D79" s="54">
        <v>1.8986996330267054</v>
      </c>
      <c r="F79" s="53">
        <v>901000</v>
      </c>
      <c r="G79" s="2">
        <v>150587.11808524889</v>
      </c>
      <c r="H79" s="2">
        <v>168414073379.56046</v>
      </c>
      <c r="I79">
        <f t="shared" si="12"/>
        <v>3.2850592950534225</v>
      </c>
    </row>
    <row r="80" spans="1:9" x14ac:dyDescent="0.3">
      <c r="A80" s="53">
        <v>1501000</v>
      </c>
      <c r="B80" s="53">
        <v>45840</v>
      </c>
      <c r="C80" s="53">
        <v>92024000000</v>
      </c>
      <c r="D80" s="54">
        <v>1.8342043327898654</v>
      </c>
      <c r="F80" s="53">
        <v>1501000</v>
      </c>
      <c r="G80" s="55">
        <v>45840</v>
      </c>
      <c r="H80" s="55">
        <v>92024000000</v>
      </c>
      <c r="I80">
        <f>G80/G81</f>
        <v>3.8485433632776425</v>
      </c>
    </row>
    <row r="81" spans="1:9" x14ac:dyDescent="0.3">
      <c r="A81" s="53">
        <v>3001000</v>
      </c>
      <c r="B81" s="53">
        <v>11911</v>
      </c>
      <c r="C81" s="53">
        <v>47204000000</v>
      </c>
      <c r="D81" s="54">
        <v>1.6945315899067124</v>
      </c>
      <c r="F81" s="53">
        <v>3001000</v>
      </c>
      <c r="G81" s="55">
        <v>11911</v>
      </c>
      <c r="H81" s="55">
        <v>47204000000</v>
      </c>
      <c r="I81">
        <f>G81/G82</f>
        <v>6.0431253170979202</v>
      </c>
    </row>
    <row r="82" spans="1:9" x14ac:dyDescent="0.3">
      <c r="A82" s="53">
        <v>6001000</v>
      </c>
      <c r="B82" s="53">
        <v>1971</v>
      </c>
      <c r="C82" s="53">
        <v>14610000000</v>
      </c>
      <c r="D82" s="54">
        <v>1.6588613494593645</v>
      </c>
      <c r="F82" s="53">
        <v>6001000</v>
      </c>
      <c r="G82" s="55">
        <v>1971</v>
      </c>
      <c r="H82" s="55">
        <v>14610000000</v>
      </c>
      <c r="I82">
        <f>G82/G83</f>
        <v>3.8952569169960474</v>
      </c>
    </row>
    <row r="83" spans="1:9" x14ac:dyDescent="0.3">
      <c r="A83" s="53">
        <v>10001000</v>
      </c>
      <c r="B83" s="53">
        <v>506</v>
      </c>
      <c r="C83" s="53">
        <v>6022000000</v>
      </c>
      <c r="D83" s="54">
        <v>1.6427297838691581</v>
      </c>
      <c r="F83" s="53">
        <v>10001000</v>
      </c>
      <c r="G83" s="55">
        <v>506</v>
      </c>
      <c r="H83" s="55">
        <v>6022000000</v>
      </c>
    </row>
    <row r="84" spans="1:9" x14ac:dyDescent="0.3">
      <c r="A84" s="53">
        <v>15001000</v>
      </c>
      <c r="B84" s="53">
        <v>132</v>
      </c>
      <c r="C84" s="53">
        <v>2259000000</v>
      </c>
      <c r="D84" s="54">
        <v>1.6650631251448909</v>
      </c>
      <c r="F84" s="53">
        <v>15001000</v>
      </c>
      <c r="G84" s="55">
        <v>132</v>
      </c>
      <c r="H84" s="55">
        <v>2259000000</v>
      </c>
    </row>
    <row r="85" spans="1:9" x14ac:dyDescent="0.3">
      <c r="A85" s="53">
        <v>20001000</v>
      </c>
      <c r="B85" s="53">
        <v>91</v>
      </c>
      <c r="C85" s="53">
        <v>2182000000</v>
      </c>
      <c r="D85" s="54">
        <v>1.6304331842231419</v>
      </c>
      <c r="F85" s="53">
        <v>20001000</v>
      </c>
      <c r="G85" s="55">
        <v>91</v>
      </c>
      <c r="H85" s="55">
        <v>2182000000</v>
      </c>
    </row>
    <row r="86" spans="1:9" x14ac:dyDescent="0.3">
      <c r="A86" s="53">
        <v>30000000</v>
      </c>
      <c r="B86" s="53">
        <v>45</v>
      </c>
      <c r="C86" s="53">
        <v>2253000000</v>
      </c>
      <c r="D86" s="54">
        <v>1.6688888888888889</v>
      </c>
      <c r="F86" s="53">
        <v>30000000</v>
      </c>
      <c r="G86" s="55">
        <v>45</v>
      </c>
      <c r="H86" s="55">
        <v>2253000000</v>
      </c>
    </row>
    <row r="87" spans="1:9" x14ac:dyDescent="0.3">
      <c r="A87" s="51" t="s">
        <v>56</v>
      </c>
      <c r="B87" s="51" t="s">
        <v>74</v>
      </c>
      <c r="C87" s="51" t="s">
        <v>75</v>
      </c>
      <c r="D87" s="52" t="s">
        <v>59</v>
      </c>
      <c r="E87">
        <v>1204000</v>
      </c>
      <c r="G87" s="2"/>
      <c r="H87" s="2"/>
    </row>
    <row r="88" spans="1:9" x14ac:dyDescent="0.3">
      <c r="A88" s="53">
        <v>301000</v>
      </c>
      <c r="B88" s="53"/>
      <c r="C88" s="53"/>
      <c r="D88" s="54"/>
      <c r="F88" s="53">
        <v>301000</v>
      </c>
      <c r="G88" s="2">
        <f>I$4*G89</f>
        <v>92608.514084652168</v>
      </c>
      <c r="H88" s="2">
        <f>G88*(H76/G76)</f>
        <v>30147261948.100372</v>
      </c>
      <c r="I88">
        <f t="shared" ref="I88:I89" si="13">G88/G89</f>
        <v>0.35536440571533462</v>
      </c>
    </row>
    <row r="89" spans="1:9" x14ac:dyDescent="0.3">
      <c r="A89" s="53">
        <v>351000</v>
      </c>
      <c r="B89" s="53"/>
      <c r="C89" s="53"/>
      <c r="D89" s="54"/>
      <c r="F89" s="53">
        <v>351000</v>
      </c>
      <c r="G89" s="2">
        <f>I77*G90</f>
        <v>260601.54758109458</v>
      </c>
      <c r="H89" s="2">
        <f>G89*(H77/G77)</f>
        <v>128750720526.4386</v>
      </c>
      <c r="I89">
        <f t="shared" si="13"/>
        <v>1.7131726320915515</v>
      </c>
    </row>
    <row r="90" spans="1:9" x14ac:dyDescent="0.3">
      <c r="A90" s="53">
        <v>601000</v>
      </c>
      <c r="B90" s="53"/>
      <c r="C90" s="53"/>
      <c r="D90" s="54"/>
      <c r="F90" s="53">
        <v>601000</v>
      </c>
      <c r="G90" s="2">
        <v>152116.33824837339</v>
      </c>
      <c r="H90" s="2">
        <v>109853774878.92938</v>
      </c>
      <c r="I90">
        <f t="shared" ref="I90:I91" si="14">G90/G91</f>
        <v>2.2581443298969073</v>
      </c>
    </row>
    <row r="91" spans="1:9" x14ac:dyDescent="0.3">
      <c r="A91" s="53">
        <v>960000</v>
      </c>
      <c r="B91" s="53">
        <v>35635</v>
      </c>
      <c r="C91" s="53">
        <v>41639000000</v>
      </c>
      <c r="D91" s="54">
        <v>2.0073253025924531</v>
      </c>
      <c r="F91" s="53">
        <v>901000</v>
      </c>
      <c r="G91" s="2">
        <v>67363.425904365489</v>
      </c>
      <c r="H91" s="2">
        <v>75338110574.198669</v>
      </c>
      <c r="I91">
        <f t="shared" si="14"/>
        <v>3.285059295053423</v>
      </c>
    </row>
    <row r="92" spans="1:9" x14ac:dyDescent="0.3">
      <c r="A92" s="53">
        <v>1501000</v>
      </c>
      <c r="B92" s="53">
        <v>20506</v>
      </c>
      <c r="C92" s="53">
        <v>41641000000</v>
      </c>
      <c r="D92" s="54">
        <v>1.9261451336659272</v>
      </c>
      <c r="F92" s="53">
        <v>1501000</v>
      </c>
      <c r="G92" s="55">
        <v>20506</v>
      </c>
      <c r="H92" s="55">
        <v>41641000000</v>
      </c>
      <c r="I92">
        <f>G92/G93</f>
        <v>3.4504459027427226</v>
      </c>
    </row>
    <row r="93" spans="1:9" x14ac:dyDescent="0.3">
      <c r="A93" s="53">
        <v>3001000</v>
      </c>
      <c r="B93" s="53">
        <v>5943</v>
      </c>
      <c r="C93" s="53">
        <v>23813000000</v>
      </c>
      <c r="D93" s="54">
        <v>1.7441183129723812</v>
      </c>
      <c r="F93" s="53">
        <v>3001000</v>
      </c>
      <c r="G93" s="55">
        <v>5943</v>
      </c>
      <c r="H93" s="55">
        <v>23813000000</v>
      </c>
      <c r="I93">
        <f>G93/G94</f>
        <v>5.1543798785776236</v>
      </c>
    </row>
    <row r="94" spans="1:9" x14ac:dyDescent="0.3">
      <c r="A94" s="53">
        <v>6001000</v>
      </c>
      <c r="B94" s="53">
        <v>1153</v>
      </c>
      <c r="C94" s="53">
        <v>8569000000</v>
      </c>
      <c r="D94" s="54">
        <v>1.6375314441715634</v>
      </c>
      <c r="F94" s="53">
        <v>6001000</v>
      </c>
      <c r="G94" s="55">
        <v>1153</v>
      </c>
      <c r="H94" s="55">
        <v>8569000000</v>
      </c>
      <c r="I94">
        <f>G94/G95</f>
        <v>4.1326164874551967</v>
      </c>
    </row>
    <row r="95" spans="1:9" x14ac:dyDescent="0.3">
      <c r="A95" s="53">
        <v>10001000</v>
      </c>
      <c r="B95" s="53">
        <v>279</v>
      </c>
      <c r="C95" s="53">
        <v>3333000000</v>
      </c>
      <c r="D95" s="54">
        <v>1.6173095334144747</v>
      </c>
      <c r="F95" s="53">
        <v>10001000</v>
      </c>
      <c r="G95" s="55">
        <v>279</v>
      </c>
      <c r="H95" s="55">
        <v>3333000000</v>
      </c>
    </row>
    <row r="96" spans="1:9" x14ac:dyDescent="0.3">
      <c r="A96" s="53">
        <v>15001000</v>
      </c>
      <c r="B96" s="53">
        <v>77</v>
      </c>
      <c r="C96" s="53">
        <v>1318000000</v>
      </c>
      <c r="D96" s="54">
        <v>1.5823731409359034</v>
      </c>
      <c r="F96" s="53">
        <v>15001000</v>
      </c>
      <c r="G96" s="55">
        <v>77</v>
      </c>
      <c r="H96" s="55">
        <v>1318000000</v>
      </c>
    </row>
    <row r="97" spans="1:9" x14ac:dyDescent="0.3">
      <c r="A97" s="53">
        <v>20001000</v>
      </c>
      <c r="B97" s="53">
        <v>55</v>
      </c>
      <c r="C97" s="53">
        <v>1310000000</v>
      </c>
      <c r="D97" s="54">
        <v>1.509418199976077</v>
      </c>
      <c r="F97" s="53">
        <v>20001000</v>
      </c>
      <c r="G97" s="55">
        <v>55</v>
      </c>
      <c r="H97" s="55">
        <v>1310000000</v>
      </c>
    </row>
    <row r="98" spans="1:9" x14ac:dyDescent="0.3">
      <c r="A98" s="53">
        <v>30000000</v>
      </c>
      <c r="B98" s="53">
        <v>24</v>
      </c>
      <c r="C98" s="53">
        <v>1075000000</v>
      </c>
      <c r="D98" s="54">
        <v>1.4930555555555556</v>
      </c>
      <c r="F98" s="53">
        <v>30000000</v>
      </c>
      <c r="G98" s="55">
        <v>24</v>
      </c>
      <c r="H98" s="55">
        <v>1075000000</v>
      </c>
    </row>
    <row r="99" spans="1:9" x14ac:dyDescent="0.3">
      <c r="A99" s="51" t="s">
        <v>56</v>
      </c>
      <c r="B99" s="51" t="s">
        <v>76</v>
      </c>
      <c r="C99" s="51" t="s">
        <v>77</v>
      </c>
      <c r="D99" s="52" t="s">
        <v>59</v>
      </c>
      <c r="E99">
        <v>1354500</v>
      </c>
      <c r="G99" s="2"/>
      <c r="H99" s="2"/>
    </row>
    <row r="100" spans="1:9" x14ac:dyDescent="0.3">
      <c r="A100" s="53">
        <v>301000</v>
      </c>
      <c r="B100" s="53"/>
      <c r="C100" s="53"/>
      <c r="D100" s="54"/>
      <c r="F100" s="53">
        <v>301000</v>
      </c>
      <c r="G100" s="2">
        <f>I$4*G101</f>
        <v>39254.52084384067</v>
      </c>
      <c r="H100" s="2">
        <f>G100*(H88/G88)</f>
        <v>12778698958.982174</v>
      </c>
      <c r="I100">
        <f t="shared" ref="I100:I101" si="15">G100/G101</f>
        <v>0.35536440571533462</v>
      </c>
    </row>
    <row r="101" spans="1:9" x14ac:dyDescent="0.3">
      <c r="A101" s="53">
        <v>351000</v>
      </c>
      <c r="B101" s="53"/>
      <c r="C101" s="53"/>
      <c r="D101" s="54"/>
      <c r="F101" s="53">
        <v>351000</v>
      </c>
      <c r="G101" s="2">
        <f>I89*G102</f>
        <v>110462.72562054395</v>
      </c>
      <c r="H101" s="2">
        <f>G101*(H89/G89)</f>
        <v>54574332527.835968</v>
      </c>
      <c r="I101">
        <f t="shared" si="15"/>
        <v>1.7131726320915515</v>
      </c>
    </row>
    <row r="102" spans="1:9" x14ac:dyDescent="0.3">
      <c r="A102" s="53">
        <v>601000</v>
      </c>
      <c r="B102" s="53"/>
      <c r="C102" s="53"/>
      <c r="D102" s="54"/>
      <c r="F102" s="53">
        <v>601000</v>
      </c>
      <c r="G102" s="2">
        <v>64478.455674186167</v>
      </c>
      <c r="H102" s="2">
        <v>46564371951.997185</v>
      </c>
      <c r="I102">
        <f t="shared" ref="I102:I103" si="16">G102/G103</f>
        <v>2.2581443298969073</v>
      </c>
    </row>
    <row r="103" spans="1:9" x14ac:dyDescent="0.3">
      <c r="A103" s="53">
        <v>1070000</v>
      </c>
      <c r="B103" s="53">
        <v>9852</v>
      </c>
      <c r="C103" s="53">
        <v>12343000000</v>
      </c>
      <c r="D103" s="54">
        <v>2.1078747747370183</v>
      </c>
      <c r="F103" s="53">
        <v>901000</v>
      </c>
      <c r="G103" s="2">
        <v>28553.735392604354</v>
      </c>
      <c r="H103" s="2">
        <v>31934012343.262211</v>
      </c>
      <c r="I103">
        <f t="shared" si="16"/>
        <v>3.285059295053423</v>
      </c>
    </row>
    <row r="104" spans="1:9" x14ac:dyDescent="0.3">
      <c r="A104" s="53">
        <v>1501000</v>
      </c>
      <c r="B104" s="53">
        <v>8692</v>
      </c>
      <c r="C104" s="53">
        <v>17803000000</v>
      </c>
      <c r="D104" s="54">
        <v>2.0312615068960027</v>
      </c>
      <c r="F104" s="53">
        <v>1501000</v>
      </c>
      <c r="G104" s="55">
        <v>8692</v>
      </c>
      <c r="H104" s="55">
        <v>17803000000</v>
      </c>
      <c r="I104">
        <f>G104/G105</f>
        <v>2.9584751531654185</v>
      </c>
    </row>
    <row r="105" spans="1:9" x14ac:dyDescent="0.3">
      <c r="A105" s="53">
        <v>3001000</v>
      </c>
      <c r="B105" s="53">
        <v>2938</v>
      </c>
      <c r="C105" s="53">
        <v>11751000000</v>
      </c>
      <c r="D105" s="54">
        <v>1.7876540265775802</v>
      </c>
      <c r="F105" s="53">
        <v>3001000</v>
      </c>
      <c r="G105" s="55">
        <v>2938</v>
      </c>
      <c r="H105" s="55">
        <v>11751000000</v>
      </c>
      <c r="I105">
        <f>G105/G106</f>
        <v>5.2</v>
      </c>
    </row>
    <row r="106" spans="1:9" x14ac:dyDescent="0.3">
      <c r="A106" s="53">
        <v>6001000</v>
      </c>
      <c r="B106" s="53">
        <v>565</v>
      </c>
      <c r="C106" s="53">
        <v>4221000000</v>
      </c>
      <c r="D106" s="54">
        <v>1.7110025264737867</v>
      </c>
      <c r="F106" s="53">
        <v>6001000</v>
      </c>
      <c r="G106" s="55">
        <v>565</v>
      </c>
      <c r="H106" s="55">
        <v>4221000000</v>
      </c>
      <c r="I106">
        <f>G106/G107</f>
        <v>3.4876543209876543</v>
      </c>
    </row>
    <row r="107" spans="1:9" x14ac:dyDescent="0.3">
      <c r="A107" s="53">
        <v>10001000</v>
      </c>
      <c r="B107" s="53">
        <v>162</v>
      </c>
      <c r="C107" s="53">
        <v>1969000000</v>
      </c>
      <c r="D107" s="54">
        <v>1.6512182773817479</v>
      </c>
      <c r="F107" s="53">
        <v>10001000</v>
      </c>
      <c r="G107" s="55">
        <v>162</v>
      </c>
      <c r="H107" s="55">
        <v>1969000000</v>
      </c>
    </row>
    <row r="108" spans="1:9" x14ac:dyDescent="0.3">
      <c r="A108" s="53">
        <v>15001000</v>
      </c>
      <c r="B108" s="53">
        <v>53</v>
      </c>
      <c r="C108" s="53">
        <v>899000000</v>
      </c>
      <c r="D108" s="54">
        <v>1.6182071378391623</v>
      </c>
      <c r="F108" s="53">
        <v>15001000</v>
      </c>
      <c r="G108" s="55">
        <v>53</v>
      </c>
      <c r="H108" s="55">
        <v>899000000</v>
      </c>
    </row>
    <row r="109" spans="1:9" x14ac:dyDescent="0.3">
      <c r="A109" s="53">
        <v>20001000</v>
      </c>
      <c r="B109" s="53">
        <v>25</v>
      </c>
      <c r="C109" s="53">
        <v>593000000</v>
      </c>
      <c r="D109" s="54">
        <v>1.7235980306247847</v>
      </c>
      <c r="F109" s="53">
        <v>20001000</v>
      </c>
      <c r="G109" s="55">
        <v>25</v>
      </c>
      <c r="H109" s="55">
        <v>593000000</v>
      </c>
    </row>
    <row r="110" spans="1:9" x14ac:dyDescent="0.3">
      <c r="A110" s="53">
        <v>30000000</v>
      </c>
      <c r="B110" s="53">
        <v>13</v>
      </c>
      <c r="C110" s="53">
        <v>717000000</v>
      </c>
      <c r="D110" s="54">
        <v>1.8384615384615384</v>
      </c>
      <c r="F110" s="53">
        <v>30000000</v>
      </c>
      <c r="G110" s="55">
        <v>13</v>
      </c>
      <c r="H110" s="55">
        <v>717000000</v>
      </c>
    </row>
    <row r="111" spans="1:9" x14ac:dyDescent="0.3">
      <c r="A111" s="51" t="s">
        <v>56</v>
      </c>
      <c r="B111" s="51" t="s">
        <v>78</v>
      </c>
      <c r="C111" s="51" t="s">
        <v>79</v>
      </c>
      <c r="D111" s="52" t="s">
        <v>59</v>
      </c>
      <c r="E111">
        <v>1505000</v>
      </c>
      <c r="G111" s="2"/>
      <c r="H111" s="2"/>
    </row>
    <row r="112" spans="1:9" x14ac:dyDescent="0.3">
      <c r="A112" s="53">
        <v>301000</v>
      </c>
      <c r="B112" s="53"/>
      <c r="C112" s="53"/>
      <c r="D112" s="54">
        <v>8.3172889670927059</v>
      </c>
      <c r="F112" s="53">
        <v>301000</v>
      </c>
      <c r="G112" s="2">
        <f>I$4*G113</f>
        <v>17997.222456314965</v>
      </c>
      <c r="H112" s="2">
        <f>G112*(H100/G100)</f>
        <v>5858715962.4741268</v>
      </c>
      <c r="I112">
        <f t="shared" ref="I112:I113" si="17">G112/G113</f>
        <v>0.35536440571533462</v>
      </c>
    </row>
    <row r="113" spans="1:9" x14ac:dyDescent="0.3">
      <c r="A113" s="53">
        <v>351000</v>
      </c>
      <c r="B113" s="53"/>
      <c r="C113" s="53"/>
      <c r="D113" s="54">
        <v>7.1324899689313517</v>
      </c>
      <c r="F113" s="53">
        <v>351000</v>
      </c>
      <c r="G113" s="2">
        <f>I101*G114</f>
        <v>50644.415047948489</v>
      </c>
      <c r="H113" s="2">
        <f>G113*(H101/G101)</f>
        <v>25020975464.600079</v>
      </c>
      <c r="I113">
        <f t="shared" si="17"/>
        <v>1.7131726320915515</v>
      </c>
    </row>
    <row r="114" spans="1:9" x14ac:dyDescent="0.3">
      <c r="A114" s="53">
        <v>601000</v>
      </c>
      <c r="B114" s="53"/>
      <c r="C114" s="53"/>
      <c r="D114" s="54">
        <v>4.1655640251163133</v>
      </c>
      <c r="F114" s="53">
        <v>601000</v>
      </c>
      <c r="G114" s="2">
        <v>29561.769841092155</v>
      </c>
      <c r="H114" s="2">
        <v>21348607562.743427</v>
      </c>
      <c r="I114">
        <f t="shared" ref="I114:I115" si="18">G114/G115</f>
        <v>2.2581443298969073</v>
      </c>
    </row>
    <row r="115" spans="1:9" x14ac:dyDescent="0.3">
      <c r="A115" s="53">
        <v>1180000</v>
      </c>
      <c r="B115" s="53">
        <v>2784</v>
      </c>
      <c r="C115" s="53">
        <v>3686000000</v>
      </c>
      <c r="D115" s="54">
        <v>2.1216135416058512</v>
      </c>
      <c r="F115" s="53">
        <v>901000</v>
      </c>
      <c r="G115" s="2">
        <v>13091.178207569115</v>
      </c>
      <c r="H115" s="2">
        <v>14640951200.26351</v>
      </c>
      <c r="I115">
        <f t="shared" si="18"/>
        <v>3.285059295053423</v>
      </c>
    </row>
    <row r="116" spans="1:9" x14ac:dyDescent="0.3">
      <c r="A116" s="53">
        <v>1501000</v>
      </c>
      <c r="B116" s="53">
        <v>3887</v>
      </c>
      <c r="C116" s="53">
        <v>7967000000</v>
      </c>
      <c r="D116" s="54">
        <v>2.0561270303678056</v>
      </c>
      <c r="F116" s="53">
        <v>1501000</v>
      </c>
      <c r="G116" s="2">
        <v>3985.0660313138187</v>
      </c>
      <c r="H116" s="2">
        <v>8162233151.8039484</v>
      </c>
      <c r="I116">
        <f>G116/G117</f>
        <v>2.9584751531654185</v>
      </c>
    </row>
    <row r="117" spans="1:9" x14ac:dyDescent="0.3">
      <c r="A117" s="53">
        <v>3001000</v>
      </c>
      <c r="B117" s="53">
        <v>1347</v>
      </c>
      <c r="C117" s="53">
        <v>5406000000</v>
      </c>
      <c r="D117" s="54">
        <v>1.7965026150703389</v>
      </c>
      <c r="F117" s="53">
        <v>3001000</v>
      </c>
      <c r="G117" s="55">
        <v>1347</v>
      </c>
      <c r="H117" s="55">
        <v>5406000000</v>
      </c>
      <c r="I117">
        <f>G117/G118</f>
        <v>4.6933797909407664</v>
      </c>
    </row>
    <row r="118" spans="1:9" x14ac:dyDescent="0.3">
      <c r="A118" s="53">
        <v>6001000</v>
      </c>
      <c r="B118" s="53">
        <v>287</v>
      </c>
      <c r="C118" s="53">
        <v>2122000000</v>
      </c>
      <c r="D118" s="54">
        <v>1.6697134018810662</v>
      </c>
      <c r="F118" s="53">
        <v>6001000</v>
      </c>
      <c r="G118" s="55">
        <v>287</v>
      </c>
      <c r="H118" s="55">
        <v>2122000000</v>
      </c>
      <c r="I118">
        <f>G118/G119</f>
        <v>3.6329113924050631</v>
      </c>
    </row>
    <row r="119" spans="1:9" x14ac:dyDescent="0.3">
      <c r="A119" s="53">
        <v>10001000</v>
      </c>
      <c r="B119" s="53">
        <v>79</v>
      </c>
      <c r="C119" s="53">
        <v>952000000</v>
      </c>
      <c r="D119" s="54">
        <v>1.6629915955772843</v>
      </c>
      <c r="F119" s="53">
        <v>10001000</v>
      </c>
      <c r="G119" s="55">
        <v>79</v>
      </c>
      <c r="H119" s="55">
        <v>952000000</v>
      </c>
    </row>
    <row r="120" spans="1:9" x14ac:dyDescent="0.3">
      <c r="A120" s="53">
        <v>15001000</v>
      </c>
      <c r="B120" s="53">
        <v>18</v>
      </c>
      <c r="C120" s="53">
        <v>302000000</v>
      </c>
      <c r="D120" s="54">
        <v>1.7979753730703667</v>
      </c>
      <c r="F120" s="53">
        <v>15001000</v>
      </c>
      <c r="G120" s="55">
        <v>18</v>
      </c>
      <c r="H120" s="55">
        <v>302000000</v>
      </c>
    </row>
    <row r="121" spans="1:9" x14ac:dyDescent="0.3">
      <c r="A121" s="53">
        <v>20001000</v>
      </c>
      <c r="B121" s="53">
        <v>8</v>
      </c>
      <c r="C121" s="53">
        <v>184000000</v>
      </c>
      <c r="D121" s="54">
        <v>1.8881408870732934</v>
      </c>
      <c r="F121" s="53">
        <v>20001000</v>
      </c>
      <c r="G121" s="55">
        <v>8</v>
      </c>
      <c r="H121" s="55">
        <v>184000000</v>
      </c>
    </row>
    <row r="122" spans="1:9" x14ac:dyDescent="0.3">
      <c r="A122" s="53">
        <v>30000000</v>
      </c>
      <c r="B122" s="53">
        <v>9</v>
      </c>
      <c r="C122" s="53">
        <v>458000000</v>
      </c>
      <c r="D122" s="54">
        <v>1.6962962962962962</v>
      </c>
      <c r="F122" s="53">
        <v>30000000</v>
      </c>
      <c r="G122" s="55">
        <v>9</v>
      </c>
      <c r="H122" s="55">
        <v>458000000</v>
      </c>
    </row>
    <row r="123" spans="1:9" x14ac:dyDescent="0.3">
      <c r="A123" s="51" t="s">
        <v>56</v>
      </c>
      <c r="B123" s="51" t="s">
        <v>80</v>
      </c>
      <c r="C123" s="51" t="s">
        <v>81</v>
      </c>
      <c r="D123" s="52" t="s">
        <v>59</v>
      </c>
      <c r="E123">
        <v>1655500</v>
      </c>
      <c r="G123" s="2"/>
      <c r="H123" s="2"/>
    </row>
    <row r="124" spans="1:9" x14ac:dyDescent="0.3">
      <c r="A124" s="53">
        <v>301000</v>
      </c>
      <c r="B124" s="53"/>
      <c r="C124" s="53"/>
      <c r="D124" s="54"/>
      <c r="F124" s="53">
        <v>301000</v>
      </c>
      <c r="G124" s="2">
        <f>I$4*G125</f>
        <v>8176.9117618892051</v>
      </c>
      <c r="H124" s="2">
        <f>G124*(H112/G112)</f>
        <v>2661866495.1998262</v>
      </c>
      <c r="I124">
        <f t="shared" ref="I124:I125" si="19">G124/G125</f>
        <v>0.35536440571533462</v>
      </c>
    </row>
    <row r="125" spans="1:9" x14ac:dyDescent="0.3">
      <c r="A125" s="53">
        <v>351000</v>
      </c>
      <c r="B125" s="53"/>
      <c r="C125" s="53"/>
      <c r="D125" s="54"/>
      <c r="F125" s="53">
        <v>351000</v>
      </c>
      <c r="G125" s="2">
        <f>I113*G126</f>
        <v>23009.934676573481</v>
      </c>
      <c r="H125" s="2">
        <f>G125*(H113/G113)</f>
        <v>11368104665.430771</v>
      </c>
      <c r="I125">
        <f t="shared" si="19"/>
        <v>1.7131726320915515</v>
      </c>
    </row>
    <row r="126" spans="1:9" x14ac:dyDescent="0.3">
      <c r="A126" s="53">
        <v>601000</v>
      </c>
      <c r="B126" s="53"/>
      <c r="C126" s="53"/>
      <c r="D126" s="54"/>
      <c r="F126" s="53">
        <v>601000</v>
      </c>
      <c r="G126" s="2">
        <v>13431.182734037417</v>
      </c>
      <c r="H126" s="2">
        <v>9699590073.0504665</v>
      </c>
      <c r="I126">
        <f t="shared" ref="I126:I127" si="20">G126/G127</f>
        <v>2.2581443298969073</v>
      </c>
    </row>
    <row r="127" spans="1:9" x14ac:dyDescent="0.3">
      <c r="A127" s="53">
        <v>1290000</v>
      </c>
      <c r="B127" s="53">
        <v>634</v>
      </c>
      <c r="C127" s="53">
        <v>881000000</v>
      </c>
      <c r="D127" s="54">
        <v>2.1545864183262871</v>
      </c>
      <c r="F127" s="53">
        <v>901000</v>
      </c>
      <c r="G127" s="2">
        <v>5947.8849762674827</v>
      </c>
      <c r="H127" s="2">
        <v>6652013462.9259605</v>
      </c>
      <c r="I127">
        <f t="shared" si="20"/>
        <v>3.2850592950534234</v>
      </c>
    </row>
    <row r="128" spans="1:9" x14ac:dyDescent="0.3">
      <c r="A128" s="53">
        <v>1501000</v>
      </c>
      <c r="B128" s="53">
        <v>1684</v>
      </c>
      <c r="C128" s="53">
        <v>3443000000</v>
      </c>
      <c r="D128" s="54">
        <v>2.0879440533943168</v>
      </c>
      <c r="F128" s="53">
        <v>1501000</v>
      </c>
      <c r="G128" s="2">
        <v>1810.5867937372361</v>
      </c>
      <c r="H128" s="2">
        <v>3708453369.6392102</v>
      </c>
      <c r="I128">
        <f>G128/G129</f>
        <v>2.9584751531654185</v>
      </c>
    </row>
    <row r="129" spans="1:9" x14ac:dyDescent="0.3">
      <c r="A129" s="53">
        <v>3001000</v>
      </c>
      <c r="B129" s="53">
        <v>612</v>
      </c>
      <c r="C129" s="53">
        <v>2474000000</v>
      </c>
      <c r="D129" s="54">
        <v>1.8075539530934548</v>
      </c>
      <c r="F129" s="53">
        <v>3001000</v>
      </c>
      <c r="G129" s="55">
        <v>612</v>
      </c>
      <c r="H129" s="55">
        <v>2474000000</v>
      </c>
      <c r="I129">
        <f>G129/G130</f>
        <v>4.4347826086956523</v>
      </c>
    </row>
    <row r="130" spans="1:9" x14ac:dyDescent="0.3">
      <c r="A130" s="53">
        <v>6001000</v>
      </c>
      <c r="B130" s="53">
        <v>138</v>
      </c>
      <c r="C130" s="53">
        <v>1030000000</v>
      </c>
      <c r="D130" s="54">
        <v>1.6496368770989667</v>
      </c>
      <c r="F130" s="53">
        <v>6001000</v>
      </c>
      <c r="G130" s="55">
        <v>138</v>
      </c>
      <c r="H130" s="55">
        <v>1030000000</v>
      </c>
      <c r="I130">
        <f>G130/G131</f>
        <v>3.9428571428571431</v>
      </c>
    </row>
    <row r="131" spans="1:9" x14ac:dyDescent="0.3">
      <c r="A131" s="53">
        <v>10001000</v>
      </c>
      <c r="B131" s="53">
        <v>35</v>
      </c>
      <c r="C131" s="53">
        <v>415000000</v>
      </c>
      <c r="D131" s="54">
        <v>1.6488547223709002</v>
      </c>
      <c r="F131" s="53">
        <v>10001000</v>
      </c>
      <c r="G131" s="55">
        <v>35</v>
      </c>
      <c r="H131" s="55">
        <v>415000000</v>
      </c>
    </row>
    <row r="132" spans="1:9" x14ac:dyDescent="0.3">
      <c r="A132" s="53">
        <v>15001000</v>
      </c>
      <c r="B132" s="53">
        <v>9</v>
      </c>
      <c r="C132" s="53">
        <v>152000000</v>
      </c>
      <c r="D132" s="54">
        <v>1.7748816745550298</v>
      </c>
      <c r="F132" s="53">
        <v>15001000</v>
      </c>
      <c r="G132" s="55">
        <v>9</v>
      </c>
      <c r="H132" s="55">
        <v>152000000</v>
      </c>
    </row>
    <row r="133" spans="1:9" x14ac:dyDescent="0.3">
      <c r="A133" s="53">
        <v>20001000</v>
      </c>
      <c r="B133" s="53">
        <v>3</v>
      </c>
      <c r="C133" s="53">
        <v>69000000</v>
      </c>
      <c r="D133" s="54">
        <v>1.9570450048926125</v>
      </c>
      <c r="F133" s="53">
        <v>20001000</v>
      </c>
      <c r="G133" s="55">
        <v>3</v>
      </c>
      <c r="H133" s="55">
        <v>69000000</v>
      </c>
    </row>
    <row r="134" spans="1:9" x14ac:dyDescent="0.3">
      <c r="A134" s="53">
        <v>30000000</v>
      </c>
      <c r="B134" s="53">
        <v>4</v>
      </c>
      <c r="C134" s="53">
        <v>205000000</v>
      </c>
      <c r="D134" s="54">
        <v>1.7083333333333333</v>
      </c>
      <c r="F134" s="53">
        <v>30000000</v>
      </c>
      <c r="G134" s="55">
        <v>4</v>
      </c>
      <c r="H134" s="55">
        <v>205000000</v>
      </c>
    </row>
    <row r="135" spans="1:9" x14ac:dyDescent="0.3">
      <c r="A135" s="51" t="s">
        <v>56</v>
      </c>
      <c r="B135" s="51" t="s">
        <v>82</v>
      </c>
      <c r="C135" s="51" t="s">
        <v>83</v>
      </c>
      <c r="D135" s="52" t="s">
        <v>59</v>
      </c>
      <c r="E135">
        <v>1806000</v>
      </c>
      <c r="G135" s="2"/>
      <c r="H135" s="2"/>
    </row>
    <row r="136" spans="1:9" x14ac:dyDescent="0.3">
      <c r="A136" s="53">
        <v>301000</v>
      </c>
      <c r="B136" s="53"/>
      <c r="C136" s="53"/>
      <c r="D136" s="54"/>
      <c r="F136" s="53">
        <v>301000</v>
      </c>
      <c r="G136" s="2">
        <f>I$4*G137</f>
        <v>3861.3194431143461</v>
      </c>
      <c r="H136" s="2">
        <f>G136*(H124/G124)</f>
        <v>1256992511.6221399</v>
      </c>
      <c r="I136">
        <f t="shared" ref="I136:I137" si="21">G136/G137</f>
        <v>0.35536440571533462</v>
      </c>
    </row>
    <row r="137" spans="1:9" x14ac:dyDescent="0.3">
      <c r="A137" s="53">
        <v>351000</v>
      </c>
      <c r="B137" s="53"/>
      <c r="C137" s="53"/>
      <c r="D137" s="54"/>
      <c r="F137" s="53">
        <v>351000</v>
      </c>
      <c r="G137" s="2">
        <f>I125*G138</f>
        <v>10865.802486159697</v>
      </c>
      <c r="H137" s="2">
        <f>G137*(H125/G125)</f>
        <v>5368271647.5645294</v>
      </c>
      <c r="I137">
        <f t="shared" si="21"/>
        <v>1.7131726320915515</v>
      </c>
    </row>
    <row r="138" spans="1:9" x14ac:dyDescent="0.3">
      <c r="A138" s="53">
        <v>601000</v>
      </c>
      <c r="B138" s="53"/>
      <c r="C138" s="53"/>
      <c r="D138" s="54"/>
      <c r="F138" s="53">
        <v>601000</v>
      </c>
      <c r="G138" s="2">
        <v>6342.50295773989</v>
      </c>
      <c r="H138" s="2">
        <v>4580361978.9404974</v>
      </c>
      <c r="I138">
        <f t="shared" ref="I138:I139" si="22">G138/G139</f>
        <v>2.2581443298969068</v>
      </c>
    </row>
    <row r="139" spans="1:9" x14ac:dyDescent="0.3">
      <c r="A139" s="53">
        <v>1400000</v>
      </c>
      <c r="B139" s="53">
        <v>142</v>
      </c>
      <c r="C139" s="53">
        <v>206000000</v>
      </c>
      <c r="D139" s="54">
        <v>2.1956450016496207</v>
      </c>
      <c r="F139" s="53">
        <v>901000</v>
      </c>
      <c r="G139" s="2">
        <v>2808.7234610152</v>
      </c>
      <c r="H139" s="2">
        <v>3141228579.7150369</v>
      </c>
      <c r="I139">
        <f t="shared" si="22"/>
        <v>3.2850592950534234</v>
      </c>
    </row>
    <row r="140" spans="1:9" x14ac:dyDescent="0.3">
      <c r="A140" s="53">
        <v>1501000</v>
      </c>
      <c r="B140" s="53">
        <v>768</v>
      </c>
      <c r="C140" s="53">
        <v>1567000000</v>
      </c>
      <c r="D140" s="54">
        <v>2.1806263412982529</v>
      </c>
      <c r="F140" s="53">
        <v>1501000</v>
      </c>
      <c r="G140" s="2">
        <v>854.99931926480588</v>
      </c>
      <c r="H140" s="2">
        <v>1751214091.2185159</v>
      </c>
      <c r="I140">
        <f>G140/G141</f>
        <v>2.9584751531654181</v>
      </c>
    </row>
    <row r="141" spans="1:9" x14ac:dyDescent="0.3">
      <c r="A141" s="53">
        <v>3001000</v>
      </c>
      <c r="B141" s="53">
        <v>289</v>
      </c>
      <c r="C141" s="53">
        <v>1179000000</v>
      </c>
      <c r="D141" s="54">
        <v>1.9016797314348517</v>
      </c>
      <c r="F141" s="53">
        <v>3001000</v>
      </c>
      <c r="G141" s="55">
        <v>289</v>
      </c>
      <c r="H141" s="55">
        <v>1179000000</v>
      </c>
      <c r="I141">
        <f>G141/G142</f>
        <v>4.4461538461538463</v>
      </c>
    </row>
    <row r="142" spans="1:9" x14ac:dyDescent="0.3">
      <c r="A142" s="53">
        <v>6001000</v>
      </c>
      <c r="B142" s="53">
        <v>65</v>
      </c>
      <c r="C142" s="53">
        <v>494000000</v>
      </c>
      <c r="D142" s="54">
        <v>1.7347108815197467</v>
      </c>
      <c r="F142" s="53">
        <v>6001000</v>
      </c>
      <c r="G142" s="55">
        <v>65</v>
      </c>
      <c r="H142" s="55">
        <v>494000000</v>
      </c>
      <c r="I142">
        <f>G142/G143</f>
        <v>2.5</v>
      </c>
    </row>
    <row r="143" spans="1:9" x14ac:dyDescent="0.3">
      <c r="A143" s="53">
        <v>10001000</v>
      </c>
      <c r="B143" s="53">
        <v>26</v>
      </c>
      <c r="C143" s="53">
        <v>308000000</v>
      </c>
      <c r="D143" s="54">
        <v>1.5627008727698659</v>
      </c>
      <c r="F143" s="53">
        <v>10001000</v>
      </c>
      <c r="G143" s="55">
        <v>26</v>
      </c>
      <c r="H143" s="55">
        <v>308000000</v>
      </c>
    </row>
    <row r="144" spans="1:9" x14ac:dyDescent="0.3">
      <c r="A144" s="53">
        <v>15001000</v>
      </c>
      <c r="B144" s="53">
        <v>4</v>
      </c>
      <c r="C144" s="53">
        <v>66000000</v>
      </c>
      <c r="D144" s="54">
        <v>1.7702523535468007</v>
      </c>
      <c r="F144" s="53">
        <v>15001000</v>
      </c>
      <c r="G144" s="55">
        <v>4</v>
      </c>
      <c r="H144" s="55">
        <v>66000000</v>
      </c>
    </row>
    <row r="145" spans="1:8" x14ac:dyDescent="0.3">
      <c r="A145" s="53">
        <v>20001000</v>
      </c>
      <c r="B145" s="53">
        <v>2</v>
      </c>
      <c r="C145" s="53">
        <v>54000000</v>
      </c>
      <c r="D145" s="54">
        <v>1.7299135043247837</v>
      </c>
      <c r="F145" s="53">
        <v>20001000</v>
      </c>
      <c r="G145" s="55">
        <v>2</v>
      </c>
      <c r="H145" s="55">
        <v>54000000</v>
      </c>
    </row>
    <row r="146" spans="1:8" x14ac:dyDescent="0.3">
      <c r="A146" s="53">
        <v>30000000</v>
      </c>
      <c r="B146" s="53">
        <v>3</v>
      </c>
      <c r="C146" s="53">
        <v>119000000</v>
      </c>
      <c r="D146" s="54">
        <v>1.3222222222222222</v>
      </c>
      <c r="F146" s="53">
        <v>30000000</v>
      </c>
      <c r="G146" s="55">
        <v>3</v>
      </c>
      <c r="H146" s="55">
        <v>119000000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workbookViewId="0">
      <selection sqref="A1:D1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2.69921875" customWidth="1"/>
  </cols>
  <sheetData>
    <row r="1" spans="1:15" x14ac:dyDescent="0.3">
      <c r="A1" s="79" t="s">
        <v>221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59">
        <v>2910</v>
      </c>
      <c r="M3" t="s">
        <v>7</v>
      </c>
      <c r="N3" t="s">
        <v>8</v>
      </c>
      <c r="O3" t="s">
        <v>14</v>
      </c>
    </row>
    <row r="4" spans="1:15" x14ac:dyDescent="0.3">
      <c r="A4" s="53" t="s">
        <v>91</v>
      </c>
      <c r="B4" s="53"/>
      <c r="C4" s="53"/>
      <c r="D4" s="54"/>
      <c r="I4" s="2">
        <f>J4/6.55957</f>
        <v>535.09605050331049</v>
      </c>
      <c r="J4" s="53" t="s">
        <v>93</v>
      </c>
      <c r="K4" s="2">
        <f>G6+G19+G32+G45+G58+G71+G84+G97+G110+G123+G136+G149</f>
        <v>7708108.6532634692</v>
      </c>
      <c r="L4" s="2">
        <f>H6+H19+H32+H45+H58+H71+H84+H97+H110+H123+H136+H149</f>
        <v>34561004455.349876</v>
      </c>
      <c r="M4">
        <f>1-SUM(K4:$K$13)/$K$15</f>
        <v>0.36473680785457752</v>
      </c>
      <c r="N4">
        <f>SUM(L4:$L$13)/(J4*SUM(K4:$K$13))</f>
        <v>1.9945214132852158</v>
      </c>
      <c r="O4">
        <f>(G6+G19+G45)/K4</f>
        <v>0.15837369192232068</v>
      </c>
    </row>
    <row r="5" spans="1:15" x14ac:dyDescent="0.3">
      <c r="A5" s="53" t="s">
        <v>92</v>
      </c>
      <c r="B5" s="53"/>
      <c r="C5" s="53"/>
      <c r="D5" s="54"/>
      <c r="I5" s="2">
        <f t="shared" ref="I5:I13" si="0">J5/6.55957</f>
        <v>916.2185935968364</v>
      </c>
      <c r="J5" s="53" t="s">
        <v>94</v>
      </c>
      <c r="K5" s="2">
        <f t="shared" ref="K5:L12" si="1">G7+G20+G33+G46+G59+G72+G85+G98+G111+G124+G137+G150</f>
        <v>2035647.4366849249</v>
      </c>
      <c r="L5" s="2">
        <f t="shared" si="1"/>
        <v>14900399968.149857</v>
      </c>
      <c r="M5">
        <f>1-SUM(K5:$K$13)/$K$15</f>
        <v>0.78324239115851779</v>
      </c>
      <c r="N5">
        <f>SUM(L5:$L$13)/(J5*SUM(K5:$K$13))</f>
        <v>1.9734731304508621</v>
      </c>
      <c r="O5">
        <f t="shared" ref="O5:O13" si="2">(G7+G20+G46)/K5</f>
        <v>0.15837369192232065</v>
      </c>
    </row>
    <row r="6" spans="1:15" x14ac:dyDescent="0.3">
      <c r="A6" s="53" t="s">
        <v>93</v>
      </c>
      <c r="B6" s="53">
        <v>835865</v>
      </c>
      <c r="C6" s="53">
        <v>3747785000</v>
      </c>
      <c r="D6" s="54">
        <v>1.6947062928866903</v>
      </c>
      <c r="F6" s="53" t="s">
        <v>93</v>
      </c>
      <c r="G6" s="55">
        <v>835865</v>
      </c>
      <c r="H6" s="55">
        <v>3747785000</v>
      </c>
      <c r="I6" s="2">
        <f t="shared" si="0"/>
        <v>1373.5656453090676</v>
      </c>
      <c r="J6" s="53" t="s">
        <v>95</v>
      </c>
      <c r="K6" s="2">
        <f t="shared" si="1"/>
        <v>1294755.9187814314</v>
      </c>
      <c r="L6" s="2">
        <f t="shared" si="1"/>
        <v>14663713815.822052</v>
      </c>
      <c r="M6">
        <f>1-SUM(K6:$K$13)/$K$15</f>
        <v>0.89376623769644969</v>
      </c>
      <c r="N6">
        <f>SUM(L6:$L$13)/(J6*SUM(K6:$K$13))</f>
        <v>1.8407088339522395</v>
      </c>
      <c r="O6">
        <f t="shared" si="2"/>
        <v>9.8335136494164949E-2</v>
      </c>
    </row>
    <row r="7" spans="1:15" x14ac:dyDescent="0.3">
      <c r="A7" s="53" t="s">
        <v>94</v>
      </c>
      <c r="B7" s="53">
        <v>220745</v>
      </c>
      <c r="C7" s="53">
        <v>1575976000</v>
      </c>
      <c r="D7" s="54">
        <v>1.6120390306530787</v>
      </c>
      <c r="F7" s="53" t="s">
        <v>94</v>
      </c>
      <c r="G7" s="55">
        <v>220745</v>
      </c>
      <c r="H7" s="55">
        <v>1575976000</v>
      </c>
      <c r="I7" s="2">
        <f t="shared" si="0"/>
        <v>2288.2597487335297</v>
      </c>
      <c r="J7" s="53" t="s">
        <v>96</v>
      </c>
      <c r="K7" s="2">
        <f t="shared" si="1"/>
        <v>520463</v>
      </c>
      <c r="L7" s="2">
        <f t="shared" si="1"/>
        <v>10332808000</v>
      </c>
      <c r="M7">
        <f>1-SUM(K7:$K$13)/$K$15</f>
        <v>0.96406397289981083</v>
      </c>
      <c r="N7">
        <f>SUM(L7:$L$13)/(J7*SUM(K7:$K$13))</f>
        <v>1.7903413087002829</v>
      </c>
      <c r="O7">
        <f t="shared" si="2"/>
        <v>8.0610917586840941E-2</v>
      </c>
    </row>
    <row r="8" spans="1:15" x14ac:dyDescent="0.3">
      <c r="A8" s="53" t="s">
        <v>95</v>
      </c>
      <c r="B8" s="53">
        <v>77615</v>
      </c>
      <c r="C8" s="53">
        <v>861108000</v>
      </c>
      <c r="D8" s="54">
        <v>1.6610690763065503</v>
      </c>
      <c r="F8" s="53" t="s">
        <v>95</v>
      </c>
      <c r="G8" s="55">
        <v>77615</v>
      </c>
      <c r="H8" s="55">
        <v>861108000</v>
      </c>
      <c r="I8" s="2">
        <f t="shared" si="0"/>
        <v>4574.9950072946858</v>
      </c>
      <c r="J8" s="53" t="s">
        <v>97</v>
      </c>
      <c r="K8" s="2">
        <f t="shared" si="1"/>
        <v>112715</v>
      </c>
      <c r="L8" s="2">
        <f t="shared" si="1"/>
        <v>4468956000</v>
      </c>
      <c r="M8">
        <f>1-SUM(K8:$K$13)/$K$15</f>
        <v>0.99232209447038566</v>
      </c>
      <c r="N8">
        <f>SUM(L8:$L$13)/(J8*SUM(K8:$K$13))</f>
        <v>1.7563960945577382</v>
      </c>
      <c r="O8">
        <f t="shared" si="2"/>
        <v>7.7398749057357052E-2</v>
      </c>
    </row>
    <row r="9" spans="1:15" x14ac:dyDescent="0.3">
      <c r="A9" s="53" t="s">
        <v>96</v>
      </c>
      <c r="B9" s="53">
        <v>23637</v>
      </c>
      <c r="C9" s="53">
        <v>464836000</v>
      </c>
      <c r="D9" s="54">
        <v>1.6875148025195692</v>
      </c>
      <c r="F9" s="53" t="s">
        <v>96</v>
      </c>
      <c r="G9" s="55">
        <v>23637</v>
      </c>
      <c r="H9" s="55">
        <v>464836000</v>
      </c>
      <c r="I9" s="2">
        <f t="shared" si="0"/>
        <v>9148.4655244169971</v>
      </c>
      <c r="J9" s="53" t="s">
        <v>98</v>
      </c>
      <c r="K9" s="2">
        <f t="shared" si="1"/>
        <v>20213</v>
      </c>
      <c r="L9" s="2">
        <f t="shared" si="1"/>
        <v>1505803000</v>
      </c>
      <c r="M9">
        <f>1-SUM(K9:$K$13)/$K$15</f>
        <v>0.9984418650839112</v>
      </c>
      <c r="N9">
        <f>SUM(L9:$L$13)/(J9*SUM(K9:$K$13))</f>
        <v>1.7331914005226137</v>
      </c>
      <c r="O9">
        <f t="shared" si="2"/>
        <v>7.9998021075545447E-2</v>
      </c>
    </row>
    <row r="10" spans="1:15" x14ac:dyDescent="0.3">
      <c r="A10" s="53" t="s">
        <v>97</v>
      </c>
      <c r="B10" s="53">
        <v>4392</v>
      </c>
      <c r="C10" s="53">
        <v>172035000</v>
      </c>
      <c r="D10" s="54">
        <v>1.6765015629858779</v>
      </c>
      <c r="F10" s="53" t="s">
        <v>97</v>
      </c>
      <c r="G10" s="55">
        <v>4392</v>
      </c>
      <c r="H10" s="55">
        <v>172035000</v>
      </c>
      <c r="I10" s="2">
        <f t="shared" si="0"/>
        <v>15246.426213913412</v>
      </c>
      <c r="J10" s="53" t="s">
        <v>99</v>
      </c>
      <c r="K10" s="2">
        <f t="shared" si="1"/>
        <v>5223</v>
      </c>
      <c r="L10" s="2">
        <f t="shared" si="1"/>
        <v>633445000</v>
      </c>
      <c r="M10">
        <f>1-SUM(K10:$K$13)/$K$15</f>
        <v>0.99953931372349936</v>
      </c>
      <c r="N10">
        <f>SUM(L10:$L$13)/(J10*SUM(K10:$K$13))</f>
        <v>1.7429512204937432</v>
      </c>
      <c r="O10">
        <f t="shared" si="2"/>
        <v>7.3138043270151248E-2</v>
      </c>
    </row>
    <row r="11" spans="1:15" x14ac:dyDescent="0.3">
      <c r="A11" s="53" t="s">
        <v>98</v>
      </c>
      <c r="B11" s="53">
        <v>712</v>
      </c>
      <c r="C11" s="53">
        <v>52826000</v>
      </c>
      <c r="D11" s="54">
        <v>1.6816569868482796</v>
      </c>
      <c r="F11" s="53" t="s">
        <v>98</v>
      </c>
      <c r="G11" s="55">
        <v>712</v>
      </c>
      <c r="H11" s="55">
        <v>52826000</v>
      </c>
      <c r="I11" s="2">
        <f t="shared" si="0"/>
        <v>22868.87707578393</v>
      </c>
      <c r="J11" s="53" t="s">
        <v>100</v>
      </c>
      <c r="K11" s="2">
        <f t="shared" si="1"/>
        <v>1583</v>
      </c>
      <c r="L11" s="2">
        <f t="shared" si="1"/>
        <v>270874000</v>
      </c>
      <c r="M11">
        <f>1-SUM(K11:$K$13)/$K$15</f>
        <v>0.99982289232363641</v>
      </c>
      <c r="N11">
        <f>SUM(L11:$L$13)/(J11*SUM(K11:$K$13))</f>
        <v>1.7280617834143164</v>
      </c>
      <c r="O11">
        <f t="shared" si="2"/>
        <v>8.4017687934301963E-2</v>
      </c>
    </row>
    <row r="12" spans="1:15" x14ac:dyDescent="0.3">
      <c r="A12" s="53" t="s">
        <v>99</v>
      </c>
      <c r="B12" s="53">
        <v>145</v>
      </c>
      <c r="C12" s="53">
        <v>17002000</v>
      </c>
      <c r="D12" s="54">
        <v>1.75511860578648</v>
      </c>
      <c r="F12" s="53" t="s">
        <v>99</v>
      </c>
      <c r="G12" s="55">
        <v>145</v>
      </c>
      <c r="H12" s="55">
        <v>17002000</v>
      </c>
      <c r="I12" s="2">
        <f t="shared" si="0"/>
        <v>30491.327937654449</v>
      </c>
      <c r="J12" s="53" t="s">
        <v>101</v>
      </c>
      <c r="K12" s="2">
        <f t="shared" si="1"/>
        <v>1040</v>
      </c>
      <c r="L12" s="2">
        <f t="shared" si="1"/>
        <v>248832000</v>
      </c>
      <c r="M12">
        <f>1-SUM(K12:$K$13)/$K$15</f>
        <v>0.99990884004027758</v>
      </c>
      <c r="N12">
        <f>SUM(L12:$L$13)/(J12*SUM(K12:$K$13))</f>
        <v>1.7114183004369734</v>
      </c>
      <c r="O12">
        <f t="shared" si="2"/>
        <v>0.10288461538461538</v>
      </c>
    </row>
    <row r="13" spans="1:15" x14ac:dyDescent="0.3">
      <c r="A13" s="53" t="s">
        <v>100</v>
      </c>
      <c r="B13" s="53">
        <v>54</v>
      </c>
      <c r="C13" s="53">
        <v>9193000</v>
      </c>
      <c r="D13" s="54">
        <v>1.6821908842440807</v>
      </c>
      <c r="F13" s="53" t="s">
        <v>100</v>
      </c>
      <c r="G13" s="55">
        <v>54</v>
      </c>
      <c r="H13" s="55">
        <v>9193000</v>
      </c>
      <c r="I13" s="2">
        <f t="shared" si="0"/>
        <v>45734.705171223111</v>
      </c>
      <c r="J13" s="53" t="s">
        <v>102</v>
      </c>
      <c r="K13" s="2">
        <f>G15+G28+G41+G54+G67+G80+G93+G106+G119+G132+G145+G158</f>
        <v>639</v>
      </c>
      <c r="L13" s="2">
        <f>H15+H28+H41+H54+H67+H80+H93+H106+H119+H132+H145+H158</f>
        <v>325891000</v>
      </c>
      <c r="M13">
        <f>1-SUM(K13:$K$13)/$K$15</f>
        <v>0.99996530600699074</v>
      </c>
      <c r="N13">
        <f>SUM(L13:$L$13)/(J13*SUM(K13:$K$13))</f>
        <v>1.7000052164840898</v>
      </c>
      <c r="O13">
        <f t="shared" si="2"/>
        <v>0.1111111111111111</v>
      </c>
    </row>
    <row r="14" spans="1:15" x14ac:dyDescent="0.3">
      <c r="A14" s="53" t="s">
        <v>101</v>
      </c>
      <c r="B14" s="53">
        <v>37</v>
      </c>
      <c r="C14" s="53">
        <v>8828000</v>
      </c>
      <c r="D14" s="54">
        <v>1.657506410393766</v>
      </c>
      <c r="F14" s="53" t="s">
        <v>101</v>
      </c>
      <c r="G14" s="55">
        <v>37</v>
      </c>
      <c r="H14" s="55">
        <v>8828000</v>
      </c>
      <c r="K14" s="2"/>
      <c r="L14" s="2"/>
    </row>
    <row r="15" spans="1:15" x14ac:dyDescent="0.3">
      <c r="A15" s="53" t="s">
        <v>102</v>
      </c>
      <c r="B15" s="53">
        <v>19</v>
      </c>
      <c r="C15" s="53">
        <v>9737000</v>
      </c>
      <c r="D15" s="54">
        <v>1.7082456140350877</v>
      </c>
      <c r="F15" s="53" t="s">
        <v>102</v>
      </c>
      <c r="G15" s="55">
        <v>19</v>
      </c>
      <c r="H15" s="55">
        <v>9737000</v>
      </c>
      <c r="K15" s="5">
        <v>18418174</v>
      </c>
      <c r="L15" s="5"/>
    </row>
    <row r="16" spans="1:15" x14ac:dyDescent="0.3">
      <c r="A16" s="51" t="s">
        <v>56</v>
      </c>
      <c r="B16" s="51" t="s">
        <v>89</v>
      </c>
      <c r="C16" s="51" t="s">
        <v>90</v>
      </c>
      <c r="D16" s="52" t="s">
        <v>59</v>
      </c>
      <c r="E16">
        <v>4000</v>
      </c>
      <c r="G16" s="2"/>
      <c r="H16" s="2"/>
    </row>
    <row r="17" spans="1:9" x14ac:dyDescent="0.3">
      <c r="A17" s="53" t="s">
        <v>91</v>
      </c>
      <c r="B17" s="53"/>
      <c r="C17" s="53"/>
      <c r="D17" s="54"/>
      <c r="G17" s="2"/>
      <c r="H17" s="2"/>
    </row>
    <row r="18" spans="1:9" x14ac:dyDescent="0.3">
      <c r="A18" s="53" t="s">
        <v>103</v>
      </c>
      <c r="B18" s="53"/>
      <c r="C18" s="53"/>
      <c r="D18" s="54"/>
      <c r="G18" s="2"/>
      <c r="H18" s="2"/>
    </row>
    <row r="19" spans="1:9" x14ac:dyDescent="0.3">
      <c r="A19" s="53" t="s">
        <v>104</v>
      </c>
      <c r="B19" s="53"/>
      <c r="C19" s="53"/>
      <c r="D19" s="54"/>
      <c r="F19" s="53" t="s">
        <v>93</v>
      </c>
      <c r="G19" s="2">
        <f>G6*G20/G7</f>
        <v>333668.20510090829</v>
      </c>
      <c r="H19" s="2">
        <f>G19*H6/G6</f>
        <v>1496074957.1451221</v>
      </c>
    </row>
    <row r="20" spans="1:9" x14ac:dyDescent="0.3">
      <c r="A20" s="53" t="s">
        <v>94</v>
      </c>
      <c r="B20" s="53">
        <v>88119</v>
      </c>
      <c r="C20" s="53">
        <v>637252000</v>
      </c>
      <c r="D20" s="54">
        <v>1.91079231187984</v>
      </c>
      <c r="F20" s="53" t="s">
        <v>94</v>
      </c>
      <c r="G20" s="55">
        <v>88119</v>
      </c>
      <c r="H20" s="55">
        <v>637252000</v>
      </c>
      <c r="I20" s="54"/>
    </row>
    <row r="21" spans="1:9" x14ac:dyDescent="0.3">
      <c r="A21" s="53" t="s">
        <v>95</v>
      </c>
      <c r="B21" s="53">
        <v>44677</v>
      </c>
      <c r="C21" s="53">
        <v>497408000</v>
      </c>
      <c r="D21" s="54">
        <v>1.8989248429508674</v>
      </c>
      <c r="F21" s="53" t="s">
        <v>95</v>
      </c>
      <c r="G21" s="55">
        <v>44677</v>
      </c>
      <c r="H21" s="55">
        <v>497408000</v>
      </c>
    </row>
    <row r="22" spans="1:9" x14ac:dyDescent="0.3">
      <c r="A22" s="53" t="s">
        <v>96</v>
      </c>
      <c r="B22" s="53">
        <v>16673</v>
      </c>
      <c r="C22" s="53">
        <v>333572000</v>
      </c>
      <c r="D22" s="54">
        <v>1.9509474303952403</v>
      </c>
      <c r="F22" s="53" t="s">
        <v>96</v>
      </c>
      <c r="G22" s="55">
        <v>16673</v>
      </c>
      <c r="H22" s="55">
        <v>333572000</v>
      </c>
    </row>
    <row r="23" spans="1:9" x14ac:dyDescent="0.3">
      <c r="A23" s="53" t="s">
        <v>97</v>
      </c>
      <c r="B23" s="53">
        <v>3988</v>
      </c>
      <c r="C23" s="53">
        <v>158702000</v>
      </c>
      <c r="D23" s="54">
        <v>1.9562308093738583</v>
      </c>
      <c r="F23" s="53" t="s">
        <v>97</v>
      </c>
      <c r="G23" s="55">
        <v>3988</v>
      </c>
      <c r="H23" s="55">
        <v>158702000</v>
      </c>
    </row>
    <row r="24" spans="1:9" x14ac:dyDescent="0.3">
      <c r="A24" s="53" t="s">
        <v>98</v>
      </c>
      <c r="B24" s="53">
        <v>858</v>
      </c>
      <c r="C24" s="53">
        <v>64356000</v>
      </c>
      <c r="D24" s="54">
        <v>1.9686500897079278</v>
      </c>
      <c r="F24" s="53" t="s">
        <v>98</v>
      </c>
      <c r="G24" s="55">
        <v>858</v>
      </c>
      <c r="H24" s="55">
        <v>64356000</v>
      </c>
    </row>
    <row r="25" spans="1:9" x14ac:dyDescent="0.3">
      <c r="A25" s="53" t="s">
        <v>99</v>
      </c>
      <c r="B25" s="53">
        <v>224</v>
      </c>
      <c r="C25" s="53">
        <v>26699000</v>
      </c>
      <c r="D25" s="54">
        <v>2.0815923273852661</v>
      </c>
      <c r="F25" s="53" t="s">
        <v>99</v>
      </c>
      <c r="G25" s="55">
        <v>224</v>
      </c>
      <c r="H25" s="55">
        <v>26699000</v>
      </c>
    </row>
    <row r="26" spans="1:9" x14ac:dyDescent="0.3">
      <c r="A26" s="53" t="s">
        <v>100</v>
      </c>
      <c r="B26" s="53">
        <v>73</v>
      </c>
      <c r="C26" s="53">
        <v>12665000</v>
      </c>
      <c r="D26" s="54">
        <v>2.0983627829445952</v>
      </c>
      <c r="F26" s="53" t="s">
        <v>100</v>
      </c>
      <c r="G26" s="55">
        <v>73</v>
      </c>
      <c r="H26" s="55">
        <v>12665000</v>
      </c>
    </row>
    <row r="27" spans="1:9" x14ac:dyDescent="0.3">
      <c r="A27" s="53" t="s">
        <v>101</v>
      </c>
      <c r="B27" s="53">
        <v>65</v>
      </c>
      <c r="C27" s="53">
        <v>15628000</v>
      </c>
      <c r="D27" s="54">
        <v>2.0261267638372464</v>
      </c>
      <c r="F27" s="53" t="s">
        <v>101</v>
      </c>
      <c r="G27" s="55">
        <v>65</v>
      </c>
      <c r="H27" s="55">
        <v>15628000</v>
      </c>
    </row>
    <row r="28" spans="1:9" x14ac:dyDescent="0.3">
      <c r="A28" s="53" t="s">
        <v>102</v>
      </c>
      <c r="B28" s="53">
        <v>49</v>
      </c>
      <c r="C28" s="53">
        <v>30570000</v>
      </c>
      <c r="D28" s="54">
        <v>2.0795918367346937</v>
      </c>
      <c r="F28" s="53" t="s">
        <v>102</v>
      </c>
      <c r="G28" s="55">
        <v>49</v>
      </c>
      <c r="H28" s="55">
        <v>30570000</v>
      </c>
    </row>
    <row r="29" spans="1:9" x14ac:dyDescent="0.3">
      <c r="A29" s="51" t="s">
        <v>56</v>
      </c>
      <c r="B29" s="51" t="s">
        <v>64</v>
      </c>
      <c r="C29" s="51" t="s">
        <v>65</v>
      </c>
      <c r="D29" s="52" t="s">
        <v>59</v>
      </c>
      <c r="E29">
        <v>5100</v>
      </c>
      <c r="G29" s="2"/>
      <c r="H29" s="2"/>
    </row>
    <row r="30" spans="1:9" x14ac:dyDescent="0.3">
      <c r="A30" s="53" t="s">
        <v>91</v>
      </c>
      <c r="B30" s="53"/>
      <c r="C30" s="53"/>
      <c r="D30" s="54"/>
      <c r="G30" s="2"/>
      <c r="H30" s="2"/>
    </row>
    <row r="31" spans="1:9" x14ac:dyDescent="0.3">
      <c r="A31" s="53" t="s">
        <v>103</v>
      </c>
      <c r="B31" s="53"/>
      <c r="C31" s="53"/>
      <c r="D31" s="54"/>
      <c r="G31" s="2"/>
      <c r="H31" s="2"/>
    </row>
    <row r="32" spans="1:9" x14ac:dyDescent="0.3">
      <c r="A32" s="53" t="s">
        <v>105</v>
      </c>
      <c r="B32" s="53"/>
      <c r="C32" s="53"/>
      <c r="D32" s="54"/>
      <c r="F32" s="53" t="s">
        <v>93</v>
      </c>
      <c r="G32" s="2">
        <v>2592580.6352805272</v>
      </c>
      <c r="H32" s="2">
        <v>11624406831.479759</v>
      </c>
    </row>
    <row r="33" spans="1:8" x14ac:dyDescent="0.3">
      <c r="A33" s="53" t="s">
        <v>94</v>
      </c>
      <c r="B33" s="53">
        <v>684679</v>
      </c>
      <c r="C33" s="53">
        <v>5031284000</v>
      </c>
      <c r="D33" s="54">
        <v>1.9483561851437283</v>
      </c>
      <c r="F33" s="53" t="s">
        <v>94</v>
      </c>
      <c r="G33" s="55">
        <v>684679</v>
      </c>
      <c r="H33" s="55">
        <v>5031284000</v>
      </c>
    </row>
    <row r="34" spans="1:8" x14ac:dyDescent="0.3">
      <c r="A34" s="53" t="s">
        <v>95</v>
      </c>
      <c r="B34" s="53">
        <v>466550</v>
      </c>
      <c r="C34" s="53">
        <v>5253114000</v>
      </c>
      <c r="D34" s="54">
        <v>1.7876807708026932</v>
      </c>
      <c r="F34" s="53" t="s">
        <v>95</v>
      </c>
      <c r="G34" s="55">
        <v>466550</v>
      </c>
      <c r="H34" s="55">
        <v>5253114000</v>
      </c>
    </row>
    <row r="35" spans="1:8" x14ac:dyDescent="0.3">
      <c r="A35" s="53" t="s">
        <v>96</v>
      </c>
      <c r="B35" s="53">
        <v>169216</v>
      </c>
      <c r="C35" s="53">
        <v>3340279000</v>
      </c>
      <c r="D35" s="54">
        <v>1.7821330878025952</v>
      </c>
      <c r="F35" s="53" t="s">
        <v>96</v>
      </c>
      <c r="G35" s="55">
        <v>169216</v>
      </c>
      <c r="H35" s="55">
        <v>3340279000</v>
      </c>
    </row>
    <row r="36" spans="1:8" x14ac:dyDescent="0.3">
      <c r="A36" s="53" t="s">
        <v>97</v>
      </c>
      <c r="B36" s="53">
        <v>34058</v>
      </c>
      <c r="C36" s="53">
        <v>1350963000</v>
      </c>
      <c r="D36" s="54">
        <v>1.8045534627343232</v>
      </c>
      <c r="F36" s="53" t="s">
        <v>97</v>
      </c>
      <c r="G36" s="55">
        <v>34058</v>
      </c>
      <c r="H36" s="55">
        <v>1350963000</v>
      </c>
    </row>
    <row r="37" spans="1:8" x14ac:dyDescent="0.3">
      <c r="A37" s="53" t="s">
        <v>98</v>
      </c>
      <c r="B37" s="53">
        <v>6223</v>
      </c>
      <c r="C37" s="53">
        <v>464937000</v>
      </c>
      <c r="D37" s="54">
        <v>1.793568706721995</v>
      </c>
      <c r="F37" s="53" t="s">
        <v>98</v>
      </c>
      <c r="G37" s="55">
        <v>6223</v>
      </c>
      <c r="H37" s="55">
        <v>464937000</v>
      </c>
    </row>
    <row r="38" spans="1:8" x14ac:dyDescent="0.3">
      <c r="A38" s="53" t="s">
        <v>99</v>
      </c>
      <c r="B38" s="53">
        <v>1820</v>
      </c>
      <c r="C38" s="53">
        <v>217851000</v>
      </c>
      <c r="D38" s="54">
        <v>1.7580931653838612</v>
      </c>
      <c r="F38" s="53" t="s">
        <v>99</v>
      </c>
      <c r="G38" s="55">
        <v>1820</v>
      </c>
      <c r="H38" s="55">
        <v>217851000</v>
      </c>
    </row>
    <row r="39" spans="1:8" x14ac:dyDescent="0.3">
      <c r="A39" s="53" t="s">
        <v>100</v>
      </c>
      <c r="B39" s="53">
        <v>577</v>
      </c>
      <c r="C39" s="53">
        <v>98417000</v>
      </c>
      <c r="D39" s="54">
        <v>1.7472540118947024</v>
      </c>
      <c r="F39" s="53" t="s">
        <v>100</v>
      </c>
      <c r="G39" s="55">
        <v>577</v>
      </c>
      <c r="H39" s="55">
        <v>98417000</v>
      </c>
    </row>
    <row r="40" spans="1:8" x14ac:dyDescent="0.3">
      <c r="A40" s="53" t="s">
        <v>101</v>
      </c>
      <c r="B40" s="53">
        <v>360</v>
      </c>
      <c r="C40" s="53">
        <v>85763000</v>
      </c>
      <c r="D40" s="54">
        <v>1.7455140422550537</v>
      </c>
      <c r="F40" s="53" t="s">
        <v>101</v>
      </c>
      <c r="G40" s="55">
        <v>360</v>
      </c>
      <c r="H40" s="55">
        <v>85763000</v>
      </c>
    </row>
    <row r="41" spans="1:8" x14ac:dyDescent="0.3">
      <c r="A41" s="53" t="s">
        <v>102</v>
      </c>
      <c r="B41" s="53">
        <v>247</v>
      </c>
      <c r="C41" s="53">
        <v>126153000</v>
      </c>
      <c r="D41" s="54">
        <v>1.7024696356275304</v>
      </c>
      <c r="F41" s="53" t="s">
        <v>102</v>
      </c>
      <c r="G41" s="55">
        <v>247</v>
      </c>
      <c r="H41" s="55">
        <v>126153000</v>
      </c>
    </row>
    <row r="42" spans="1:8" x14ac:dyDescent="0.3">
      <c r="A42" s="51" t="s">
        <v>56</v>
      </c>
      <c r="B42" s="51" t="s">
        <v>66</v>
      </c>
      <c r="C42" s="51" t="s">
        <v>67</v>
      </c>
      <c r="D42" s="52" t="s">
        <v>59</v>
      </c>
      <c r="E42">
        <v>5100</v>
      </c>
      <c r="G42" s="2"/>
      <c r="H42" s="2"/>
    </row>
    <row r="43" spans="1:8" x14ac:dyDescent="0.3">
      <c r="A43" s="53" t="s">
        <v>91</v>
      </c>
      <c r="B43" s="53"/>
      <c r="C43" s="53"/>
      <c r="D43" s="54"/>
      <c r="G43" s="2"/>
      <c r="H43" s="2"/>
    </row>
    <row r="44" spans="1:8" x14ac:dyDescent="0.3">
      <c r="A44" s="53" t="s">
        <v>103</v>
      </c>
      <c r="B44" s="53"/>
      <c r="C44" s="53"/>
      <c r="D44" s="54"/>
      <c r="G44" s="2"/>
      <c r="H44" s="2"/>
    </row>
    <row r="45" spans="1:8" x14ac:dyDescent="0.3">
      <c r="A45" s="53" t="s">
        <v>105</v>
      </c>
      <c r="B45" s="53"/>
      <c r="C45" s="53"/>
      <c r="D45" s="54"/>
      <c r="F45" s="53" t="s">
        <v>93</v>
      </c>
      <c r="G45" s="2">
        <v>51228.420054814378</v>
      </c>
      <c r="H45" s="2">
        <v>229693914.99241203</v>
      </c>
    </row>
    <row r="46" spans="1:8" x14ac:dyDescent="0.3">
      <c r="A46" s="53" t="s">
        <v>94</v>
      </c>
      <c r="B46" s="53">
        <v>13529</v>
      </c>
      <c r="C46" s="53">
        <v>97521000</v>
      </c>
      <c r="D46" s="54">
        <v>1.6816540812193064</v>
      </c>
      <c r="F46" s="53" t="s">
        <v>94</v>
      </c>
      <c r="G46" s="55">
        <v>13529</v>
      </c>
      <c r="H46" s="55">
        <v>97521000</v>
      </c>
    </row>
    <row r="47" spans="1:8" x14ac:dyDescent="0.3">
      <c r="A47" s="53" t="s">
        <v>95</v>
      </c>
      <c r="B47" s="53">
        <v>5028</v>
      </c>
      <c r="C47" s="53">
        <v>55733000</v>
      </c>
      <c r="D47" s="54">
        <v>1.7354853058957198</v>
      </c>
      <c r="F47" s="53" t="s">
        <v>95</v>
      </c>
      <c r="G47" s="55">
        <v>5028</v>
      </c>
      <c r="H47" s="55">
        <v>55733000</v>
      </c>
    </row>
    <row r="48" spans="1:8" x14ac:dyDescent="0.3">
      <c r="A48" s="53" t="s">
        <v>96</v>
      </c>
      <c r="B48" s="53">
        <v>1645</v>
      </c>
      <c r="C48" s="53">
        <v>32428000</v>
      </c>
      <c r="D48" s="54">
        <v>1.780909996018166</v>
      </c>
      <c r="F48" s="53" t="s">
        <v>96</v>
      </c>
      <c r="G48" s="55">
        <v>1645</v>
      </c>
      <c r="H48" s="55">
        <v>32428000</v>
      </c>
    </row>
    <row r="49" spans="1:8" x14ac:dyDescent="0.3">
      <c r="A49" s="53" t="s">
        <v>97</v>
      </c>
      <c r="B49" s="53">
        <v>344</v>
      </c>
      <c r="C49" s="53">
        <v>13691000</v>
      </c>
      <c r="D49" s="54">
        <v>1.811118781777685</v>
      </c>
      <c r="F49" s="53" t="s">
        <v>97</v>
      </c>
      <c r="G49" s="55">
        <v>344</v>
      </c>
      <c r="H49" s="55">
        <v>13691000</v>
      </c>
    </row>
    <row r="50" spans="1:8" x14ac:dyDescent="0.3">
      <c r="A50" s="53" t="s">
        <v>98</v>
      </c>
      <c r="B50" s="53">
        <v>47</v>
      </c>
      <c r="C50" s="53">
        <v>3564000</v>
      </c>
      <c r="D50" s="54">
        <v>2.032994500916514</v>
      </c>
      <c r="F50" s="53" t="s">
        <v>98</v>
      </c>
      <c r="G50" s="55">
        <v>47</v>
      </c>
      <c r="H50" s="55">
        <v>3564000</v>
      </c>
    </row>
    <row r="51" spans="1:8" x14ac:dyDescent="0.3">
      <c r="A51" s="53" t="s">
        <v>99</v>
      </c>
      <c r="B51" s="53">
        <v>13</v>
      </c>
      <c r="C51" s="53">
        <v>1561000</v>
      </c>
      <c r="D51" s="54">
        <v>2.0235013535683466</v>
      </c>
      <c r="F51" s="53" t="s">
        <v>99</v>
      </c>
      <c r="G51" s="55">
        <v>13</v>
      </c>
      <c r="H51" s="55">
        <v>1561000</v>
      </c>
    </row>
    <row r="52" spans="1:8" x14ac:dyDescent="0.3">
      <c r="A52" s="53" t="s">
        <v>100</v>
      </c>
      <c r="B52" s="53">
        <v>6</v>
      </c>
      <c r="C52" s="53">
        <v>1007000</v>
      </c>
      <c r="D52" s="54">
        <v>1.8584475320692904</v>
      </c>
      <c r="F52" s="53" t="s">
        <v>100</v>
      </c>
      <c r="G52" s="55">
        <v>6</v>
      </c>
      <c r="H52" s="55">
        <v>1007000</v>
      </c>
    </row>
    <row r="53" spans="1:8" x14ac:dyDescent="0.3">
      <c r="A53" s="53" t="s">
        <v>101</v>
      </c>
      <c r="B53" s="53">
        <v>5</v>
      </c>
      <c r="C53" s="53">
        <v>1197000</v>
      </c>
      <c r="D53" s="54">
        <v>1.8099095045247737</v>
      </c>
      <c r="F53" s="53" t="s">
        <v>101</v>
      </c>
      <c r="G53" s="55">
        <v>5</v>
      </c>
      <c r="H53" s="55">
        <v>1197000</v>
      </c>
    </row>
    <row r="54" spans="1:8" x14ac:dyDescent="0.3">
      <c r="A54" s="53" t="s">
        <v>102</v>
      </c>
      <c r="B54" s="53">
        <v>3</v>
      </c>
      <c r="C54" s="53">
        <v>1699000</v>
      </c>
      <c r="D54" s="54">
        <v>1.887777777777778</v>
      </c>
      <c r="F54" s="53" t="s">
        <v>102</v>
      </c>
      <c r="G54" s="55">
        <v>3</v>
      </c>
      <c r="H54" s="55">
        <v>1699000</v>
      </c>
    </row>
    <row r="55" spans="1:8" x14ac:dyDescent="0.3">
      <c r="A55" s="51" t="s">
        <v>56</v>
      </c>
      <c r="B55" s="51" t="s">
        <v>68</v>
      </c>
      <c r="C55" s="51" t="s">
        <v>69</v>
      </c>
      <c r="D55" s="52" t="s">
        <v>59</v>
      </c>
      <c r="E55">
        <v>6200</v>
      </c>
      <c r="G55" s="2"/>
      <c r="H55" s="2"/>
    </row>
    <row r="56" spans="1:8" x14ac:dyDescent="0.3">
      <c r="A56" s="53" t="s">
        <v>91</v>
      </c>
      <c r="B56" s="53"/>
      <c r="C56" s="53"/>
      <c r="D56" s="54"/>
      <c r="G56" s="2"/>
      <c r="H56" s="2"/>
    </row>
    <row r="57" spans="1:8" x14ac:dyDescent="0.3">
      <c r="A57" s="53" t="s">
        <v>103</v>
      </c>
      <c r="B57" s="53"/>
      <c r="C57" s="53"/>
      <c r="D57" s="54"/>
      <c r="G57" s="2"/>
      <c r="H57" s="2"/>
    </row>
    <row r="58" spans="1:8" x14ac:dyDescent="0.3">
      <c r="A58" s="53" t="s">
        <v>106</v>
      </c>
      <c r="B58" s="53"/>
      <c r="C58" s="53"/>
      <c r="D58" s="54"/>
      <c r="F58" s="53" t="s">
        <v>93</v>
      </c>
      <c r="G58" s="2">
        <v>1931023.8520616179</v>
      </c>
      <c r="H58" s="2">
        <v>8658171148.9280567</v>
      </c>
    </row>
    <row r="59" spans="1:8" x14ac:dyDescent="0.3">
      <c r="A59" s="53" t="s">
        <v>94</v>
      </c>
      <c r="B59" s="53"/>
      <c r="C59" s="53"/>
      <c r="D59" s="54"/>
      <c r="F59" s="53" t="s">
        <v>94</v>
      </c>
      <c r="G59" s="2">
        <v>509967.35145429213</v>
      </c>
      <c r="H59" s="2">
        <v>3747435770.4769044</v>
      </c>
    </row>
    <row r="60" spans="1:8" x14ac:dyDescent="0.3">
      <c r="A60" s="53" t="s">
        <v>95</v>
      </c>
      <c r="B60" s="53">
        <v>347499</v>
      </c>
      <c r="C60" s="53">
        <v>3909575000</v>
      </c>
      <c r="D60" s="54">
        <v>1.7073122504016438</v>
      </c>
      <c r="F60" s="53" t="s">
        <v>95</v>
      </c>
      <c r="G60" s="55">
        <v>347499</v>
      </c>
      <c r="H60" s="55">
        <v>3909575000</v>
      </c>
    </row>
    <row r="61" spans="1:8" x14ac:dyDescent="0.3">
      <c r="A61" s="53" t="s">
        <v>96</v>
      </c>
      <c r="B61" s="53">
        <v>119474</v>
      </c>
      <c r="C61" s="53">
        <v>2340952000</v>
      </c>
      <c r="D61" s="54">
        <v>1.681629721913674</v>
      </c>
      <c r="F61" s="53" t="s">
        <v>96</v>
      </c>
      <c r="G61" s="55">
        <v>119474</v>
      </c>
      <c r="H61" s="55">
        <v>2340952000</v>
      </c>
    </row>
    <row r="62" spans="1:8" x14ac:dyDescent="0.3">
      <c r="A62" s="53" t="s">
        <v>97</v>
      </c>
      <c r="B62" s="53">
        <v>21339</v>
      </c>
      <c r="C62" s="53">
        <v>840591000</v>
      </c>
      <c r="D62" s="54">
        <v>1.6997262130877766</v>
      </c>
      <c r="F62" s="53" t="s">
        <v>97</v>
      </c>
      <c r="G62" s="55">
        <v>21339</v>
      </c>
      <c r="H62" s="55">
        <v>840591000</v>
      </c>
    </row>
    <row r="63" spans="1:8" x14ac:dyDescent="0.3">
      <c r="A63" s="53" t="s">
        <v>98</v>
      </c>
      <c r="B63" s="53">
        <v>3506</v>
      </c>
      <c r="C63" s="53">
        <v>260162000</v>
      </c>
      <c r="D63" s="54">
        <v>1.7024057690756316</v>
      </c>
      <c r="F63" s="53" t="s">
        <v>98</v>
      </c>
      <c r="G63" s="55">
        <v>3506</v>
      </c>
      <c r="H63" s="55">
        <v>260162000</v>
      </c>
    </row>
    <row r="64" spans="1:8" x14ac:dyDescent="0.3">
      <c r="A64" s="53" t="s">
        <v>99</v>
      </c>
      <c r="B64" s="53">
        <v>829</v>
      </c>
      <c r="C64" s="53">
        <v>99580000</v>
      </c>
      <c r="D64" s="54">
        <v>1.7528993369319783</v>
      </c>
      <c r="F64" s="53" t="s">
        <v>99</v>
      </c>
      <c r="G64" s="55">
        <v>829</v>
      </c>
      <c r="H64" s="55">
        <v>99580000</v>
      </c>
    </row>
    <row r="65" spans="1:8" x14ac:dyDescent="0.3">
      <c r="A65" s="53" t="s">
        <v>100</v>
      </c>
      <c r="B65" s="53">
        <v>248</v>
      </c>
      <c r="C65" s="53">
        <v>42463000</v>
      </c>
      <c r="D65" s="54">
        <v>1.7654661248284687</v>
      </c>
      <c r="F65" s="53" t="s">
        <v>100</v>
      </c>
      <c r="G65" s="55">
        <v>248</v>
      </c>
      <c r="H65" s="55">
        <v>42463000</v>
      </c>
    </row>
    <row r="66" spans="1:8" x14ac:dyDescent="0.3">
      <c r="A66" s="53" t="s">
        <v>101</v>
      </c>
      <c r="B66" s="53">
        <v>162</v>
      </c>
      <c r="C66" s="53">
        <v>38970000</v>
      </c>
      <c r="D66" s="54">
        <v>1.7654820681019181</v>
      </c>
      <c r="F66" s="53" t="s">
        <v>101</v>
      </c>
      <c r="G66" s="55">
        <v>162</v>
      </c>
      <c r="H66" s="55">
        <v>38970000</v>
      </c>
    </row>
    <row r="67" spans="1:8" x14ac:dyDescent="0.3">
      <c r="A67" s="53" t="s">
        <v>102</v>
      </c>
      <c r="B67" s="53">
        <v>101</v>
      </c>
      <c r="C67" s="53">
        <v>53899000</v>
      </c>
      <c r="D67" s="54">
        <v>1.7788448844884488</v>
      </c>
      <c r="F67" s="53" t="s">
        <v>102</v>
      </c>
      <c r="G67" s="55">
        <v>101</v>
      </c>
      <c r="H67" s="55">
        <v>53899000</v>
      </c>
    </row>
    <row r="68" spans="1:8" x14ac:dyDescent="0.3">
      <c r="A68" s="51" t="s">
        <v>56</v>
      </c>
      <c r="B68" s="51" t="s">
        <v>70</v>
      </c>
      <c r="C68" s="51" t="s">
        <v>71</v>
      </c>
      <c r="D68" s="52" t="s">
        <v>59</v>
      </c>
      <c r="E68">
        <v>7300</v>
      </c>
      <c r="G68" s="2"/>
      <c r="H68" s="2"/>
    </row>
    <row r="69" spans="1:8" x14ac:dyDescent="0.3">
      <c r="A69" s="53" t="s">
        <v>91</v>
      </c>
      <c r="B69" s="53"/>
      <c r="C69" s="53"/>
      <c r="D69" s="54"/>
      <c r="G69" s="2"/>
      <c r="H69" s="2"/>
    </row>
    <row r="70" spans="1:8" x14ac:dyDescent="0.3">
      <c r="A70" s="53" t="s">
        <v>103</v>
      </c>
      <c r="B70" s="53"/>
      <c r="C70" s="53"/>
      <c r="D70" s="54"/>
      <c r="G70" s="2"/>
      <c r="H70" s="2"/>
    </row>
    <row r="71" spans="1:8" x14ac:dyDescent="0.3">
      <c r="A71" s="53" t="s">
        <v>107</v>
      </c>
      <c r="B71" s="53"/>
      <c r="C71" s="53"/>
      <c r="D71" s="54"/>
      <c r="F71" s="53" t="s">
        <v>93</v>
      </c>
      <c r="G71" s="2">
        <v>1254774.5745769672</v>
      </c>
      <c r="H71" s="2">
        <v>5626058429.2690077</v>
      </c>
    </row>
    <row r="72" spans="1:8" x14ac:dyDescent="0.3">
      <c r="A72" s="53" t="s">
        <v>94</v>
      </c>
      <c r="B72" s="53"/>
      <c r="C72" s="53"/>
      <c r="D72" s="54"/>
      <c r="F72" s="53" t="s">
        <v>94</v>
      </c>
      <c r="G72" s="2">
        <v>331375.53727574751</v>
      </c>
      <c r="H72" s="2">
        <v>2435074595.083056</v>
      </c>
    </row>
    <row r="73" spans="1:8" x14ac:dyDescent="0.3">
      <c r="A73" s="53" t="s">
        <v>95</v>
      </c>
      <c r="B73" s="53">
        <v>225804</v>
      </c>
      <c r="C73" s="53">
        <v>2563628000</v>
      </c>
      <c r="D73" s="54">
        <v>1.8706943899126649</v>
      </c>
      <c r="F73" s="53" t="s">
        <v>95</v>
      </c>
      <c r="G73" s="55">
        <v>225804</v>
      </c>
      <c r="H73" s="55">
        <v>2563628000</v>
      </c>
    </row>
    <row r="74" spans="1:8" x14ac:dyDescent="0.3">
      <c r="A74" s="53" t="s">
        <v>96</v>
      </c>
      <c r="B74" s="53">
        <v>101507</v>
      </c>
      <c r="C74" s="53">
        <v>2026097000</v>
      </c>
      <c r="D74" s="54">
        <v>1.7645666744345969</v>
      </c>
      <c r="F74" s="53" t="s">
        <v>96</v>
      </c>
      <c r="G74" s="55">
        <v>101507</v>
      </c>
      <c r="H74" s="55">
        <v>2026097000</v>
      </c>
    </row>
    <row r="75" spans="1:8" x14ac:dyDescent="0.3">
      <c r="A75" s="53" t="s">
        <v>97</v>
      </c>
      <c r="B75" s="53">
        <v>22369</v>
      </c>
      <c r="C75" s="53">
        <v>886503000</v>
      </c>
      <c r="D75" s="54">
        <v>1.6858713192136945</v>
      </c>
      <c r="F75" s="53" t="s">
        <v>97</v>
      </c>
      <c r="G75" s="55">
        <v>22369</v>
      </c>
      <c r="H75" s="55">
        <v>886503000</v>
      </c>
    </row>
    <row r="76" spans="1:8" x14ac:dyDescent="0.3">
      <c r="A76" s="53" t="s">
        <v>98</v>
      </c>
      <c r="B76" s="53">
        <v>3738</v>
      </c>
      <c r="C76" s="53">
        <v>278355000</v>
      </c>
      <c r="D76" s="54">
        <v>1.6427203424347736</v>
      </c>
      <c r="F76" s="53" t="s">
        <v>98</v>
      </c>
      <c r="G76" s="55">
        <v>3738</v>
      </c>
      <c r="H76" s="55">
        <v>278355000</v>
      </c>
    </row>
    <row r="77" spans="1:8" x14ac:dyDescent="0.3">
      <c r="A77" s="53" t="s">
        <v>99</v>
      </c>
      <c r="B77" s="53">
        <v>879</v>
      </c>
      <c r="C77" s="53">
        <v>104579000</v>
      </c>
      <c r="D77" s="54">
        <v>1.6425981308574682</v>
      </c>
      <c r="F77" s="53" t="s">
        <v>99</v>
      </c>
      <c r="G77" s="55">
        <v>879</v>
      </c>
      <c r="H77" s="55">
        <v>104579000</v>
      </c>
    </row>
    <row r="78" spans="1:8" x14ac:dyDescent="0.3">
      <c r="A78" s="53" t="s">
        <v>100</v>
      </c>
      <c r="B78" s="53">
        <v>241</v>
      </c>
      <c r="C78" s="53">
        <v>41457000</v>
      </c>
      <c r="D78" s="54">
        <v>1.6335354519299794</v>
      </c>
      <c r="F78" s="53" t="s">
        <v>100</v>
      </c>
      <c r="G78" s="55">
        <v>241</v>
      </c>
      <c r="H78" s="55">
        <v>41457000</v>
      </c>
    </row>
    <row r="79" spans="1:8" x14ac:dyDescent="0.3">
      <c r="A79" s="53" t="s">
        <v>101</v>
      </c>
      <c r="B79" s="53">
        <v>166</v>
      </c>
      <c r="C79" s="53">
        <v>39861000</v>
      </c>
      <c r="D79" s="54">
        <v>1.5743458858803092</v>
      </c>
      <c r="F79" s="53" t="s">
        <v>101</v>
      </c>
      <c r="G79" s="55">
        <v>166</v>
      </c>
      <c r="H79" s="55">
        <v>39861000</v>
      </c>
    </row>
    <row r="80" spans="1:8" x14ac:dyDescent="0.3">
      <c r="A80" s="53" t="s">
        <v>102</v>
      </c>
      <c r="B80" s="53">
        <v>86</v>
      </c>
      <c r="C80" s="53">
        <v>39490000</v>
      </c>
      <c r="D80" s="54">
        <v>1.5306201550387597</v>
      </c>
      <c r="F80" s="53" t="s">
        <v>102</v>
      </c>
      <c r="G80" s="55">
        <v>86</v>
      </c>
      <c r="H80" s="55">
        <v>39490000</v>
      </c>
    </row>
    <row r="81" spans="1:8" x14ac:dyDescent="0.3">
      <c r="A81" s="51" t="s">
        <v>56</v>
      </c>
      <c r="B81" s="51" t="s">
        <v>72</v>
      </c>
      <c r="C81" s="51" t="s">
        <v>73</v>
      </c>
      <c r="D81" s="52" t="s">
        <v>59</v>
      </c>
      <c r="E81">
        <v>8400</v>
      </c>
      <c r="G81" s="2"/>
      <c r="H81" s="2"/>
    </row>
    <row r="82" spans="1:8" x14ac:dyDescent="0.3">
      <c r="A82" s="53" t="s">
        <v>91</v>
      </c>
      <c r="B82" s="53"/>
      <c r="C82" s="53"/>
      <c r="D82" s="54"/>
      <c r="G82" s="2"/>
      <c r="H82" s="2"/>
    </row>
    <row r="83" spans="1:8" x14ac:dyDescent="0.3">
      <c r="A83" s="53" t="s">
        <v>103</v>
      </c>
      <c r="B83" s="53"/>
      <c r="C83" s="53"/>
      <c r="D83" s="54"/>
      <c r="G83" s="2"/>
      <c r="H83" s="2"/>
    </row>
    <row r="84" spans="1:8" x14ac:dyDescent="0.3">
      <c r="A84" s="53" t="s">
        <v>108</v>
      </c>
      <c r="B84" s="53"/>
      <c r="C84" s="53"/>
      <c r="D84" s="54"/>
      <c r="F84" s="53" t="s">
        <v>93</v>
      </c>
      <c r="G84" s="2">
        <v>415051.84916887328</v>
      </c>
      <c r="H84" s="2">
        <v>1860976466.9382806</v>
      </c>
    </row>
    <row r="85" spans="1:8" x14ac:dyDescent="0.3">
      <c r="A85" s="53" t="s">
        <v>94</v>
      </c>
      <c r="B85" s="53"/>
      <c r="C85" s="53"/>
      <c r="D85" s="54"/>
      <c r="F85" s="53" t="s">
        <v>94</v>
      </c>
      <c r="G85" s="2">
        <v>109611.74405529954</v>
      </c>
      <c r="H85" s="2">
        <v>805469152.81105971</v>
      </c>
    </row>
    <row r="86" spans="1:8" x14ac:dyDescent="0.3">
      <c r="A86" s="53" t="s">
        <v>95</v>
      </c>
      <c r="B86" s="53">
        <v>74691</v>
      </c>
      <c r="C86" s="53">
        <v>891698000</v>
      </c>
      <c r="D86" s="54">
        <v>2.1947660316236819</v>
      </c>
      <c r="F86" s="53" t="s">
        <v>95</v>
      </c>
      <c r="G86" s="55">
        <v>74691</v>
      </c>
      <c r="H86" s="55">
        <v>891698000</v>
      </c>
    </row>
    <row r="87" spans="1:8" x14ac:dyDescent="0.3">
      <c r="A87" s="53" t="s">
        <v>96</v>
      </c>
      <c r="B87" s="53">
        <v>51700</v>
      </c>
      <c r="C87" s="53">
        <v>1044775000</v>
      </c>
      <c r="D87" s="54">
        <v>1.8818597158787764</v>
      </c>
      <c r="F87" s="53" t="s">
        <v>96</v>
      </c>
      <c r="G87" s="55">
        <v>51700</v>
      </c>
      <c r="H87" s="55">
        <v>1044775000</v>
      </c>
    </row>
    <row r="88" spans="1:8" x14ac:dyDescent="0.3">
      <c r="A88" s="53" t="s">
        <v>97</v>
      </c>
      <c r="B88" s="53">
        <v>13850</v>
      </c>
      <c r="C88" s="53">
        <v>550675000</v>
      </c>
      <c r="D88" s="54">
        <v>1.737657879088996</v>
      </c>
      <c r="F88" s="53" t="s">
        <v>97</v>
      </c>
      <c r="G88" s="55">
        <v>13850</v>
      </c>
      <c r="H88" s="55">
        <v>550675000</v>
      </c>
    </row>
    <row r="89" spans="1:8" x14ac:dyDescent="0.3">
      <c r="A89" s="53" t="s">
        <v>98</v>
      </c>
      <c r="B89" s="53">
        <v>2536</v>
      </c>
      <c r="C89" s="53">
        <v>188713000</v>
      </c>
      <c r="D89" s="54">
        <v>1.6770287672989117</v>
      </c>
      <c r="F89" s="53" t="s">
        <v>98</v>
      </c>
      <c r="G89" s="55">
        <v>2536</v>
      </c>
      <c r="H89" s="55">
        <v>188713000</v>
      </c>
    </row>
    <row r="90" spans="1:8" x14ac:dyDescent="0.3">
      <c r="A90" s="53" t="s">
        <v>99</v>
      </c>
      <c r="B90" s="53">
        <v>634</v>
      </c>
      <c r="C90" s="53">
        <v>75421000</v>
      </c>
      <c r="D90" s="54">
        <v>1.6699527652025217</v>
      </c>
      <c r="F90" s="53" t="s">
        <v>99</v>
      </c>
      <c r="G90" s="55">
        <v>634</v>
      </c>
      <c r="H90" s="55">
        <v>75421000</v>
      </c>
    </row>
    <row r="91" spans="1:8" x14ac:dyDescent="0.3">
      <c r="A91" s="53" t="s">
        <v>100</v>
      </c>
      <c r="B91" s="53">
        <v>183</v>
      </c>
      <c r="C91" s="53">
        <v>31666000</v>
      </c>
      <c r="D91" s="54">
        <v>1.6651969578839672</v>
      </c>
      <c r="F91" s="53" t="s">
        <v>100</v>
      </c>
      <c r="G91" s="55">
        <v>183</v>
      </c>
      <c r="H91" s="55">
        <v>31666000</v>
      </c>
    </row>
    <row r="92" spans="1:8" x14ac:dyDescent="0.3">
      <c r="A92" s="53" t="s">
        <v>101</v>
      </c>
      <c r="B92" s="53">
        <v>116</v>
      </c>
      <c r="C92" s="53">
        <v>27967000</v>
      </c>
      <c r="D92" s="54">
        <v>1.6285401946118909</v>
      </c>
      <c r="F92" s="53" t="s">
        <v>101</v>
      </c>
      <c r="G92" s="55">
        <v>116</v>
      </c>
      <c r="H92" s="55">
        <v>27967000</v>
      </c>
    </row>
    <row r="93" spans="1:8" x14ac:dyDescent="0.3">
      <c r="A93" s="53" t="s">
        <v>102</v>
      </c>
      <c r="B93" s="53">
        <v>69</v>
      </c>
      <c r="C93" s="53">
        <v>32292000</v>
      </c>
      <c r="D93" s="54">
        <v>1.56</v>
      </c>
      <c r="F93" s="53" t="s">
        <v>102</v>
      </c>
      <c r="G93" s="55">
        <v>69</v>
      </c>
      <c r="H93" s="55">
        <v>32292000</v>
      </c>
    </row>
    <row r="94" spans="1:8" x14ac:dyDescent="0.3">
      <c r="A94" s="51" t="s">
        <v>56</v>
      </c>
      <c r="B94" s="51" t="s">
        <v>74</v>
      </c>
      <c r="C94" s="51" t="s">
        <v>75</v>
      </c>
      <c r="D94" s="52" t="s">
        <v>59</v>
      </c>
      <c r="E94">
        <v>9500</v>
      </c>
      <c r="G94" s="2"/>
      <c r="H94" s="2"/>
    </row>
    <row r="95" spans="1:8" x14ac:dyDescent="0.3">
      <c r="A95" s="53" t="s">
        <v>91</v>
      </c>
      <c r="B95" s="53"/>
      <c r="C95" s="53"/>
      <c r="D95" s="54"/>
      <c r="G95" s="2"/>
      <c r="H95" s="2"/>
    </row>
    <row r="96" spans="1:8" x14ac:dyDescent="0.3">
      <c r="A96" s="53" t="s">
        <v>103</v>
      </c>
      <c r="B96" s="53"/>
      <c r="C96" s="53"/>
      <c r="D96" s="54"/>
      <c r="G96" s="2"/>
      <c r="H96" s="2"/>
    </row>
    <row r="97" spans="1:8" x14ac:dyDescent="0.3">
      <c r="A97" s="53" t="s">
        <v>109</v>
      </c>
      <c r="B97" s="53"/>
      <c r="C97" s="53"/>
      <c r="D97" s="54"/>
      <c r="F97" s="53" t="s">
        <v>93</v>
      </c>
      <c r="G97" s="2">
        <v>175638.38212991509</v>
      </c>
      <c r="H97" s="2">
        <v>787513407.03434634</v>
      </c>
    </row>
    <row r="98" spans="1:8" x14ac:dyDescent="0.3">
      <c r="A98" s="53" t="s">
        <v>94</v>
      </c>
      <c r="B98" s="53"/>
      <c r="C98" s="53"/>
      <c r="D98" s="54"/>
      <c r="F98" s="53" t="s">
        <v>94</v>
      </c>
      <c r="G98" s="2">
        <v>46384.637068507611</v>
      </c>
      <c r="H98" s="2">
        <v>340852110.73888522</v>
      </c>
    </row>
    <row r="99" spans="1:8" x14ac:dyDescent="0.3">
      <c r="A99" s="53" t="s">
        <v>95</v>
      </c>
      <c r="B99" s="53"/>
      <c r="C99" s="53"/>
      <c r="D99" s="54"/>
      <c r="F99" s="53" t="s">
        <v>95</v>
      </c>
      <c r="G99" s="2">
        <v>31607.150831721468</v>
      </c>
      <c r="H99" s="2">
        <v>377341757.13733077</v>
      </c>
    </row>
    <row r="100" spans="1:8" x14ac:dyDescent="0.3">
      <c r="A100" s="53" t="s">
        <v>96</v>
      </c>
      <c r="B100" s="53">
        <v>21878</v>
      </c>
      <c r="C100" s="53">
        <v>444984000</v>
      </c>
      <c r="D100" s="54">
        <v>1.9856571781344088</v>
      </c>
      <c r="F100" s="53" t="s">
        <v>96</v>
      </c>
      <c r="G100" s="55">
        <v>21878</v>
      </c>
      <c r="H100" s="55">
        <v>444984000</v>
      </c>
    </row>
    <row r="101" spans="1:8" x14ac:dyDescent="0.3">
      <c r="A101" s="53" t="s">
        <v>97</v>
      </c>
      <c r="B101" s="53">
        <v>6874</v>
      </c>
      <c r="C101" s="53">
        <v>274650000</v>
      </c>
      <c r="D101" s="54">
        <v>1.7777511721978594</v>
      </c>
      <c r="F101" s="53" t="s">
        <v>97</v>
      </c>
      <c r="G101" s="55">
        <v>6874</v>
      </c>
      <c r="H101" s="55">
        <v>274650000</v>
      </c>
    </row>
    <row r="102" spans="1:8" x14ac:dyDescent="0.3">
      <c r="A102" s="53" t="s">
        <v>98</v>
      </c>
      <c r="B102" s="53">
        <v>1354</v>
      </c>
      <c r="C102" s="53">
        <v>100431000</v>
      </c>
      <c r="D102" s="54">
        <v>1.6877804766358133</v>
      </c>
      <c r="F102" s="53" t="s">
        <v>98</v>
      </c>
      <c r="G102" s="55">
        <v>1354</v>
      </c>
      <c r="H102" s="55">
        <v>100431000</v>
      </c>
    </row>
    <row r="103" spans="1:8" x14ac:dyDescent="0.3">
      <c r="A103" s="53" t="s">
        <v>99</v>
      </c>
      <c r="B103" s="53">
        <v>358</v>
      </c>
      <c r="C103" s="53">
        <v>42995000</v>
      </c>
      <c r="D103" s="54">
        <v>1.6600632705688867</v>
      </c>
      <c r="F103" s="53" t="s">
        <v>99</v>
      </c>
      <c r="G103" s="55">
        <v>358</v>
      </c>
      <c r="H103" s="55">
        <v>42995000</v>
      </c>
    </row>
    <row r="104" spans="1:8" x14ac:dyDescent="0.3">
      <c r="A104" s="53" t="s">
        <v>100</v>
      </c>
      <c r="B104" s="53">
        <v>108</v>
      </c>
      <c r="C104" s="53">
        <v>18294000</v>
      </c>
      <c r="D104" s="54">
        <v>1.6311512246870943</v>
      </c>
      <c r="F104" s="53" t="s">
        <v>100</v>
      </c>
      <c r="G104" s="55">
        <v>108</v>
      </c>
      <c r="H104" s="55">
        <v>18294000</v>
      </c>
    </row>
    <row r="105" spans="1:8" x14ac:dyDescent="0.3">
      <c r="A105" s="53" t="s">
        <v>101</v>
      </c>
      <c r="B105" s="53">
        <v>66</v>
      </c>
      <c r="C105" s="53">
        <v>15742000</v>
      </c>
      <c r="D105" s="54">
        <v>1.6259583060450937</v>
      </c>
      <c r="F105" s="53" t="s">
        <v>101</v>
      </c>
      <c r="G105" s="55">
        <v>66</v>
      </c>
      <c r="H105" s="55">
        <v>15742000</v>
      </c>
    </row>
    <row r="106" spans="1:8" x14ac:dyDescent="0.3">
      <c r="A106" s="53" t="s">
        <v>102</v>
      </c>
      <c r="B106" s="53">
        <v>35</v>
      </c>
      <c r="C106" s="53">
        <v>17104000</v>
      </c>
      <c r="D106" s="54">
        <v>1.6289523809523809</v>
      </c>
      <c r="F106" s="53" t="s">
        <v>102</v>
      </c>
      <c r="G106" s="55">
        <v>35</v>
      </c>
      <c r="H106" s="55">
        <v>17104000</v>
      </c>
    </row>
    <row r="107" spans="1:8" x14ac:dyDescent="0.3">
      <c r="A107" s="51" t="s">
        <v>56</v>
      </c>
      <c r="B107" s="51" t="s">
        <v>76</v>
      </c>
      <c r="C107" s="51" t="s">
        <v>77</v>
      </c>
      <c r="D107" s="52" t="s">
        <v>59</v>
      </c>
      <c r="E107">
        <v>10600</v>
      </c>
      <c r="G107" s="2"/>
      <c r="H107" s="2"/>
    </row>
    <row r="108" spans="1:8" x14ac:dyDescent="0.3">
      <c r="A108" s="53" t="s">
        <v>91</v>
      </c>
      <c r="B108" s="53"/>
      <c r="C108" s="53"/>
      <c r="D108" s="54"/>
      <c r="G108" s="2"/>
      <c r="H108" s="2"/>
    </row>
    <row r="109" spans="1:8" x14ac:dyDescent="0.3">
      <c r="A109" s="53" t="s">
        <v>103</v>
      </c>
      <c r="B109" s="53"/>
      <c r="C109" s="53"/>
      <c r="D109" s="54"/>
      <c r="G109" s="2"/>
      <c r="H109" s="2"/>
    </row>
    <row r="110" spans="1:8" x14ac:dyDescent="0.3">
      <c r="A110" s="53" t="s">
        <v>110</v>
      </c>
      <c r="B110" s="53"/>
      <c r="C110" s="53"/>
      <c r="D110" s="54"/>
      <c r="F110" s="53" t="s">
        <v>93</v>
      </c>
      <c r="G110" s="2">
        <v>71506.128057004913</v>
      </c>
      <c r="H110" s="2">
        <v>320613489.18799353</v>
      </c>
    </row>
    <row r="111" spans="1:8" x14ac:dyDescent="0.3">
      <c r="A111" s="53" t="s">
        <v>94</v>
      </c>
      <c r="B111" s="53"/>
      <c r="C111" s="53"/>
      <c r="D111" s="54"/>
      <c r="F111" s="53" t="s">
        <v>94</v>
      </c>
      <c r="G111" s="2">
        <v>18884.174164420754</v>
      </c>
      <c r="H111" s="2">
        <v>138768157.52588218</v>
      </c>
    </row>
    <row r="112" spans="1:8" x14ac:dyDescent="0.3">
      <c r="A112" s="53" t="s">
        <v>95</v>
      </c>
      <c r="B112" s="53"/>
      <c r="C112" s="53"/>
      <c r="D112" s="54"/>
      <c r="F112" s="53" t="s">
        <v>95</v>
      </c>
      <c r="G112" s="2">
        <v>12867.944622823983</v>
      </c>
      <c r="H112" s="2">
        <v>153623870.13539651</v>
      </c>
    </row>
    <row r="113" spans="1:8" x14ac:dyDescent="0.3">
      <c r="A113" s="53" t="s">
        <v>96</v>
      </c>
      <c r="B113" s="53">
        <v>8907</v>
      </c>
      <c r="C113" s="53">
        <v>182818000</v>
      </c>
      <c r="D113" s="54">
        <v>2.1205774310232695</v>
      </c>
      <c r="F113" s="53" t="s">
        <v>96</v>
      </c>
      <c r="G113" s="55">
        <v>8907</v>
      </c>
      <c r="H113" s="55">
        <v>182818000</v>
      </c>
    </row>
    <row r="114" spans="1:8" x14ac:dyDescent="0.3">
      <c r="A114" s="53" t="s">
        <v>97</v>
      </c>
      <c r="B114" s="53">
        <v>3178</v>
      </c>
      <c r="C114" s="53">
        <v>127044000</v>
      </c>
      <c r="D114" s="54">
        <v>1.8742297669286443</v>
      </c>
      <c r="F114" s="53" t="s">
        <v>97</v>
      </c>
      <c r="G114" s="55">
        <v>3178</v>
      </c>
      <c r="H114" s="55">
        <v>127044000</v>
      </c>
    </row>
    <row r="115" spans="1:8" x14ac:dyDescent="0.3">
      <c r="A115" s="53" t="s">
        <v>98</v>
      </c>
      <c r="B115" s="53">
        <v>661</v>
      </c>
      <c r="C115" s="53">
        <v>49249000</v>
      </c>
      <c r="D115" s="54">
        <v>1.8480535132798517</v>
      </c>
      <c r="F115" s="53" t="s">
        <v>98</v>
      </c>
      <c r="G115" s="55">
        <v>661</v>
      </c>
      <c r="H115" s="55">
        <v>49249000</v>
      </c>
    </row>
    <row r="116" spans="1:8" x14ac:dyDescent="0.3">
      <c r="A116" s="53" t="s">
        <v>99</v>
      </c>
      <c r="B116" s="53">
        <v>174</v>
      </c>
      <c r="C116" s="53">
        <v>29953000</v>
      </c>
      <c r="D116" s="54">
        <v>1.9529275142661171</v>
      </c>
      <c r="F116" s="53" t="s">
        <v>99</v>
      </c>
      <c r="G116" s="55">
        <v>174</v>
      </c>
      <c r="H116" s="55">
        <v>29953000</v>
      </c>
    </row>
    <row r="117" spans="1:8" x14ac:dyDescent="0.3">
      <c r="A117" s="53" t="s">
        <v>100</v>
      </c>
      <c r="B117" s="53">
        <v>52</v>
      </c>
      <c r="C117" s="53">
        <v>8706000</v>
      </c>
      <c r="D117" s="54">
        <v>1.5441012641199294</v>
      </c>
      <c r="F117" s="53" t="s">
        <v>100</v>
      </c>
      <c r="G117" s="55">
        <v>52</v>
      </c>
      <c r="H117" s="55">
        <v>8706000</v>
      </c>
    </row>
    <row r="118" spans="1:8" x14ac:dyDescent="0.3">
      <c r="A118" s="53" t="s">
        <v>101</v>
      </c>
      <c r="B118" s="53">
        <v>42</v>
      </c>
      <c r="C118" s="53">
        <v>10032000</v>
      </c>
      <c r="D118" s="54">
        <v>1.4410296434330825</v>
      </c>
      <c r="F118" s="53" t="s">
        <v>101</v>
      </c>
      <c r="G118" s="55">
        <v>42</v>
      </c>
      <c r="H118" s="55">
        <v>10032000</v>
      </c>
    </row>
    <row r="119" spans="1:8" x14ac:dyDescent="0.3">
      <c r="A119" s="53" t="s">
        <v>102</v>
      </c>
      <c r="B119" s="53">
        <v>17</v>
      </c>
      <c r="C119" s="53">
        <v>6973000</v>
      </c>
      <c r="D119" s="54">
        <v>1.3672549019607843</v>
      </c>
      <c r="F119" s="53" t="s">
        <v>102</v>
      </c>
      <c r="G119" s="55">
        <v>17</v>
      </c>
      <c r="H119" s="55">
        <v>6973000</v>
      </c>
    </row>
    <row r="120" spans="1:8" x14ac:dyDescent="0.3">
      <c r="A120" s="51" t="s">
        <v>56</v>
      </c>
      <c r="B120" s="51" t="s">
        <v>78</v>
      </c>
      <c r="C120" s="51" t="s">
        <v>79</v>
      </c>
      <c r="D120" s="52" t="s">
        <v>59</v>
      </c>
      <c r="E120">
        <v>11700</v>
      </c>
      <c r="G120" s="2"/>
      <c r="H120" s="2"/>
    </row>
    <row r="121" spans="1:8" x14ac:dyDescent="0.3">
      <c r="A121" s="53" t="s">
        <v>91</v>
      </c>
      <c r="B121" s="53"/>
      <c r="C121" s="53"/>
      <c r="D121" s="54"/>
      <c r="G121" s="2"/>
      <c r="H121" s="2"/>
    </row>
    <row r="122" spans="1:8" x14ac:dyDescent="0.3">
      <c r="A122" s="53" t="s">
        <v>103</v>
      </c>
      <c r="B122" s="53"/>
      <c r="C122" s="53"/>
      <c r="D122" s="54"/>
      <c r="G122" s="2"/>
      <c r="H122" s="2"/>
    </row>
    <row r="123" spans="1:8" x14ac:dyDescent="0.3">
      <c r="A123" s="53" t="s">
        <v>111</v>
      </c>
      <c r="B123" s="53"/>
      <c r="C123" s="53"/>
      <c r="D123" s="54"/>
      <c r="F123" s="53" t="s">
        <v>93</v>
      </c>
      <c r="G123" s="2">
        <v>30546.852728966394</v>
      </c>
      <c r="H123" s="2">
        <v>136963548.48549625</v>
      </c>
    </row>
    <row r="124" spans="1:8" x14ac:dyDescent="0.3">
      <c r="A124" s="53" t="s">
        <v>94</v>
      </c>
      <c r="B124" s="53"/>
      <c r="C124" s="53"/>
      <c r="D124" s="54"/>
      <c r="F124" s="53" t="s">
        <v>94</v>
      </c>
      <c r="G124" s="2">
        <v>8067.1699444954493</v>
      </c>
      <c r="H124" s="2">
        <v>59280660.085997716</v>
      </c>
    </row>
    <row r="125" spans="1:8" x14ac:dyDescent="0.3">
      <c r="A125" s="53" t="s">
        <v>95</v>
      </c>
      <c r="B125" s="53"/>
      <c r="C125" s="53"/>
      <c r="D125" s="54"/>
      <c r="F125" s="53" t="s">
        <v>95</v>
      </c>
      <c r="G125" s="2">
        <v>5497.0842359767885</v>
      </c>
      <c r="H125" s="2">
        <v>65626903.094777554</v>
      </c>
    </row>
    <row r="126" spans="1:8" x14ac:dyDescent="0.3">
      <c r="A126" s="53" t="s">
        <v>96</v>
      </c>
      <c r="B126" s="53">
        <v>3805</v>
      </c>
      <c r="C126" s="53">
        <v>78659000</v>
      </c>
      <c r="D126" s="54">
        <v>2.1476614747767311</v>
      </c>
      <c r="F126" s="53" t="s">
        <v>96</v>
      </c>
      <c r="G126" s="55">
        <v>3805</v>
      </c>
      <c r="H126" s="55">
        <v>78659000</v>
      </c>
    </row>
    <row r="127" spans="1:8" x14ac:dyDescent="0.3">
      <c r="A127" s="53" t="s">
        <v>97</v>
      </c>
      <c r="B127" s="53">
        <v>1424</v>
      </c>
      <c r="C127" s="53">
        <v>57696000</v>
      </c>
      <c r="D127" s="54">
        <v>1.848723431333771</v>
      </c>
      <c r="F127" s="53" t="s">
        <v>97</v>
      </c>
      <c r="G127" s="55">
        <v>1424</v>
      </c>
      <c r="H127" s="55">
        <v>57696000</v>
      </c>
    </row>
    <row r="128" spans="1:8" x14ac:dyDescent="0.3">
      <c r="A128" s="53" t="s">
        <v>98</v>
      </c>
      <c r="B128" s="53">
        <v>336</v>
      </c>
      <c r="C128" s="53">
        <v>25106000</v>
      </c>
      <c r="D128" s="54">
        <v>1.6815960666114995</v>
      </c>
      <c r="F128" s="53" t="s">
        <v>98</v>
      </c>
      <c r="G128" s="55">
        <v>336</v>
      </c>
      <c r="H128" s="55">
        <v>25106000</v>
      </c>
    </row>
    <row r="129" spans="1:8" x14ac:dyDescent="0.3">
      <c r="A129" s="53" t="s">
        <v>99</v>
      </c>
      <c r="B129" s="53">
        <v>86</v>
      </c>
      <c r="C129" s="53">
        <v>10522000</v>
      </c>
      <c r="D129" s="54">
        <v>1.6706600016690059</v>
      </c>
      <c r="F129" s="53" t="s">
        <v>99</v>
      </c>
      <c r="G129" s="55">
        <v>86</v>
      </c>
      <c r="H129" s="55">
        <v>10522000</v>
      </c>
    </row>
    <row r="130" spans="1:8" x14ac:dyDescent="0.3">
      <c r="A130" s="53" t="s">
        <v>100</v>
      </c>
      <c r="B130" s="53">
        <v>27</v>
      </c>
      <c r="C130" s="53">
        <v>4633000</v>
      </c>
      <c r="D130" s="54">
        <v>1.6594638371626289</v>
      </c>
      <c r="F130" s="53" t="s">
        <v>100</v>
      </c>
      <c r="G130" s="55">
        <v>27</v>
      </c>
      <c r="H130" s="55">
        <v>4633000</v>
      </c>
    </row>
    <row r="131" spans="1:8" x14ac:dyDescent="0.3">
      <c r="A131" s="53" t="s">
        <v>101</v>
      </c>
      <c r="B131" s="53">
        <v>14</v>
      </c>
      <c r="C131" s="53">
        <v>3206000</v>
      </c>
      <c r="D131" s="54">
        <v>1.7666616669166542</v>
      </c>
      <c r="F131" s="53" t="s">
        <v>101</v>
      </c>
      <c r="G131" s="55">
        <v>14</v>
      </c>
      <c r="H131" s="55">
        <v>3206000</v>
      </c>
    </row>
    <row r="132" spans="1:8" x14ac:dyDescent="0.3">
      <c r="A132" s="53" t="s">
        <v>102</v>
      </c>
      <c r="B132" s="53">
        <v>6</v>
      </c>
      <c r="C132" s="53">
        <v>3861000</v>
      </c>
      <c r="D132" s="54">
        <v>2.145</v>
      </c>
      <c r="F132" s="53" t="s">
        <v>102</v>
      </c>
      <c r="G132" s="55">
        <v>6</v>
      </c>
      <c r="H132" s="55">
        <v>3861000</v>
      </c>
    </row>
    <row r="133" spans="1:8" x14ac:dyDescent="0.3">
      <c r="A133" s="51" t="s">
        <v>56</v>
      </c>
      <c r="B133" s="51" t="s">
        <v>80</v>
      </c>
      <c r="C133" s="51" t="s">
        <v>81</v>
      </c>
      <c r="D133" s="52" t="s">
        <v>59</v>
      </c>
      <c r="E133">
        <v>12800</v>
      </c>
      <c r="G133" s="2"/>
      <c r="H133" s="2"/>
    </row>
    <row r="134" spans="1:8" x14ac:dyDescent="0.3">
      <c r="A134" s="53" t="s">
        <v>91</v>
      </c>
      <c r="B134" s="53"/>
      <c r="C134" s="53"/>
      <c r="D134" s="54"/>
      <c r="G134" s="2"/>
      <c r="H134" s="2"/>
    </row>
    <row r="135" spans="1:8" x14ac:dyDescent="0.3">
      <c r="A135" s="53" t="s">
        <v>103</v>
      </c>
      <c r="B135" s="53"/>
      <c r="C135" s="53"/>
      <c r="D135" s="54"/>
      <c r="G135" s="2"/>
      <c r="H135" s="2"/>
    </row>
    <row r="136" spans="1:8" x14ac:dyDescent="0.3">
      <c r="A136" s="53" t="s">
        <v>112</v>
      </c>
      <c r="B136" s="53"/>
      <c r="C136" s="53"/>
      <c r="D136" s="54"/>
      <c r="F136" s="53" t="s">
        <v>93</v>
      </c>
      <c r="G136" s="2">
        <v>11745.084242438326</v>
      </c>
      <c r="H136" s="2">
        <v>52661674.489955582</v>
      </c>
    </row>
    <row r="137" spans="1:8" x14ac:dyDescent="0.3">
      <c r="A137" s="53" t="s">
        <v>94</v>
      </c>
      <c r="B137" s="53"/>
      <c r="C137" s="53"/>
      <c r="D137" s="54"/>
      <c r="F137" s="53" t="s">
        <v>94</v>
      </c>
      <c r="G137" s="2">
        <v>3101.7791402882631</v>
      </c>
      <c r="H137" s="2">
        <v>22793063.260398068</v>
      </c>
    </row>
    <row r="138" spans="1:8" x14ac:dyDescent="0.3">
      <c r="A138" s="53" t="s">
        <v>95</v>
      </c>
      <c r="B138" s="53"/>
      <c r="C138" s="53"/>
      <c r="D138" s="54"/>
      <c r="F138" s="53" t="s">
        <v>95</v>
      </c>
      <c r="G138" s="2">
        <v>2113.5963829787229</v>
      </c>
      <c r="H138" s="2">
        <v>25233156.170212757</v>
      </c>
    </row>
    <row r="139" spans="1:8" x14ac:dyDescent="0.3">
      <c r="A139" s="53" t="s">
        <v>96</v>
      </c>
      <c r="B139" s="53">
        <v>1463</v>
      </c>
      <c r="C139" s="53">
        <v>31284000</v>
      </c>
      <c r="D139" s="54">
        <v>2.2779663094973719</v>
      </c>
      <c r="F139" s="53" t="s">
        <v>96</v>
      </c>
      <c r="G139" s="55">
        <v>1463</v>
      </c>
      <c r="H139" s="55">
        <v>31284000</v>
      </c>
    </row>
    <row r="140" spans="1:8" x14ac:dyDescent="0.3">
      <c r="A140" s="53" t="s">
        <v>97</v>
      </c>
      <c r="B140" s="53">
        <v>624</v>
      </c>
      <c r="C140" s="53">
        <v>25185000</v>
      </c>
      <c r="D140" s="54">
        <v>1.8818538885769747</v>
      </c>
      <c r="F140" s="53" t="s">
        <v>97</v>
      </c>
      <c r="G140" s="55">
        <v>624</v>
      </c>
      <c r="H140" s="55">
        <v>25185000</v>
      </c>
    </row>
    <row r="141" spans="1:8" x14ac:dyDescent="0.3">
      <c r="A141" s="53" t="s">
        <v>98</v>
      </c>
      <c r="B141" s="53">
        <v>162</v>
      </c>
      <c r="C141" s="53">
        <v>12100000</v>
      </c>
      <c r="D141" s="54">
        <v>1.7132321264428279</v>
      </c>
      <c r="F141" s="53" t="s">
        <v>98</v>
      </c>
      <c r="G141" s="55">
        <v>162</v>
      </c>
      <c r="H141" s="55">
        <v>12100000</v>
      </c>
    </row>
    <row r="142" spans="1:8" x14ac:dyDescent="0.3">
      <c r="A142" s="53" t="s">
        <v>99</v>
      </c>
      <c r="B142" s="53">
        <v>39</v>
      </c>
      <c r="C142" s="53">
        <v>4702000</v>
      </c>
      <c r="D142" s="54">
        <v>1.8561780185617802</v>
      </c>
      <c r="F142" s="53" t="s">
        <v>99</v>
      </c>
      <c r="G142" s="55">
        <v>39</v>
      </c>
      <c r="H142" s="55">
        <v>4702000</v>
      </c>
    </row>
    <row r="143" spans="1:8" x14ac:dyDescent="0.3">
      <c r="A143" s="53" t="s">
        <v>100</v>
      </c>
      <c r="B143" s="53">
        <v>7</v>
      </c>
      <c r="C143" s="53">
        <v>1195000</v>
      </c>
      <c r="D143" s="54">
        <v>2.2948470101993199</v>
      </c>
      <c r="F143" s="53" t="s">
        <v>100</v>
      </c>
      <c r="G143" s="55">
        <v>7</v>
      </c>
      <c r="H143" s="55">
        <v>1195000</v>
      </c>
    </row>
    <row r="144" spans="1:8" x14ac:dyDescent="0.3">
      <c r="A144" s="53" t="s">
        <v>101</v>
      </c>
      <c r="B144" s="53">
        <v>3</v>
      </c>
      <c r="C144" s="53">
        <v>680000</v>
      </c>
      <c r="D144" s="54">
        <v>2.3959913115455338</v>
      </c>
      <c r="F144" s="53" t="s">
        <v>101</v>
      </c>
      <c r="G144" s="55">
        <v>3</v>
      </c>
      <c r="H144" s="55">
        <v>680000</v>
      </c>
    </row>
    <row r="145" spans="1:8" x14ac:dyDescent="0.3">
      <c r="A145" s="53" t="s">
        <v>102</v>
      </c>
      <c r="B145" s="53">
        <v>6</v>
      </c>
      <c r="C145" s="53">
        <v>3633000</v>
      </c>
      <c r="D145" s="54">
        <v>2.0183333333333335</v>
      </c>
      <c r="F145" s="53" t="s">
        <v>102</v>
      </c>
      <c r="G145" s="55">
        <v>6</v>
      </c>
      <c r="H145" s="55">
        <v>3633000</v>
      </c>
    </row>
    <row r="146" spans="1:8" x14ac:dyDescent="0.3">
      <c r="A146" s="51" t="s">
        <v>56</v>
      </c>
      <c r="B146" s="51" t="s">
        <v>82</v>
      </c>
      <c r="C146" s="51" t="s">
        <v>83</v>
      </c>
      <c r="D146" s="52" t="s">
        <v>59</v>
      </c>
      <c r="E146">
        <v>13900</v>
      </c>
      <c r="G146" s="2"/>
      <c r="H146" s="2"/>
    </row>
    <row r="147" spans="1:8" x14ac:dyDescent="0.3">
      <c r="A147" s="53" t="s">
        <v>91</v>
      </c>
      <c r="B147" s="53"/>
      <c r="C147" s="53"/>
      <c r="D147" s="54"/>
      <c r="G147" s="2"/>
      <c r="H147" s="2"/>
    </row>
    <row r="148" spans="1:8" x14ac:dyDescent="0.3">
      <c r="A148" s="53" t="s">
        <v>103</v>
      </c>
      <c r="B148" s="53"/>
      <c r="C148" s="53"/>
      <c r="D148" s="54"/>
      <c r="G148" s="2"/>
      <c r="H148" s="2"/>
    </row>
    <row r="149" spans="1:8" x14ac:dyDescent="0.3">
      <c r="A149" s="53" t="s">
        <v>113</v>
      </c>
      <c r="B149" s="53"/>
      <c r="C149" s="53"/>
      <c r="D149" s="54"/>
      <c r="F149" s="53" t="s">
        <v>93</v>
      </c>
      <c r="G149" s="2">
        <v>4479.6698614358074</v>
      </c>
      <c r="H149" s="2">
        <v>20085587.399449907</v>
      </c>
    </row>
    <row r="150" spans="1:8" x14ac:dyDescent="0.3">
      <c r="A150" s="53" t="s">
        <v>94</v>
      </c>
      <c r="B150" s="53"/>
      <c r="C150" s="53"/>
      <c r="D150" s="54"/>
      <c r="F150" s="53" t="s">
        <v>94</v>
      </c>
      <c r="G150" s="2">
        <v>1183.0435818734454</v>
      </c>
      <c r="H150" s="2">
        <v>8693458.1676706225</v>
      </c>
    </row>
    <row r="151" spans="1:8" x14ac:dyDescent="0.3">
      <c r="A151" s="53" t="s">
        <v>95</v>
      </c>
      <c r="B151" s="53"/>
      <c r="C151" s="53"/>
      <c r="D151" s="54"/>
      <c r="F151" s="53" t="s">
        <v>95</v>
      </c>
      <c r="G151" s="2">
        <v>806.14270793036724</v>
      </c>
      <c r="H151" s="2">
        <v>9624129.2843326833</v>
      </c>
    </row>
    <row r="152" spans="1:8" x14ac:dyDescent="0.3">
      <c r="A152" s="53" t="s">
        <v>96</v>
      </c>
      <c r="B152" s="53">
        <v>558</v>
      </c>
      <c r="C152" s="53">
        <v>12124000</v>
      </c>
      <c r="D152" s="54">
        <v>2.4302699995145791</v>
      </c>
      <c r="F152" s="53" t="s">
        <v>96</v>
      </c>
      <c r="G152" s="55">
        <v>558</v>
      </c>
      <c r="H152" s="55">
        <v>12124000</v>
      </c>
    </row>
    <row r="153" spans="1:8" x14ac:dyDescent="0.3">
      <c r="A153" s="53" t="s">
        <v>97</v>
      </c>
      <c r="B153" s="53">
        <v>275</v>
      </c>
      <c r="C153" s="53">
        <v>11221000</v>
      </c>
      <c r="D153" s="54">
        <v>1.9206108675000364</v>
      </c>
      <c r="F153" s="53" t="s">
        <v>97</v>
      </c>
      <c r="G153" s="55">
        <v>275</v>
      </c>
      <c r="H153" s="55">
        <v>11221000</v>
      </c>
    </row>
    <row r="154" spans="1:8" x14ac:dyDescent="0.3">
      <c r="A154" s="53" t="s">
        <v>98</v>
      </c>
      <c r="B154" s="53">
        <v>80</v>
      </c>
      <c r="C154" s="53">
        <v>6004000</v>
      </c>
      <c r="D154" s="54">
        <v>1.6371540415778658</v>
      </c>
      <c r="F154" s="53" t="s">
        <v>98</v>
      </c>
      <c r="G154" s="55">
        <v>80</v>
      </c>
      <c r="H154" s="55">
        <v>6004000</v>
      </c>
    </row>
    <row r="155" spans="1:8" x14ac:dyDescent="0.3">
      <c r="A155" s="53" t="s">
        <v>99</v>
      </c>
      <c r="B155" s="53">
        <v>22</v>
      </c>
      <c r="C155" s="53">
        <v>2580000</v>
      </c>
      <c r="D155" s="54">
        <v>1.52808248586906</v>
      </c>
      <c r="F155" s="53" t="s">
        <v>99</v>
      </c>
      <c r="G155" s="55">
        <v>22</v>
      </c>
      <c r="H155" s="55">
        <v>2580000</v>
      </c>
    </row>
    <row r="156" spans="1:8" x14ac:dyDescent="0.3">
      <c r="A156" s="53" t="s">
        <v>100</v>
      </c>
      <c r="B156" s="53">
        <v>7</v>
      </c>
      <c r="C156" s="53">
        <v>1178000</v>
      </c>
      <c r="D156" s="54">
        <v>1.4532364509032731</v>
      </c>
      <c r="F156" s="53" t="s">
        <v>100</v>
      </c>
      <c r="G156" s="55">
        <v>7</v>
      </c>
      <c r="H156" s="55">
        <v>1178000</v>
      </c>
    </row>
    <row r="157" spans="1:8" x14ac:dyDescent="0.3">
      <c r="A157" s="53" t="s">
        <v>101</v>
      </c>
      <c r="B157" s="53">
        <v>4</v>
      </c>
      <c r="C157" s="53">
        <v>958000</v>
      </c>
      <c r="D157" s="54">
        <v>1.4379281035948202</v>
      </c>
      <c r="F157" s="53" t="s">
        <v>101</v>
      </c>
      <c r="G157" s="55">
        <v>4</v>
      </c>
      <c r="H157" s="55">
        <v>958000</v>
      </c>
    </row>
    <row r="158" spans="1:8" x14ac:dyDescent="0.3">
      <c r="A158" s="53" t="s">
        <v>102</v>
      </c>
      <c r="B158" s="53">
        <v>1</v>
      </c>
      <c r="C158" s="53">
        <v>480000</v>
      </c>
      <c r="D158" s="54">
        <v>1.6</v>
      </c>
      <c r="F158" s="53" t="s">
        <v>102</v>
      </c>
      <c r="G158" s="55">
        <v>1</v>
      </c>
      <c r="H158" s="55">
        <v>480000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workbookViewId="0">
      <selection sqref="A1:D1"/>
    </sheetView>
  </sheetViews>
  <sheetFormatPr baseColWidth="10" defaultRowHeight="15.6" x14ac:dyDescent="0.3"/>
  <cols>
    <col min="7" max="7" width="11" bestFit="1" customWidth="1"/>
    <col min="8" max="8" width="12.19921875" customWidth="1"/>
    <col min="12" max="12" width="12.296875" bestFit="1" customWidth="1"/>
  </cols>
  <sheetData>
    <row r="1" spans="1:15" x14ac:dyDescent="0.3">
      <c r="A1" s="79" t="s">
        <v>222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3000</v>
      </c>
      <c r="M3" t="s">
        <v>7</v>
      </c>
      <c r="N3" t="s">
        <v>8</v>
      </c>
      <c r="O3" t="s">
        <v>14</v>
      </c>
    </row>
    <row r="4" spans="1:15" x14ac:dyDescent="0.3">
      <c r="A4" s="53" t="s">
        <v>114</v>
      </c>
      <c r="B4" s="53"/>
      <c r="C4" s="53"/>
      <c r="D4" s="54"/>
      <c r="I4" s="2">
        <f>J4/6.55957</f>
        <v>573.20830481266307</v>
      </c>
      <c r="J4" s="53" t="s">
        <v>116</v>
      </c>
      <c r="K4" s="2">
        <f>G6+G19+G32+G45+G58+G71+G84+G97+G110+G123+G136+G149</f>
        <v>5723368.8679375807</v>
      </c>
      <c r="L4" s="2">
        <f>H6+H19+H32+H45+H58+H71+H84+H97+H110+H123+H136+H149</f>
        <v>27606854249.465878</v>
      </c>
      <c r="M4">
        <f>1-SUM(K4:$K$13)/$K$15</f>
        <v>0.50627320075916171</v>
      </c>
      <c r="N4">
        <f>SUM(L4:$L$13)/(J4*SUM(K4:$K$13))</f>
        <v>2.1982491712400023</v>
      </c>
      <c r="O4">
        <f>(G6+G19+G45)/K4</f>
        <v>0.21913188363482192</v>
      </c>
    </row>
    <row r="5" spans="1:15" x14ac:dyDescent="0.3">
      <c r="A5" s="53" t="s">
        <v>115</v>
      </c>
      <c r="B5" s="53"/>
      <c r="C5" s="53"/>
      <c r="D5" s="54"/>
      <c r="I5" s="2">
        <f t="shared" ref="I5:I13" si="0">J5/6.55957</f>
        <v>992.44310221554156</v>
      </c>
      <c r="J5" s="53" t="s">
        <v>117</v>
      </c>
      <c r="K5" s="2">
        <f t="shared" ref="K5:L12" si="1">G7+G20+G33+G46+G59+G72+G85+G98+G111+G124+G137+G150</f>
        <v>1472724.9848215007</v>
      </c>
      <c r="L5" s="2">
        <f t="shared" si="1"/>
        <v>12174481512.619789</v>
      </c>
      <c r="M5">
        <f>1-SUM(K5:$K$13)/$K$15</f>
        <v>0.8137691463430563</v>
      </c>
      <c r="N5">
        <f>SUM(L5:$L$13)/(J5*SUM(K5:$K$13))</f>
        <v>2.1426268546236042</v>
      </c>
      <c r="O5">
        <f t="shared" ref="O5:O13" si="2">(G7+G20+G46)/K5</f>
        <v>0.21913188363482194</v>
      </c>
    </row>
    <row r="6" spans="1:15" x14ac:dyDescent="0.3">
      <c r="A6" s="53" t="s">
        <v>116</v>
      </c>
      <c r="B6" s="53">
        <v>853085</v>
      </c>
      <c r="C6" s="53">
        <v>4114883000</v>
      </c>
      <c r="D6" s="54">
        <v>1.7072873886399942</v>
      </c>
      <c r="F6" s="53" t="s">
        <v>116</v>
      </c>
      <c r="G6" s="55">
        <v>853085</v>
      </c>
      <c r="H6" s="55">
        <v>4114883000</v>
      </c>
      <c r="I6" s="2">
        <f t="shared" si="0"/>
        <v>1487.9024082371254</v>
      </c>
      <c r="J6" s="53" t="s">
        <v>118</v>
      </c>
      <c r="K6" s="2">
        <f t="shared" si="1"/>
        <v>1320333.694274147</v>
      </c>
      <c r="L6" s="2">
        <f t="shared" si="1"/>
        <v>16172880291.575092</v>
      </c>
      <c r="M6">
        <f>1-SUM(K6:$K$13)/$K$15</f>
        <v>0.892893342641084</v>
      </c>
      <c r="N6">
        <f>SUM(L6:$L$13)/(J6*SUM(K6:$K$13))</f>
        <v>1.8592144950142644</v>
      </c>
      <c r="O6">
        <f t="shared" si="2"/>
        <v>9.5303937592213492E-2</v>
      </c>
    </row>
    <row r="7" spans="1:15" x14ac:dyDescent="0.3">
      <c r="A7" s="53" t="s">
        <v>117</v>
      </c>
      <c r="B7" s="53">
        <v>219514</v>
      </c>
      <c r="C7" s="53">
        <v>1695550000</v>
      </c>
      <c r="D7" s="54">
        <v>1.6275271244626359</v>
      </c>
      <c r="F7" s="53" t="s">
        <v>117</v>
      </c>
      <c r="G7" s="55">
        <v>219514</v>
      </c>
      <c r="H7" s="55">
        <v>1695550000</v>
      </c>
      <c r="I7" s="2">
        <f t="shared" si="0"/>
        <v>2478.8210202802929</v>
      </c>
      <c r="J7" s="53" t="s">
        <v>119</v>
      </c>
      <c r="K7" s="2">
        <f t="shared" si="1"/>
        <v>516882</v>
      </c>
      <c r="L7" s="2">
        <f t="shared" si="1"/>
        <v>11062273000</v>
      </c>
      <c r="M7">
        <f>1-SUM(K7:$K$13)/$K$15</f>
        <v>0.96383010509256772</v>
      </c>
      <c r="N7">
        <f>SUM(L7:$L$13)/(J7*SUM(K7:$K$13))</f>
        <v>1.8272380796069199</v>
      </c>
      <c r="O7">
        <f t="shared" si="2"/>
        <v>8.3529703104383596E-2</v>
      </c>
    </row>
    <row r="8" spans="1:15" x14ac:dyDescent="0.3">
      <c r="A8" s="53" t="s">
        <v>118</v>
      </c>
      <c r="B8" s="53">
        <v>76457</v>
      </c>
      <c r="C8" s="53">
        <v>919642000</v>
      </c>
      <c r="D8" s="54">
        <v>1.6918483756624099</v>
      </c>
      <c r="F8" s="53" t="s">
        <v>118</v>
      </c>
      <c r="G8" s="55">
        <v>76457</v>
      </c>
      <c r="H8" s="55">
        <v>919642000</v>
      </c>
      <c r="I8" s="2">
        <f t="shared" si="0"/>
        <v>4879.8930417695065</v>
      </c>
      <c r="J8" s="53" t="s">
        <v>120</v>
      </c>
      <c r="K8" s="2">
        <f t="shared" si="1"/>
        <v>123035</v>
      </c>
      <c r="L8" s="2">
        <f t="shared" si="1"/>
        <v>5229670000</v>
      </c>
      <c r="M8">
        <f>1-SUM(K8:$K$13)/$K$15</f>
        <v>0.99160030879823391</v>
      </c>
      <c r="N8">
        <f>SUM(L8:$L$13)/(J8*SUM(K8:$K$13))</f>
        <v>1.7863520322245821</v>
      </c>
      <c r="O8">
        <f t="shared" si="2"/>
        <v>7.8497988377291009E-2</v>
      </c>
    </row>
    <row r="9" spans="1:15" x14ac:dyDescent="0.3">
      <c r="A9" s="53" t="s">
        <v>119</v>
      </c>
      <c r="B9" s="53">
        <v>24080</v>
      </c>
      <c r="C9" s="53">
        <v>510862000</v>
      </c>
      <c r="D9" s="54">
        <v>1.7171344974022729</v>
      </c>
      <c r="F9" s="53" t="s">
        <v>119</v>
      </c>
      <c r="G9" s="55">
        <v>24080</v>
      </c>
      <c r="H9" s="55">
        <v>510862000</v>
      </c>
      <c r="I9" s="2">
        <f t="shared" si="0"/>
        <v>9758.2615933666384</v>
      </c>
      <c r="J9" s="53" t="s">
        <v>121</v>
      </c>
      <c r="K9" s="2">
        <f t="shared" si="1"/>
        <v>21580</v>
      </c>
      <c r="L9" s="2">
        <f t="shared" si="1"/>
        <v>1676724000</v>
      </c>
      <c r="M9">
        <f>1-SUM(K9:$K$13)/$K$15</f>
        <v>0.99821053514182223</v>
      </c>
      <c r="N9">
        <f>SUM(L9:$L$13)/(J9*SUM(K9:$K$13))</f>
        <v>1.74023214943461</v>
      </c>
      <c r="O9">
        <f t="shared" si="2"/>
        <v>8.1927710843373497E-2</v>
      </c>
    </row>
    <row r="10" spans="1:15" x14ac:dyDescent="0.3">
      <c r="A10" s="53" t="s">
        <v>120</v>
      </c>
      <c r="B10" s="53">
        <v>4825</v>
      </c>
      <c r="C10" s="53">
        <v>203432000</v>
      </c>
      <c r="D10" s="54">
        <v>1.7167538208097011</v>
      </c>
      <c r="F10" s="53" t="s">
        <v>120</v>
      </c>
      <c r="G10" s="55">
        <v>4825</v>
      </c>
      <c r="H10" s="55">
        <v>203432000</v>
      </c>
      <c r="I10" s="2">
        <f t="shared" si="0"/>
        <v>15246.426213913412</v>
      </c>
      <c r="J10" s="53" t="s">
        <v>99</v>
      </c>
      <c r="K10" s="2">
        <f t="shared" si="1"/>
        <v>7246</v>
      </c>
      <c r="L10" s="2">
        <f t="shared" si="1"/>
        <v>862624000</v>
      </c>
      <c r="M10">
        <f>1-SUM(K10:$K$13)/$K$15</f>
        <v>0.99936995062924161</v>
      </c>
      <c r="N10">
        <f>SUM(L10:$L$13)/(J10*SUM(K10:$K$13))</f>
        <v>1.7337892713670562</v>
      </c>
      <c r="O10">
        <f t="shared" si="2"/>
        <v>8.1976262765663818E-2</v>
      </c>
    </row>
    <row r="11" spans="1:15" x14ac:dyDescent="0.3">
      <c r="A11" s="53" t="s">
        <v>121</v>
      </c>
      <c r="B11" s="53">
        <v>752</v>
      </c>
      <c r="C11" s="53">
        <v>58497000</v>
      </c>
      <c r="D11" s="54">
        <v>1.698395340013837</v>
      </c>
      <c r="F11" s="53" t="s">
        <v>121</v>
      </c>
      <c r="G11" s="55">
        <v>752</v>
      </c>
      <c r="H11" s="55">
        <v>58497000</v>
      </c>
      <c r="I11" s="2">
        <f t="shared" si="0"/>
        <v>22868.87707578393</v>
      </c>
      <c r="J11" s="53" t="s">
        <v>100</v>
      </c>
      <c r="K11" s="2">
        <f t="shared" si="1"/>
        <v>2163</v>
      </c>
      <c r="L11" s="2">
        <f t="shared" si="1"/>
        <v>370654000</v>
      </c>
      <c r="M11">
        <f>1-SUM(K11:$K$13)/$K$15</f>
        <v>0.99975925204823324</v>
      </c>
      <c r="N11">
        <f>SUM(L11:$L$13)/(J11*SUM(K11:$K$13))</f>
        <v>1.7417480506878653</v>
      </c>
      <c r="O11">
        <f t="shared" si="2"/>
        <v>8.3217753120665747E-2</v>
      </c>
    </row>
    <row r="12" spans="1:15" x14ac:dyDescent="0.3">
      <c r="A12" s="53" t="s">
        <v>99</v>
      </c>
      <c r="B12" s="53">
        <v>256</v>
      </c>
      <c r="C12" s="53">
        <v>30394000</v>
      </c>
      <c r="D12" s="54">
        <v>1.6742517667425176</v>
      </c>
      <c r="F12" s="53" t="s">
        <v>99</v>
      </c>
      <c r="G12" s="55">
        <v>256</v>
      </c>
      <c r="H12" s="55">
        <v>30394000</v>
      </c>
      <c r="I12" s="2">
        <f t="shared" si="0"/>
        <v>30491.327937654449</v>
      </c>
      <c r="J12" s="53" t="s">
        <v>101</v>
      </c>
      <c r="K12" s="2">
        <f t="shared" si="1"/>
        <v>1409</v>
      </c>
      <c r="L12" s="2">
        <f t="shared" si="1"/>
        <v>337537000</v>
      </c>
      <c r="M12">
        <f>1-SUM(K12:$K$13)/$K$15</f>
        <v>0.99987546222892321</v>
      </c>
      <c r="N12">
        <f>SUM(L12:$L$13)/(J12*SUM(K12:$K$13))</f>
        <v>1.7258412316657679</v>
      </c>
      <c r="O12">
        <f t="shared" si="2"/>
        <v>9.7941802696948188E-2</v>
      </c>
    </row>
    <row r="13" spans="1:15" x14ac:dyDescent="0.3">
      <c r="A13" s="53" t="s">
        <v>100</v>
      </c>
      <c r="B13" s="53">
        <v>69</v>
      </c>
      <c r="C13" s="53">
        <v>11923000</v>
      </c>
      <c r="D13" s="54">
        <v>1.710028855219176</v>
      </c>
      <c r="F13" s="53" t="s">
        <v>100</v>
      </c>
      <c r="G13" s="55">
        <v>69</v>
      </c>
      <c r="H13" s="55">
        <v>11923000</v>
      </c>
      <c r="I13" s="2">
        <f t="shared" si="0"/>
        <v>45734.705171223111</v>
      </c>
      <c r="J13" s="53" t="s">
        <v>102</v>
      </c>
      <c r="K13" s="2">
        <f>G15+G28+G41+G54+G67+G80+G93+G106+G119+G132+G145+G158</f>
        <v>909</v>
      </c>
      <c r="L13" s="2">
        <f>H15+H28+H41+H54+H67+H80+H93+H106+H119+H132+H145+H158</f>
        <v>462603000</v>
      </c>
      <c r="M13">
        <f>1-SUM(K13:$K$13)/$K$15</f>
        <v>0.99995116271185991</v>
      </c>
      <c r="N13">
        <f>SUM(L13:$L$13)/(J13*SUM(K13:$K$13))</f>
        <v>1.6963806380638065</v>
      </c>
      <c r="O13">
        <f t="shared" si="2"/>
        <v>0.12101210121012101</v>
      </c>
    </row>
    <row r="14" spans="1:15" x14ac:dyDescent="0.3">
      <c r="A14" s="53" t="s">
        <v>101</v>
      </c>
      <c r="B14" s="53">
        <v>41</v>
      </c>
      <c r="C14" s="53">
        <v>9922000</v>
      </c>
      <c r="D14" s="54">
        <v>1.6893521521107044</v>
      </c>
      <c r="F14" s="53" t="s">
        <v>101</v>
      </c>
      <c r="G14" s="55">
        <v>41</v>
      </c>
      <c r="H14" s="55">
        <v>9922000</v>
      </c>
    </row>
    <row r="15" spans="1:15" x14ac:dyDescent="0.3">
      <c r="A15" s="53" t="s">
        <v>102</v>
      </c>
      <c r="B15" s="53">
        <v>30</v>
      </c>
      <c r="C15" s="53">
        <v>14068000</v>
      </c>
      <c r="D15" s="54">
        <v>1.5631111111111111</v>
      </c>
      <c r="F15" s="53" t="s">
        <v>102</v>
      </c>
      <c r="G15" s="55">
        <v>30</v>
      </c>
      <c r="H15" s="55">
        <v>14068000</v>
      </c>
      <c r="K15" s="5">
        <v>18612827.096206594</v>
      </c>
    </row>
    <row r="16" spans="1:15" x14ac:dyDescent="0.3">
      <c r="A16" s="51" t="s">
        <v>56</v>
      </c>
      <c r="B16" s="51" t="s">
        <v>89</v>
      </c>
      <c r="C16" s="51" t="s">
        <v>90</v>
      </c>
      <c r="D16" s="52" t="s">
        <v>59</v>
      </c>
      <c r="E16">
        <v>4150</v>
      </c>
      <c r="G16" s="2"/>
      <c r="H16" s="2"/>
    </row>
    <row r="17" spans="1:8" x14ac:dyDescent="0.3">
      <c r="A17" s="53" t="s">
        <v>91</v>
      </c>
      <c r="B17" s="53"/>
      <c r="C17" s="53"/>
      <c r="D17" s="54"/>
      <c r="G17" s="2"/>
      <c r="H17" s="2"/>
    </row>
    <row r="18" spans="1:8" x14ac:dyDescent="0.3">
      <c r="A18" s="53" t="s">
        <v>122</v>
      </c>
      <c r="B18" s="53"/>
      <c r="C18" s="53"/>
      <c r="D18" s="54"/>
      <c r="G18" s="2"/>
      <c r="H18" s="2"/>
    </row>
    <row r="19" spans="1:8" x14ac:dyDescent="0.3">
      <c r="A19" s="53" t="s">
        <v>116</v>
      </c>
      <c r="B19" s="53"/>
      <c r="C19" s="53"/>
      <c r="D19" s="54"/>
      <c r="F19" s="53" t="s">
        <v>116</v>
      </c>
      <c r="G19" s="2">
        <v>345712.50776715839</v>
      </c>
      <c r="H19" s="2">
        <v>1667555426.5969369</v>
      </c>
    </row>
    <row r="20" spans="1:8" x14ac:dyDescent="0.3">
      <c r="A20" s="53" t="s">
        <v>117</v>
      </c>
      <c r="B20" s="53">
        <v>88958</v>
      </c>
      <c r="C20" s="53">
        <v>697462000</v>
      </c>
      <c r="D20" s="54">
        <v>1.9631689436790263</v>
      </c>
      <c r="F20" s="53" t="s">
        <v>117</v>
      </c>
      <c r="G20" s="55">
        <v>88958</v>
      </c>
      <c r="H20" s="55">
        <v>697462000</v>
      </c>
    </row>
    <row r="21" spans="1:8" x14ac:dyDescent="0.3">
      <c r="A21" s="53" t="s">
        <v>118</v>
      </c>
      <c r="B21" s="53">
        <v>44197</v>
      </c>
      <c r="C21" s="53">
        <v>535350000</v>
      </c>
      <c r="D21" s="54">
        <v>1.9763844943432787</v>
      </c>
      <c r="F21" s="53" t="s">
        <v>118</v>
      </c>
      <c r="G21" s="55">
        <v>44197</v>
      </c>
      <c r="H21" s="55">
        <v>535350000</v>
      </c>
    </row>
    <row r="22" spans="1:8" x14ac:dyDescent="0.3">
      <c r="A22" s="53" t="s">
        <v>119</v>
      </c>
      <c r="B22" s="53">
        <v>17332</v>
      </c>
      <c r="C22" s="53">
        <v>373842000</v>
      </c>
      <c r="D22" s="54">
        <v>2.0230729266499976</v>
      </c>
      <c r="F22" s="53" t="s">
        <v>119</v>
      </c>
      <c r="G22" s="55">
        <v>17332</v>
      </c>
      <c r="H22" s="55">
        <v>373842000</v>
      </c>
    </row>
    <row r="23" spans="1:8" x14ac:dyDescent="0.3">
      <c r="A23" s="53" t="s">
        <v>120</v>
      </c>
      <c r="B23" s="53">
        <v>4446</v>
      </c>
      <c r="C23" s="53">
        <v>189391000</v>
      </c>
      <c r="D23" s="54">
        <v>2.05296048128247</v>
      </c>
      <c r="F23" s="53" t="s">
        <v>120</v>
      </c>
      <c r="G23" s="55">
        <v>4446</v>
      </c>
      <c r="H23" s="55">
        <v>189391000</v>
      </c>
    </row>
    <row r="24" spans="1:8" x14ac:dyDescent="0.3">
      <c r="A24" s="53" t="s">
        <v>121</v>
      </c>
      <c r="B24" s="53">
        <v>952</v>
      </c>
      <c r="C24" s="53">
        <v>74404000</v>
      </c>
      <c r="D24" s="54">
        <v>2.072681029582613</v>
      </c>
      <c r="F24" s="53" t="s">
        <v>121</v>
      </c>
      <c r="G24" s="55">
        <v>952</v>
      </c>
      <c r="H24" s="55">
        <v>74404000</v>
      </c>
    </row>
    <row r="25" spans="1:8" x14ac:dyDescent="0.3">
      <c r="A25" s="53" t="s">
        <v>99</v>
      </c>
      <c r="B25" s="53">
        <v>310</v>
      </c>
      <c r="C25" s="53">
        <v>36331000</v>
      </c>
      <c r="D25" s="54">
        <v>2.2167251542427233</v>
      </c>
      <c r="F25" s="53" t="s">
        <v>99</v>
      </c>
      <c r="G25" s="55">
        <v>310</v>
      </c>
      <c r="H25" s="55">
        <v>36331000</v>
      </c>
    </row>
    <row r="26" spans="1:8" x14ac:dyDescent="0.3">
      <c r="A26" s="53" t="s">
        <v>100</v>
      </c>
      <c r="B26" s="53">
        <v>106</v>
      </c>
      <c r="C26" s="53">
        <v>18172000</v>
      </c>
      <c r="D26" s="54">
        <v>2.2688841500920698</v>
      </c>
      <c r="F26" s="53" t="s">
        <v>100</v>
      </c>
      <c r="G26" s="55">
        <v>106</v>
      </c>
      <c r="H26" s="55">
        <v>18172000</v>
      </c>
    </row>
    <row r="27" spans="1:8" x14ac:dyDescent="0.3">
      <c r="A27" s="53" t="s">
        <v>101</v>
      </c>
      <c r="B27" s="53">
        <v>95</v>
      </c>
      <c r="C27" s="53">
        <v>22522000</v>
      </c>
      <c r="D27" s="54">
        <v>2.2377623633788373</v>
      </c>
      <c r="F27" s="53" t="s">
        <v>101</v>
      </c>
      <c r="G27" s="55">
        <v>95</v>
      </c>
      <c r="H27" s="55">
        <v>22522000</v>
      </c>
    </row>
    <row r="28" spans="1:8" x14ac:dyDescent="0.3">
      <c r="A28" s="53" t="s">
        <v>102</v>
      </c>
      <c r="B28" s="53">
        <v>72</v>
      </c>
      <c r="C28" s="53">
        <v>52223000</v>
      </c>
      <c r="D28" s="54">
        <v>2.4177314814814816</v>
      </c>
      <c r="F28" s="53" t="s">
        <v>102</v>
      </c>
      <c r="G28" s="55">
        <v>72</v>
      </c>
      <c r="H28" s="55">
        <v>52223000</v>
      </c>
    </row>
    <row r="29" spans="1:8" x14ac:dyDescent="0.3">
      <c r="A29" s="51" t="s">
        <v>56</v>
      </c>
      <c r="B29" s="51" t="s">
        <v>64</v>
      </c>
      <c r="C29" s="51" t="s">
        <v>65</v>
      </c>
      <c r="D29" s="52" t="s">
        <v>59</v>
      </c>
      <c r="E29">
        <v>5300</v>
      </c>
      <c r="G29" s="2"/>
      <c r="H29" s="2"/>
    </row>
    <row r="30" spans="1:8" x14ac:dyDescent="0.3">
      <c r="A30" s="53" t="s">
        <v>91</v>
      </c>
      <c r="B30" s="53"/>
      <c r="C30" s="53"/>
      <c r="D30" s="54"/>
      <c r="G30" s="2"/>
      <c r="H30" s="2"/>
    </row>
    <row r="31" spans="1:8" x14ac:dyDescent="0.3">
      <c r="A31" s="53" t="s">
        <v>123</v>
      </c>
      <c r="B31" s="53"/>
      <c r="C31" s="53"/>
      <c r="D31" s="54"/>
      <c r="G31" s="2"/>
      <c r="H31" s="2"/>
    </row>
    <row r="32" spans="1:8" x14ac:dyDescent="0.3">
      <c r="A32" s="53" t="s">
        <v>116</v>
      </c>
      <c r="B32" s="53"/>
      <c r="C32" s="53"/>
      <c r="D32" s="54"/>
      <c r="F32" s="53" t="s">
        <v>116</v>
      </c>
      <c r="G32" s="2">
        <v>1730032.5395131442</v>
      </c>
      <c r="H32" s="2">
        <v>8344867728.6430607</v>
      </c>
    </row>
    <row r="33" spans="1:8" x14ac:dyDescent="0.3">
      <c r="A33" s="53" t="s">
        <v>117</v>
      </c>
      <c r="B33" s="53"/>
      <c r="C33" s="53"/>
      <c r="D33" s="54"/>
      <c r="F33" s="53" t="s">
        <v>117</v>
      </c>
      <c r="G33" s="2">
        <v>445168.25741712528</v>
      </c>
      <c r="H33" s="2">
        <v>3743515105.2348652</v>
      </c>
    </row>
    <row r="34" spans="1:8" x14ac:dyDescent="0.3">
      <c r="A34" s="53" t="s">
        <v>118</v>
      </c>
      <c r="B34" s="53">
        <v>462393</v>
      </c>
      <c r="C34" s="53">
        <v>5638500000</v>
      </c>
      <c r="D34" s="54">
        <v>1.8157358583384222</v>
      </c>
      <c r="F34" s="53" t="s">
        <v>118</v>
      </c>
      <c r="G34" s="55">
        <v>462393</v>
      </c>
      <c r="H34" s="55">
        <v>5638500000</v>
      </c>
    </row>
    <row r="35" spans="1:8" x14ac:dyDescent="0.3">
      <c r="A35" s="53" t="s">
        <v>119</v>
      </c>
      <c r="B35" s="53">
        <v>166044</v>
      </c>
      <c r="C35" s="53">
        <v>3537254000</v>
      </c>
      <c r="D35" s="54">
        <v>1.8250042315037038</v>
      </c>
      <c r="F35" s="53" t="s">
        <v>119</v>
      </c>
      <c r="G35" s="55">
        <v>166044</v>
      </c>
      <c r="H35" s="55">
        <v>3537254000</v>
      </c>
    </row>
    <row r="36" spans="1:8" x14ac:dyDescent="0.3">
      <c r="A36" s="53" t="s">
        <v>120</v>
      </c>
      <c r="B36" s="53">
        <v>37227</v>
      </c>
      <c r="C36" s="53">
        <v>1579312000</v>
      </c>
      <c r="D36" s="54">
        <v>1.8358909397950018</v>
      </c>
      <c r="F36" s="53" t="s">
        <v>120</v>
      </c>
      <c r="G36" s="55">
        <v>37227</v>
      </c>
      <c r="H36" s="55">
        <v>1579312000</v>
      </c>
    </row>
    <row r="37" spans="1:8" x14ac:dyDescent="0.3">
      <c r="A37" s="53" t="s">
        <v>121</v>
      </c>
      <c r="B37" s="53">
        <v>6505</v>
      </c>
      <c r="C37" s="53">
        <v>506235000</v>
      </c>
      <c r="D37" s="54">
        <v>1.8187616466932159</v>
      </c>
      <c r="F37" s="53" t="s">
        <v>121</v>
      </c>
      <c r="G37" s="55">
        <v>6505</v>
      </c>
      <c r="H37" s="55">
        <v>506235000</v>
      </c>
    </row>
    <row r="38" spans="1:8" x14ac:dyDescent="0.3">
      <c r="A38" s="53" t="s">
        <v>99</v>
      </c>
      <c r="B38" s="53">
        <v>2404</v>
      </c>
      <c r="C38" s="53">
        <v>287053000</v>
      </c>
      <c r="D38" s="54">
        <v>1.7842435124076526</v>
      </c>
      <c r="F38" s="53" t="s">
        <v>99</v>
      </c>
      <c r="G38" s="55">
        <v>2404</v>
      </c>
      <c r="H38" s="55">
        <v>287053000</v>
      </c>
    </row>
    <row r="39" spans="1:8" x14ac:dyDescent="0.3">
      <c r="A39" s="53" t="s">
        <v>100</v>
      </c>
      <c r="B39" s="53">
        <v>771</v>
      </c>
      <c r="C39" s="53">
        <v>132587000</v>
      </c>
      <c r="D39" s="54">
        <v>1.7650120973281425</v>
      </c>
      <c r="F39" s="53" t="s">
        <v>100</v>
      </c>
      <c r="G39" s="55">
        <v>771</v>
      </c>
      <c r="H39" s="55">
        <v>132587000</v>
      </c>
    </row>
    <row r="40" spans="1:8" x14ac:dyDescent="0.3">
      <c r="A40" s="53" t="s">
        <v>101</v>
      </c>
      <c r="B40" s="53">
        <v>522</v>
      </c>
      <c r="C40" s="53">
        <v>124998000</v>
      </c>
      <c r="D40" s="54">
        <v>1.7335559338871542</v>
      </c>
      <c r="F40" s="53" t="s">
        <v>101</v>
      </c>
      <c r="G40" s="55">
        <v>522</v>
      </c>
      <c r="H40" s="55">
        <v>124998000</v>
      </c>
    </row>
    <row r="41" spans="1:8" x14ac:dyDescent="0.3">
      <c r="A41" s="53" t="s">
        <v>102</v>
      </c>
      <c r="B41" s="53">
        <v>351</v>
      </c>
      <c r="C41" s="53">
        <v>177696000</v>
      </c>
      <c r="D41" s="54">
        <v>1.6875213675213676</v>
      </c>
      <c r="F41" s="53" t="s">
        <v>102</v>
      </c>
      <c r="G41" s="55">
        <v>351</v>
      </c>
      <c r="H41" s="55">
        <v>177696000</v>
      </c>
    </row>
    <row r="42" spans="1:8" x14ac:dyDescent="0.3">
      <c r="A42" s="51" t="s">
        <v>56</v>
      </c>
      <c r="B42" s="51" t="s">
        <v>66</v>
      </c>
      <c r="C42" s="51" t="s">
        <v>67</v>
      </c>
      <c r="D42" s="52" t="s">
        <v>59</v>
      </c>
      <c r="E42">
        <v>5300</v>
      </c>
      <c r="G42" s="2"/>
      <c r="H42" s="2"/>
    </row>
    <row r="43" spans="1:8" x14ac:dyDescent="0.3">
      <c r="A43" s="53" t="s">
        <v>91</v>
      </c>
      <c r="B43" s="53"/>
      <c r="C43" s="53"/>
      <c r="D43" s="54"/>
      <c r="G43" s="2"/>
      <c r="H43" s="2"/>
    </row>
    <row r="44" spans="1:8" x14ac:dyDescent="0.3">
      <c r="A44" s="53" t="s">
        <v>123</v>
      </c>
      <c r="B44" s="53"/>
      <c r="C44" s="53"/>
      <c r="D44" s="54"/>
      <c r="G44" s="2"/>
      <c r="H44" s="2"/>
    </row>
    <row r="45" spans="1:8" x14ac:dyDescent="0.3">
      <c r="A45" s="53" t="s">
        <v>116</v>
      </c>
      <c r="B45" s="53"/>
      <c r="C45" s="53"/>
      <c r="D45" s="54"/>
      <c r="F45" s="53" t="s">
        <v>116</v>
      </c>
      <c r="G45" s="2">
        <v>55375.093000902001</v>
      </c>
      <c r="H45" s="2">
        <v>267103546.32050803</v>
      </c>
    </row>
    <row r="46" spans="1:8" x14ac:dyDescent="0.3">
      <c r="A46" s="53" t="s">
        <v>117</v>
      </c>
      <c r="B46" s="53">
        <v>14249</v>
      </c>
      <c r="C46" s="53">
        <v>110840000</v>
      </c>
      <c r="D46" s="54">
        <v>1.705589775684311</v>
      </c>
      <c r="F46" s="53" t="s">
        <v>117</v>
      </c>
      <c r="G46" s="55">
        <v>14249</v>
      </c>
      <c r="H46" s="55">
        <v>110840000</v>
      </c>
    </row>
    <row r="47" spans="1:8" x14ac:dyDescent="0.3">
      <c r="A47" s="53" t="s">
        <v>118</v>
      </c>
      <c r="B47" s="53">
        <v>5179</v>
      </c>
      <c r="C47" s="53">
        <v>62363000</v>
      </c>
      <c r="D47" s="54">
        <v>1.7903734821294721</v>
      </c>
      <c r="F47" s="53" t="s">
        <v>118</v>
      </c>
      <c r="G47" s="55">
        <v>5179</v>
      </c>
      <c r="H47" s="55">
        <v>62363000</v>
      </c>
    </row>
    <row r="48" spans="1:8" x14ac:dyDescent="0.3">
      <c r="A48" s="53" t="s">
        <v>119</v>
      </c>
      <c r="B48" s="53">
        <v>1763</v>
      </c>
      <c r="C48" s="53">
        <v>37457000</v>
      </c>
      <c r="D48" s="54">
        <v>1.841312608961269</v>
      </c>
      <c r="F48" s="53" t="s">
        <v>119</v>
      </c>
      <c r="G48" s="55">
        <v>1763</v>
      </c>
      <c r="H48" s="55">
        <v>37457000</v>
      </c>
    </row>
    <row r="49" spans="1:8" x14ac:dyDescent="0.3">
      <c r="A49" s="53" t="s">
        <v>120</v>
      </c>
      <c r="B49" s="53">
        <v>387</v>
      </c>
      <c r="C49" s="53">
        <v>16320000</v>
      </c>
      <c r="D49" s="54">
        <v>1.904579414074802</v>
      </c>
      <c r="F49" s="53" t="s">
        <v>120</v>
      </c>
      <c r="G49" s="55">
        <v>387</v>
      </c>
      <c r="H49" s="55">
        <v>16320000</v>
      </c>
    </row>
    <row r="50" spans="1:8" x14ac:dyDescent="0.3">
      <c r="A50" s="53" t="s">
        <v>121</v>
      </c>
      <c r="B50" s="53">
        <v>64</v>
      </c>
      <c r="C50" s="53">
        <v>4946000</v>
      </c>
      <c r="D50" s="54">
        <v>2.0144340764512552</v>
      </c>
      <c r="F50" s="53" t="s">
        <v>121</v>
      </c>
      <c r="G50" s="55">
        <v>64</v>
      </c>
      <c r="H50" s="55">
        <v>4946000</v>
      </c>
    </row>
    <row r="51" spans="1:8" x14ac:dyDescent="0.3">
      <c r="A51" s="53" t="s">
        <v>99</v>
      </c>
      <c r="B51" s="53">
        <v>28</v>
      </c>
      <c r="C51" s="53">
        <v>3266000</v>
      </c>
      <c r="D51" s="54">
        <v>2.0581662763956161</v>
      </c>
      <c r="F51" s="53" t="s">
        <v>99</v>
      </c>
      <c r="G51" s="55">
        <v>28</v>
      </c>
      <c r="H51" s="55">
        <v>3266000</v>
      </c>
    </row>
    <row r="52" spans="1:8" x14ac:dyDescent="0.3">
      <c r="A52" s="53" t="s">
        <v>100</v>
      </c>
      <c r="B52" s="53">
        <v>5</v>
      </c>
      <c r="C52" s="53">
        <v>842000</v>
      </c>
      <c r="D52" s="54">
        <v>2.4820567517721042</v>
      </c>
      <c r="F52" s="53" t="s">
        <v>100</v>
      </c>
      <c r="G52" s="55">
        <v>5</v>
      </c>
      <c r="H52" s="55">
        <v>842000</v>
      </c>
    </row>
    <row r="53" spans="1:8" x14ac:dyDescent="0.3">
      <c r="A53" s="53" t="s">
        <v>101</v>
      </c>
      <c r="B53" s="53">
        <v>2</v>
      </c>
      <c r="C53" s="53">
        <v>490000</v>
      </c>
      <c r="D53" s="54">
        <v>2.3713814309284538</v>
      </c>
      <c r="F53" s="53" t="s">
        <v>101</v>
      </c>
      <c r="G53" s="55">
        <v>2</v>
      </c>
      <c r="H53" s="55">
        <v>490000</v>
      </c>
    </row>
    <row r="54" spans="1:8" x14ac:dyDescent="0.3">
      <c r="A54" s="53" t="s">
        <v>102</v>
      </c>
      <c r="B54" s="53">
        <v>8</v>
      </c>
      <c r="C54" s="53">
        <v>4253000</v>
      </c>
      <c r="D54" s="54">
        <v>1.7720833333333332</v>
      </c>
      <c r="F54" s="53" t="s">
        <v>102</v>
      </c>
      <c r="G54" s="55">
        <v>8</v>
      </c>
      <c r="H54" s="55">
        <v>4253000</v>
      </c>
    </row>
    <row r="55" spans="1:8" x14ac:dyDescent="0.3">
      <c r="A55" s="51" t="s">
        <v>56</v>
      </c>
      <c r="B55" s="51" t="s">
        <v>68</v>
      </c>
      <c r="C55" s="51" t="s">
        <v>69</v>
      </c>
      <c r="D55" s="52" t="s">
        <v>59</v>
      </c>
      <c r="E55">
        <v>6450</v>
      </c>
      <c r="G55" s="2"/>
      <c r="H55" s="2"/>
    </row>
    <row r="56" spans="1:8" x14ac:dyDescent="0.3">
      <c r="A56" s="53" t="s">
        <v>91</v>
      </c>
      <c r="B56" s="53"/>
      <c r="C56" s="53"/>
      <c r="D56" s="54"/>
      <c r="G56" s="2"/>
      <c r="H56" s="2"/>
    </row>
    <row r="57" spans="1:8" x14ac:dyDescent="0.3">
      <c r="A57" s="53" t="s">
        <v>124</v>
      </c>
      <c r="B57" s="53"/>
      <c r="C57" s="53"/>
      <c r="D57" s="54"/>
      <c r="G57" s="2"/>
      <c r="H57" s="2"/>
    </row>
    <row r="58" spans="1:8" x14ac:dyDescent="0.3">
      <c r="A58" s="53" t="s">
        <v>116</v>
      </c>
      <c r="B58" s="53"/>
      <c r="C58" s="53"/>
      <c r="D58" s="54"/>
      <c r="F58" s="53" t="s">
        <v>116</v>
      </c>
      <c r="G58" s="2">
        <v>1315447.0124001203</v>
      </c>
      <c r="H58" s="2">
        <v>6345101072.8427343</v>
      </c>
    </row>
    <row r="59" spans="1:8" x14ac:dyDescent="0.3">
      <c r="A59" s="53" t="s">
        <v>117</v>
      </c>
      <c r="B59" s="53">
        <v>338488</v>
      </c>
      <c r="C59" s="53">
        <v>2846418000</v>
      </c>
      <c r="D59" s="54">
        <v>2.0560368820840997</v>
      </c>
      <c r="F59" s="53" t="s">
        <v>117</v>
      </c>
      <c r="G59" s="55">
        <v>338488</v>
      </c>
      <c r="H59" s="55">
        <v>2846418000</v>
      </c>
    </row>
    <row r="60" spans="1:8" x14ac:dyDescent="0.3">
      <c r="A60" s="53" t="s">
        <v>118</v>
      </c>
      <c r="B60" s="53">
        <v>351585</v>
      </c>
      <c r="C60" s="53">
        <v>4281983000</v>
      </c>
      <c r="D60" s="54">
        <v>1.7180959608361028</v>
      </c>
      <c r="F60" s="53" t="s">
        <v>118</v>
      </c>
      <c r="G60" s="55">
        <v>351585</v>
      </c>
      <c r="H60" s="55">
        <v>4281983000</v>
      </c>
    </row>
    <row r="61" spans="1:8" x14ac:dyDescent="0.3">
      <c r="A61" s="53" t="s">
        <v>119</v>
      </c>
      <c r="B61" s="53">
        <v>117480</v>
      </c>
      <c r="C61" s="53">
        <v>2480653000</v>
      </c>
      <c r="D61" s="54">
        <v>1.7103883726170459</v>
      </c>
      <c r="F61" s="53" t="s">
        <v>119</v>
      </c>
      <c r="G61" s="55">
        <v>117480</v>
      </c>
      <c r="H61" s="55">
        <v>2480653000</v>
      </c>
    </row>
    <row r="62" spans="1:8" x14ac:dyDescent="0.3">
      <c r="A62" s="53" t="s">
        <v>120</v>
      </c>
      <c r="B62" s="53">
        <v>23122</v>
      </c>
      <c r="C62" s="53">
        <v>975898000</v>
      </c>
      <c r="D62" s="54">
        <v>1.7265067144702271</v>
      </c>
      <c r="F62" s="53" t="s">
        <v>120</v>
      </c>
      <c r="G62" s="55">
        <v>23122</v>
      </c>
      <c r="H62" s="55">
        <v>975898000</v>
      </c>
    </row>
    <row r="63" spans="1:8" x14ac:dyDescent="0.3">
      <c r="A63" s="53" t="s">
        <v>121</v>
      </c>
      <c r="B63" s="53">
        <v>3635</v>
      </c>
      <c r="C63" s="53">
        <v>281663000</v>
      </c>
      <c r="D63" s="54">
        <v>1.7167236667751127</v>
      </c>
      <c r="F63" s="53" t="s">
        <v>121</v>
      </c>
      <c r="G63" s="55">
        <v>3635</v>
      </c>
      <c r="H63" s="55">
        <v>281663000</v>
      </c>
    </row>
    <row r="64" spans="1:8" x14ac:dyDescent="0.3">
      <c r="A64" s="53" t="s">
        <v>99</v>
      </c>
      <c r="B64" s="53">
        <v>1217</v>
      </c>
      <c r="C64" s="53">
        <v>145998000</v>
      </c>
      <c r="D64" s="54">
        <v>1.7208791535003922</v>
      </c>
      <c r="F64" s="53" t="s">
        <v>99</v>
      </c>
      <c r="G64" s="55">
        <v>1217</v>
      </c>
      <c r="H64" s="55">
        <v>145998000</v>
      </c>
    </row>
    <row r="65" spans="1:8" x14ac:dyDescent="0.3">
      <c r="A65" s="53" t="s">
        <v>100</v>
      </c>
      <c r="B65" s="53">
        <v>327</v>
      </c>
      <c r="C65" s="53">
        <v>55698000</v>
      </c>
      <c r="D65" s="54">
        <v>1.773027754757178</v>
      </c>
      <c r="F65" s="53" t="s">
        <v>100</v>
      </c>
      <c r="G65" s="55">
        <v>327</v>
      </c>
      <c r="H65" s="55">
        <v>55698000</v>
      </c>
    </row>
    <row r="66" spans="1:8" x14ac:dyDescent="0.3">
      <c r="A66" s="53" t="s">
        <v>101</v>
      </c>
      <c r="B66" s="53">
        <v>197</v>
      </c>
      <c r="C66" s="53">
        <v>46631000</v>
      </c>
      <c r="D66" s="54">
        <v>1.7778337444159311</v>
      </c>
      <c r="F66" s="53" t="s">
        <v>101</v>
      </c>
      <c r="G66" s="55">
        <v>197</v>
      </c>
      <c r="H66" s="55">
        <v>46631000</v>
      </c>
    </row>
    <row r="67" spans="1:8" x14ac:dyDescent="0.3">
      <c r="A67" s="53" t="s">
        <v>102</v>
      </c>
      <c r="B67" s="53">
        <v>152</v>
      </c>
      <c r="C67" s="53">
        <v>77468000</v>
      </c>
      <c r="D67" s="54">
        <v>1.698859649122807</v>
      </c>
      <c r="F67" s="53" t="s">
        <v>102</v>
      </c>
      <c r="G67" s="55">
        <v>152</v>
      </c>
      <c r="H67" s="55">
        <v>77468000</v>
      </c>
    </row>
    <row r="68" spans="1:8" x14ac:dyDescent="0.3">
      <c r="A68" s="51" t="s">
        <v>56</v>
      </c>
      <c r="B68" s="51" t="s">
        <v>70</v>
      </c>
      <c r="C68" s="51" t="s">
        <v>71</v>
      </c>
      <c r="D68" s="52" t="s">
        <v>59</v>
      </c>
      <c r="E68">
        <v>7600</v>
      </c>
      <c r="G68" s="2"/>
      <c r="H68" s="2"/>
    </row>
    <row r="69" spans="1:8" x14ac:dyDescent="0.3">
      <c r="A69" s="53" t="s">
        <v>91</v>
      </c>
      <c r="B69" s="53"/>
      <c r="C69" s="53"/>
      <c r="D69" s="54"/>
      <c r="G69" s="2"/>
      <c r="H69" s="2"/>
    </row>
    <row r="70" spans="1:8" x14ac:dyDescent="0.3">
      <c r="A70" s="53" t="s">
        <v>115</v>
      </c>
      <c r="B70" s="53"/>
      <c r="C70" s="53"/>
      <c r="D70" s="54"/>
      <c r="G70" s="2"/>
      <c r="H70" s="2"/>
    </row>
    <row r="71" spans="1:8" x14ac:dyDescent="0.3">
      <c r="A71" s="53" t="s">
        <v>125</v>
      </c>
      <c r="B71" s="53"/>
      <c r="C71" s="53"/>
      <c r="D71" s="54"/>
      <c r="F71" s="53" t="s">
        <v>116</v>
      </c>
      <c r="G71" s="2">
        <v>875064.00487553491</v>
      </c>
      <c r="H71" s="2">
        <v>4220899438.5955157</v>
      </c>
    </row>
    <row r="72" spans="1:8" x14ac:dyDescent="0.3">
      <c r="A72" s="53" t="s">
        <v>117</v>
      </c>
      <c r="B72" s="53"/>
      <c r="C72" s="53"/>
      <c r="D72" s="54"/>
      <c r="F72" s="53" t="s">
        <v>117</v>
      </c>
      <c r="G72" s="2">
        <v>225169.5903295078</v>
      </c>
      <c r="H72" s="2">
        <v>1893499252.4595761</v>
      </c>
    </row>
    <row r="73" spans="1:8" x14ac:dyDescent="0.3">
      <c r="A73" s="53" t="s">
        <v>118</v>
      </c>
      <c r="B73" s="53">
        <v>233882</v>
      </c>
      <c r="C73" s="53">
        <v>2870292000</v>
      </c>
      <c r="D73" s="54">
        <v>1.8803385253883391</v>
      </c>
      <c r="F73" s="53" t="s">
        <v>118</v>
      </c>
      <c r="G73" s="55">
        <v>233882</v>
      </c>
      <c r="H73" s="55">
        <v>2870292000</v>
      </c>
    </row>
    <row r="74" spans="1:8" x14ac:dyDescent="0.3">
      <c r="A74" s="53" t="s">
        <v>119</v>
      </c>
      <c r="B74" s="53">
        <v>101196</v>
      </c>
      <c r="C74" s="53">
        <v>2172996000</v>
      </c>
      <c r="D74" s="54">
        <v>1.7926435129687728</v>
      </c>
      <c r="F74" s="53" t="s">
        <v>119</v>
      </c>
      <c r="G74" s="55">
        <v>101196</v>
      </c>
      <c r="H74" s="55">
        <v>2172996000</v>
      </c>
    </row>
    <row r="75" spans="1:8" x14ac:dyDescent="0.3">
      <c r="A75" s="53" t="s">
        <v>120</v>
      </c>
      <c r="B75" s="53">
        <v>24547</v>
      </c>
      <c r="C75" s="53">
        <v>1041646000</v>
      </c>
      <c r="D75" s="54">
        <v>1.7058961519625084</v>
      </c>
      <c r="F75" s="53" t="s">
        <v>120</v>
      </c>
      <c r="G75" s="55">
        <v>24547</v>
      </c>
      <c r="H75" s="55">
        <v>1041646000</v>
      </c>
    </row>
    <row r="76" spans="1:8" x14ac:dyDescent="0.3">
      <c r="A76" s="53" t="s">
        <v>121</v>
      </c>
      <c r="B76" s="53">
        <v>4073</v>
      </c>
      <c r="C76" s="53">
        <v>316107000</v>
      </c>
      <c r="D76" s="54">
        <v>1.6358100385905763</v>
      </c>
      <c r="F76" s="53" t="s">
        <v>121</v>
      </c>
      <c r="G76" s="55">
        <v>4073</v>
      </c>
      <c r="H76" s="55">
        <v>316107000</v>
      </c>
    </row>
    <row r="77" spans="1:8" x14ac:dyDescent="0.3">
      <c r="A77" s="53" t="s">
        <v>99</v>
      </c>
      <c r="B77" s="53">
        <v>1215</v>
      </c>
      <c r="C77" s="53">
        <v>144220000</v>
      </c>
      <c r="D77" s="54">
        <v>1.6308845305945594</v>
      </c>
      <c r="F77" s="53" t="s">
        <v>99</v>
      </c>
      <c r="G77" s="55">
        <v>1215</v>
      </c>
      <c r="H77" s="55">
        <v>144220000</v>
      </c>
    </row>
    <row r="78" spans="1:8" x14ac:dyDescent="0.3">
      <c r="A78" s="53" t="s">
        <v>100</v>
      </c>
      <c r="B78" s="53">
        <v>336</v>
      </c>
      <c r="C78" s="53">
        <v>57772000</v>
      </c>
      <c r="D78" s="54">
        <v>1.6201191525503238</v>
      </c>
      <c r="F78" s="53" t="s">
        <v>100</v>
      </c>
      <c r="G78" s="55">
        <v>336</v>
      </c>
      <c r="H78" s="55">
        <v>57772000</v>
      </c>
    </row>
    <row r="79" spans="1:8" x14ac:dyDescent="0.3">
      <c r="A79" s="53" t="s">
        <v>101</v>
      </c>
      <c r="B79" s="53">
        <v>223</v>
      </c>
      <c r="C79" s="53">
        <v>53967000</v>
      </c>
      <c r="D79" s="54">
        <v>1.5674142546559988</v>
      </c>
      <c r="F79" s="53" t="s">
        <v>101</v>
      </c>
      <c r="G79" s="55">
        <v>223</v>
      </c>
      <c r="H79" s="55">
        <v>53967000</v>
      </c>
    </row>
    <row r="80" spans="1:8" x14ac:dyDescent="0.3">
      <c r="A80" s="53" t="s">
        <v>102</v>
      </c>
      <c r="B80" s="53">
        <v>116</v>
      </c>
      <c r="C80" s="53">
        <v>52309000</v>
      </c>
      <c r="D80" s="54">
        <v>1.503132183908046</v>
      </c>
      <c r="F80" s="53" t="s">
        <v>102</v>
      </c>
      <c r="G80" s="55">
        <v>116</v>
      </c>
      <c r="H80" s="55">
        <v>52309000</v>
      </c>
    </row>
    <row r="81" spans="1:8" x14ac:dyDescent="0.3">
      <c r="A81" s="51" t="s">
        <v>56</v>
      </c>
      <c r="B81" s="51" t="s">
        <v>72</v>
      </c>
      <c r="C81" s="51" t="s">
        <v>73</v>
      </c>
      <c r="D81" s="52" t="s">
        <v>59</v>
      </c>
      <c r="E81">
        <v>8750</v>
      </c>
      <c r="G81" s="2"/>
      <c r="H81" s="2"/>
    </row>
    <row r="82" spans="1:8" x14ac:dyDescent="0.3">
      <c r="A82" s="53" t="s">
        <v>91</v>
      </c>
      <c r="B82" s="53"/>
      <c r="C82" s="53"/>
      <c r="D82" s="54"/>
      <c r="G82" s="2"/>
      <c r="H82" s="2"/>
    </row>
    <row r="83" spans="1:8" x14ac:dyDescent="0.3">
      <c r="A83" s="53" t="s">
        <v>115</v>
      </c>
      <c r="B83" s="53"/>
      <c r="C83" s="53"/>
      <c r="D83" s="54"/>
      <c r="G83" s="2"/>
      <c r="H83" s="2"/>
    </row>
    <row r="84" spans="1:8" x14ac:dyDescent="0.3">
      <c r="A84" s="53" t="s">
        <v>126</v>
      </c>
      <c r="B84" s="53"/>
      <c r="C84" s="53"/>
      <c r="D84" s="54"/>
      <c r="F84" s="53" t="s">
        <v>116</v>
      </c>
      <c r="G84" s="2">
        <v>319806.44462054037</v>
      </c>
      <c r="H84" s="2">
        <v>1542596695.8269141</v>
      </c>
    </row>
    <row r="85" spans="1:8" x14ac:dyDescent="0.3">
      <c r="A85" s="53" t="s">
        <v>117</v>
      </c>
      <c r="B85" s="53"/>
      <c r="C85" s="53"/>
      <c r="D85" s="54"/>
      <c r="F85" s="53" t="s">
        <v>117</v>
      </c>
      <c r="G85" s="2">
        <v>82291.907470455219</v>
      </c>
      <c r="H85" s="2">
        <v>692010253.47497761</v>
      </c>
    </row>
    <row r="86" spans="1:8" x14ac:dyDescent="0.3">
      <c r="A86" s="53" t="s">
        <v>118</v>
      </c>
      <c r="B86" s="53">
        <v>85476</v>
      </c>
      <c r="C86" s="53">
        <v>1086952000</v>
      </c>
      <c r="D86" s="54">
        <v>2.162311586485874</v>
      </c>
      <c r="F86" s="53" t="s">
        <v>118</v>
      </c>
      <c r="G86" s="55">
        <v>85476</v>
      </c>
      <c r="H86" s="55">
        <v>1086952000</v>
      </c>
    </row>
    <row r="87" spans="1:8" x14ac:dyDescent="0.3">
      <c r="A87" s="53" t="s">
        <v>119</v>
      </c>
      <c r="B87" s="53">
        <v>51870</v>
      </c>
      <c r="C87" s="53">
        <v>1127918000</v>
      </c>
      <c r="D87" s="54">
        <v>1.9166595640023927</v>
      </c>
      <c r="F87" s="53" t="s">
        <v>119</v>
      </c>
      <c r="G87" s="55">
        <v>51870</v>
      </c>
      <c r="H87" s="55">
        <v>1127918000</v>
      </c>
    </row>
    <row r="88" spans="1:8" x14ac:dyDescent="0.3">
      <c r="A88" s="53" t="s">
        <v>120</v>
      </c>
      <c r="B88" s="53">
        <v>15224</v>
      </c>
      <c r="C88" s="53">
        <v>649835000</v>
      </c>
      <c r="D88" s="54">
        <v>1.7607334187026951</v>
      </c>
      <c r="F88" s="53" t="s">
        <v>120</v>
      </c>
      <c r="G88" s="55">
        <v>15224</v>
      </c>
      <c r="H88" s="55">
        <v>649835000</v>
      </c>
    </row>
    <row r="89" spans="1:8" x14ac:dyDescent="0.3">
      <c r="A89" s="53" t="s">
        <v>121</v>
      </c>
      <c r="B89" s="53">
        <v>2776</v>
      </c>
      <c r="C89" s="53">
        <v>215725000</v>
      </c>
      <c r="D89" s="54">
        <v>1.6609051608718768</v>
      </c>
      <c r="F89" s="53" t="s">
        <v>121</v>
      </c>
      <c r="G89" s="55">
        <v>2776</v>
      </c>
      <c r="H89" s="55">
        <v>215725000</v>
      </c>
    </row>
    <row r="90" spans="1:8" x14ac:dyDescent="0.3">
      <c r="A90" s="53" t="s">
        <v>99</v>
      </c>
      <c r="B90" s="53">
        <v>874</v>
      </c>
      <c r="C90" s="53">
        <v>103861000</v>
      </c>
      <c r="D90" s="54">
        <v>1.6334142447824183</v>
      </c>
      <c r="F90" s="53" t="s">
        <v>99</v>
      </c>
      <c r="G90" s="55">
        <v>874</v>
      </c>
      <c r="H90" s="55">
        <v>103861000</v>
      </c>
    </row>
    <row r="91" spans="1:8" x14ac:dyDescent="0.3">
      <c r="A91" s="53" t="s">
        <v>100</v>
      </c>
      <c r="B91" s="53">
        <v>265</v>
      </c>
      <c r="C91" s="53">
        <v>44941000</v>
      </c>
      <c r="D91" s="54">
        <v>1.589765315516932</v>
      </c>
      <c r="F91" s="53" t="s">
        <v>100</v>
      </c>
      <c r="G91" s="55">
        <v>265</v>
      </c>
      <c r="H91" s="55">
        <v>44941000</v>
      </c>
    </row>
    <row r="92" spans="1:8" x14ac:dyDescent="0.3">
      <c r="A92" s="53" t="s">
        <v>101</v>
      </c>
      <c r="B92" s="53">
        <v>167</v>
      </c>
      <c r="C92" s="53">
        <v>40458000</v>
      </c>
      <c r="D92" s="54">
        <v>1.5531239248314264</v>
      </c>
      <c r="F92" s="53" t="s">
        <v>101</v>
      </c>
      <c r="G92" s="55">
        <v>167</v>
      </c>
      <c r="H92" s="55">
        <v>40458000</v>
      </c>
    </row>
    <row r="93" spans="1:8" x14ac:dyDescent="0.3">
      <c r="A93" s="53" t="s">
        <v>102</v>
      </c>
      <c r="B93" s="53">
        <v>86</v>
      </c>
      <c r="C93" s="53">
        <v>38134000</v>
      </c>
      <c r="D93" s="54">
        <v>1.4780620155038759</v>
      </c>
      <c r="F93" s="53" t="s">
        <v>102</v>
      </c>
      <c r="G93" s="55">
        <v>86</v>
      </c>
      <c r="H93" s="55">
        <v>38134000</v>
      </c>
    </row>
    <row r="94" spans="1:8" x14ac:dyDescent="0.3">
      <c r="A94" s="51" t="s">
        <v>56</v>
      </c>
      <c r="B94" s="51" t="s">
        <v>74</v>
      </c>
      <c r="C94" s="51" t="s">
        <v>75</v>
      </c>
      <c r="D94" s="52" t="s">
        <v>59</v>
      </c>
      <c r="E94">
        <v>9900</v>
      </c>
      <c r="G94" s="2"/>
      <c r="H94" s="2"/>
    </row>
    <row r="95" spans="1:8" x14ac:dyDescent="0.3">
      <c r="A95" s="53" t="s">
        <v>91</v>
      </c>
      <c r="B95" s="53"/>
      <c r="C95" s="53"/>
      <c r="D95" s="54"/>
      <c r="G95" s="2"/>
      <c r="H95" s="2"/>
    </row>
    <row r="96" spans="1:8" x14ac:dyDescent="0.3">
      <c r="A96" s="53" t="s">
        <v>115</v>
      </c>
      <c r="B96" s="53"/>
      <c r="C96" s="53"/>
      <c r="D96" s="54"/>
      <c r="G96" s="2"/>
      <c r="H96" s="2"/>
    </row>
    <row r="97" spans="1:8" x14ac:dyDescent="0.3">
      <c r="A97" s="53" t="s">
        <v>127</v>
      </c>
      <c r="B97" s="53"/>
      <c r="C97" s="53"/>
      <c r="D97" s="54"/>
      <c r="F97" s="53" t="s">
        <v>116</v>
      </c>
      <c r="G97" s="2">
        <v>137670.2930775409</v>
      </c>
      <c r="H97" s="2">
        <v>664057096.99477863</v>
      </c>
    </row>
    <row r="98" spans="1:8" x14ac:dyDescent="0.3">
      <c r="A98" s="53" t="s">
        <v>117</v>
      </c>
      <c r="B98" s="53"/>
      <c r="C98" s="53"/>
      <c r="D98" s="54"/>
      <c r="F98" s="53" t="s">
        <v>117</v>
      </c>
      <c r="G98" s="2">
        <v>35425.024135488617</v>
      </c>
      <c r="H98" s="2">
        <v>297896605.93489057</v>
      </c>
    </row>
    <row r="99" spans="1:8" x14ac:dyDescent="0.3">
      <c r="A99" s="53" t="s">
        <v>118</v>
      </c>
      <c r="B99" s="53"/>
      <c r="C99" s="53"/>
      <c r="D99" s="54"/>
      <c r="F99" s="53" t="s">
        <v>118</v>
      </c>
      <c r="G99" s="2">
        <v>36795.712434933484</v>
      </c>
      <c r="H99" s="2">
        <v>467911147.25274718</v>
      </c>
    </row>
    <row r="100" spans="1:8" x14ac:dyDescent="0.3">
      <c r="A100" s="53" t="s">
        <v>119</v>
      </c>
      <c r="B100" s="53">
        <v>22329</v>
      </c>
      <c r="C100" s="53">
        <v>491251000</v>
      </c>
      <c r="D100" s="54">
        <v>2.0188166936271545</v>
      </c>
      <c r="F100" s="53" t="s">
        <v>119</v>
      </c>
      <c r="G100" s="55">
        <v>22329</v>
      </c>
      <c r="H100" s="55">
        <v>491251000</v>
      </c>
    </row>
    <row r="101" spans="1:8" x14ac:dyDescent="0.3">
      <c r="A101" s="53" t="s">
        <v>120</v>
      </c>
      <c r="B101" s="53">
        <v>7491</v>
      </c>
      <c r="C101" s="53">
        <v>321487000</v>
      </c>
      <c r="D101" s="54">
        <v>1.8023023550434185</v>
      </c>
      <c r="F101" s="53" t="s">
        <v>120</v>
      </c>
      <c r="G101" s="55">
        <v>7491</v>
      </c>
      <c r="H101" s="55">
        <v>321487000</v>
      </c>
    </row>
    <row r="102" spans="1:8" x14ac:dyDescent="0.3">
      <c r="A102" s="53" t="s">
        <v>121</v>
      </c>
      <c r="B102" s="53">
        <v>1479</v>
      </c>
      <c r="C102" s="53">
        <v>114550000</v>
      </c>
      <c r="D102" s="54">
        <v>1.6766858877851905</v>
      </c>
      <c r="F102" s="53" t="s">
        <v>121</v>
      </c>
      <c r="G102" s="55">
        <v>1479</v>
      </c>
      <c r="H102" s="55">
        <v>114550000</v>
      </c>
    </row>
    <row r="103" spans="1:8" x14ac:dyDescent="0.3">
      <c r="A103" s="53" t="s">
        <v>99</v>
      </c>
      <c r="B103" s="53">
        <v>487</v>
      </c>
      <c r="C103" s="53">
        <v>57625000</v>
      </c>
      <c r="D103" s="54">
        <v>1.6614050978390844</v>
      </c>
      <c r="F103" s="53" t="s">
        <v>99</v>
      </c>
      <c r="G103" s="55">
        <v>487</v>
      </c>
      <c r="H103" s="55">
        <v>57625000</v>
      </c>
    </row>
    <row r="104" spans="1:8" x14ac:dyDescent="0.3">
      <c r="A104" s="53" t="s">
        <v>100</v>
      </c>
      <c r="B104" s="53">
        <v>134</v>
      </c>
      <c r="C104" s="53">
        <v>22889000</v>
      </c>
      <c r="D104" s="54">
        <v>1.6958212886817647</v>
      </c>
      <c r="F104" s="53" t="s">
        <v>100</v>
      </c>
      <c r="G104" s="55">
        <v>134</v>
      </c>
      <c r="H104" s="55">
        <v>22889000</v>
      </c>
    </row>
    <row r="105" spans="1:8" x14ac:dyDescent="0.3">
      <c r="A105" s="53" t="s">
        <v>101</v>
      </c>
      <c r="B105" s="53">
        <v>80</v>
      </c>
      <c r="C105" s="53">
        <v>19145000</v>
      </c>
      <c r="D105" s="54">
        <v>1.702607177333441</v>
      </c>
      <c r="F105" s="53" t="s">
        <v>101</v>
      </c>
      <c r="G105" s="55">
        <v>80</v>
      </c>
      <c r="H105" s="55">
        <v>19145000</v>
      </c>
    </row>
    <row r="106" spans="1:8" x14ac:dyDescent="0.3">
      <c r="A106" s="53" t="s">
        <v>102</v>
      </c>
      <c r="B106" s="53">
        <v>50</v>
      </c>
      <c r="C106" s="53">
        <v>25125000</v>
      </c>
      <c r="D106" s="54">
        <v>1.675</v>
      </c>
      <c r="F106" s="53" t="s">
        <v>102</v>
      </c>
      <c r="G106" s="55">
        <v>50</v>
      </c>
      <c r="H106" s="55">
        <v>25125000</v>
      </c>
    </row>
    <row r="107" spans="1:8" x14ac:dyDescent="0.3">
      <c r="A107" s="51" t="s">
        <v>56</v>
      </c>
      <c r="B107" s="51" t="s">
        <v>76</v>
      </c>
      <c r="C107" s="51" t="s">
        <v>77</v>
      </c>
      <c r="D107" s="52" t="s">
        <v>59</v>
      </c>
      <c r="E107">
        <v>10050</v>
      </c>
      <c r="G107" s="2"/>
      <c r="H107" s="2"/>
    </row>
    <row r="108" spans="1:8" x14ac:dyDescent="0.3">
      <c r="A108" s="53" t="s">
        <v>91</v>
      </c>
      <c r="B108" s="53"/>
      <c r="C108" s="53"/>
      <c r="D108" s="54"/>
      <c r="G108" s="2"/>
      <c r="H108" s="2"/>
    </row>
    <row r="109" spans="1:8" x14ac:dyDescent="0.3">
      <c r="A109" s="53" t="s">
        <v>115</v>
      </c>
      <c r="B109" s="53"/>
      <c r="C109" s="53"/>
      <c r="D109" s="54"/>
      <c r="G109" s="2"/>
      <c r="H109" s="2"/>
    </row>
    <row r="110" spans="1:8" x14ac:dyDescent="0.3">
      <c r="A110" s="53" t="s">
        <v>128</v>
      </c>
      <c r="B110" s="53"/>
      <c r="C110" s="53"/>
      <c r="D110" s="54"/>
      <c r="F110" s="53" t="s">
        <v>116</v>
      </c>
      <c r="G110" s="2">
        <v>55212.390815055711</v>
      </c>
      <c r="H110" s="2">
        <v>266318747.08174321</v>
      </c>
    </row>
    <row r="111" spans="1:8" x14ac:dyDescent="0.3">
      <c r="A111" s="53" t="s">
        <v>117</v>
      </c>
      <c r="B111" s="53"/>
      <c r="C111" s="53"/>
      <c r="D111" s="54"/>
      <c r="F111" s="53" t="s">
        <v>117</v>
      </c>
      <c r="G111" s="2">
        <v>14207.133822979113</v>
      </c>
      <c r="H111" s="2">
        <v>119470827.45071188</v>
      </c>
    </row>
    <row r="112" spans="1:8" x14ac:dyDescent="0.3">
      <c r="A112" s="53" t="s">
        <v>118</v>
      </c>
      <c r="B112" s="53"/>
      <c r="C112" s="53"/>
      <c r="D112" s="54"/>
      <c r="F112" s="53" t="s">
        <v>118</v>
      </c>
      <c r="G112" s="2">
        <v>14756.845575477155</v>
      </c>
      <c r="H112" s="2">
        <v>187654813.18681318</v>
      </c>
    </row>
    <row r="113" spans="1:8" x14ac:dyDescent="0.3">
      <c r="A113" s="53" t="s">
        <v>119</v>
      </c>
      <c r="B113" s="53">
        <v>8955</v>
      </c>
      <c r="C113" s="53">
        <v>198938000</v>
      </c>
      <c r="D113" s="54">
        <v>2.1379832700766035</v>
      </c>
      <c r="F113" s="53" t="s">
        <v>119</v>
      </c>
      <c r="G113" s="55">
        <v>8955</v>
      </c>
      <c r="H113" s="55">
        <v>198938000</v>
      </c>
    </row>
    <row r="114" spans="1:8" x14ac:dyDescent="0.3">
      <c r="A114" s="53" t="s">
        <v>120</v>
      </c>
      <c r="B114" s="53">
        <v>3331</v>
      </c>
      <c r="C114" s="53">
        <v>142790000</v>
      </c>
      <c r="D114" s="54">
        <v>1.8673429521002263</v>
      </c>
      <c r="F114" s="53" t="s">
        <v>120</v>
      </c>
      <c r="G114" s="55">
        <v>3331</v>
      </c>
      <c r="H114" s="55">
        <v>142790000</v>
      </c>
    </row>
    <row r="115" spans="1:8" x14ac:dyDescent="0.3">
      <c r="A115" s="53" t="s">
        <v>121</v>
      </c>
      <c r="B115" s="53">
        <v>753</v>
      </c>
      <c r="C115" s="53">
        <v>58185000</v>
      </c>
      <c r="D115" s="54">
        <v>1.6909605077304777</v>
      </c>
      <c r="F115" s="53" t="s">
        <v>121</v>
      </c>
      <c r="G115" s="55">
        <v>753</v>
      </c>
      <c r="H115" s="55">
        <v>58185000</v>
      </c>
    </row>
    <row r="116" spans="1:8" x14ac:dyDescent="0.3">
      <c r="A116" s="53" t="s">
        <v>99</v>
      </c>
      <c r="B116" s="53">
        <v>254</v>
      </c>
      <c r="C116" s="53">
        <v>29954000</v>
      </c>
      <c r="D116" s="54">
        <v>1.652353102098103</v>
      </c>
      <c r="F116" s="53" t="s">
        <v>99</v>
      </c>
      <c r="G116" s="55">
        <v>254</v>
      </c>
      <c r="H116" s="55">
        <v>29954000</v>
      </c>
    </row>
    <row r="117" spans="1:8" x14ac:dyDescent="0.3">
      <c r="A117" s="53" t="s">
        <v>100</v>
      </c>
      <c r="B117" s="53">
        <v>82</v>
      </c>
      <c r="C117" s="53">
        <v>14137000</v>
      </c>
      <c r="D117" s="54">
        <v>1.61855876274915</v>
      </c>
      <c r="F117" s="53" t="s">
        <v>100</v>
      </c>
      <c r="G117" s="55">
        <v>82</v>
      </c>
      <c r="H117" s="55">
        <v>14137000</v>
      </c>
    </row>
    <row r="118" spans="1:8" x14ac:dyDescent="0.3">
      <c r="A118" s="53" t="s">
        <v>101</v>
      </c>
      <c r="B118" s="53">
        <v>47</v>
      </c>
      <c r="C118" s="53">
        <v>11082000</v>
      </c>
      <c r="D118" s="54">
        <v>1.6093030964890112</v>
      </c>
      <c r="F118" s="53" t="s">
        <v>101</v>
      </c>
      <c r="G118" s="55">
        <v>47</v>
      </c>
      <c r="H118" s="55">
        <v>11082000</v>
      </c>
    </row>
    <row r="119" spans="1:8" x14ac:dyDescent="0.3">
      <c r="A119" s="53" t="s">
        <v>102</v>
      </c>
      <c r="B119" s="53">
        <v>26</v>
      </c>
      <c r="C119" s="53">
        <v>12415000</v>
      </c>
      <c r="D119" s="54">
        <v>1.5916666666666666</v>
      </c>
      <c r="F119" s="53" t="s">
        <v>102</v>
      </c>
      <c r="G119" s="55">
        <v>26</v>
      </c>
      <c r="H119" s="55">
        <v>12415000</v>
      </c>
    </row>
    <row r="120" spans="1:8" x14ac:dyDescent="0.3">
      <c r="A120" s="51" t="s">
        <v>56</v>
      </c>
      <c r="B120" s="51" t="s">
        <v>78</v>
      </c>
      <c r="C120" s="51" t="s">
        <v>79</v>
      </c>
      <c r="D120" s="52" t="s">
        <v>59</v>
      </c>
      <c r="E120">
        <v>11200</v>
      </c>
      <c r="G120" s="2"/>
      <c r="H120" s="2"/>
    </row>
    <row r="121" spans="1:8" x14ac:dyDescent="0.3">
      <c r="A121" s="53" t="s">
        <v>91</v>
      </c>
      <c r="B121" s="53"/>
      <c r="C121" s="53"/>
      <c r="D121" s="54"/>
      <c r="G121" s="2"/>
      <c r="H121" s="2"/>
    </row>
    <row r="122" spans="1:8" x14ac:dyDescent="0.3">
      <c r="A122" s="53" t="s">
        <v>115</v>
      </c>
      <c r="B122" s="53"/>
      <c r="C122" s="53"/>
      <c r="D122" s="54"/>
      <c r="G122" s="2"/>
      <c r="H122" s="2"/>
    </row>
    <row r="123" spans="1:8" x14ac:dyDescent="0.3">
      <c r="A123" s="53" t="s">
        <v>129</v>
      </c>
      <c r="B123" s="53"/>
      <c r="C123" s="53"/>
      <c r="D123" s="54"/>
      <c r="F123" s="53" t="s">
        <v>116</v>
      </c>
      <c r="G123" s="2">
        <v>23348.891570811389</v>
      </c>
      <c r="H123" s="2">
        <v>112624131.23378688</v>
      </c>
    </row>
    <row r="124" spans="1:8" x14ac:dyDescent="0.3">
      <c r="A124" s="53" t="s">
        <v>117</v>
      </c>
      <c r="B124" s="53"/>
      <c r="C124" s="53"/>
      <c r="D124" s="54"/>
      <c r="F124" s="53" t="s">
        <v>117</v>
      </c>
      <c r="G124" s="2">
        <v>6008.0866317835735</v>
      </c>
      <c r="H124" s="2">
        <v>50523285.712545604</v>
      </c>
    </row>
    <row r="125" spans="1:8" x14ac:dyDescent="0.3">
      <c r="A125" s="53" t="s">
        <v>118</v>
      </c>
      <c r="B125" s="53"/>
      <c r="C125" s="53"/>
      <c r="D125" s="54"/>
      <c r="F125" s="53" t="s">
        <v>118</v>
      </c>
      <c r="G125" s="2">
        <v>6240.5554655870446</v>
      </c>
      <c r="H125" s="2">
        <v>79357764.102564096</v>
      </c>
    </row>
    <row r="126" spans="1:8" x14ac:dyDescent="0.3">
      <c r="A126" s="53" t="s">
        <v>119</v>
      </c>
      <c r="B126" s="53">
        <v>3787</v>
      </c>
      <c r="C126" s="53">
        <v>84753000</v>
      </c>
      <c r="D126" s="54">
        <v>2.1908622978343133</v>
      </c>
      <c r="F126" s="53" t="s">
        <v>119</v>
      </c>
      <c r="G126" s="55">
        <v>3787</v>
      </c>
      <c r="H126" s="55">
        <v>84753000</v>
      </c>
    </row>
    <row r="127" spans="1:8" x14ac:dyDescent="0.3">
      <c r="A127" s="53" t="s">
        <v>120</v>
      </c>
      <c r="B127" s="53">
        <v>1540</v>
      </c>
      <c r="C127" s="53">
        <v>66133000</v>
      </c>
      <c r="D127" s="54">
        <v>1.8694212380214958</v>
      </c>
      <c r="F127" s="53" t="s">
        <v>120</v>
      </c>
      <c r="G127" s="55">
        <v>1540</v>
      </c>
      <c r="H127" s="55">
        <v>66133000</v>
      </c>
    </row>
    <row r="128" spans="1:8" x14ac:dyDescent="0.3">
      <c r="A128" s="53" t="s">
        <v>121</v>
      </c>
      <c r="B128" s="53">
        <v>344</v>
      </c>
      <c r="C128" s="53">
        <v>26799000</v>
      </c>
      <c r="D128" s="54">
        <v>1.7004169840458661</v>
      </c>
      <c r="F128" s="53" t="s">
        <v>121</v>
      </c>
      <c r="G128" s="55">
        <v>344</v>
      </c>
      <c r="H128" s="55">
        <v>26799000</v>
      </c>
    </row>
    <row r="129" spans="1:8" x14ac:dyDescent="0.3">
      <c r="A129" s="53" t="s">
        <v>99</v>
      </c>
      <c r="B129" s="53">
        <v>112</v>
      </c>
      <c r="C129" s="53">
        <v>13250000</v>
      </c>
      <c r="D129" s="54">
        <v>1.6574278401036902</v>
      </c>
      <c r="F129" s="53" t="s">
        <v>99</v>
      </c>
      <c r="G129" s="55">
        <v>112</v>
      </c>
      <c r="H129" s="55">
        <v>13250000</v>
      </c>
    </row>
    <row r="130" spans="1:8" x14ac:dyDescent="0.3">
      <c r="A130" s="53" t="s">
        <v>100</v>
      </c>
      <c r="B130" s="53">
        <v>41</v>
      </c>
      <c r="C130" s="53">
        <v>6955000</v>
      </c>
      <c r="D130" s="54">
        <v>1.5774059507143967</v>
      </c>
      <c r="F130" s="53" t="s">
        <v>100</v>
      </c>
      <c r="G130" s="55">
        <v>41</v>
      </c>
      <c r="H130" s="55">
        <v>6955000</v>
      </c>
    </row>
    <row r="131" spans="1:8" x14ac:dyDescent="0.3">
      <c r="A131" s="53" t="s">
        <v>101</v>
      </c>
      <c r="B131" s="53">
        <v>25</v>
      </c>
      <c r="C131" s="53">
        <v>5892000</v>
      </c>
      <c r="D131" s="54">
        <v>1.586979474555684</v>
      </c>
      <c r="F131" s="53" t="s">
        <v>101</v>
      </c>
      <c r="G131" s="55">
        <v>25</v>
      </c>
      <c r="H131" s="55">
        <v>5892000</v>
      </c>
    </row>
    <row r="132" spans="1:8" x14ac:dyDescent="0.3">
      <c r="A132" s="53" t="s">
        <v>102</v>
      </c>
      <c r="B132" s="53">
        <v>9</v>
      </c>
      <c r="C132" s="53">
        <v>4900000</v>
      </c>
      <c r="D132" s="54">
        <v>1.8148148148148149</v>
      </c>
      <c r="F132" s="53" t="s">
        <v>102</v>
      </c>
      <c r="G132" s="55">
        <v>9</v>
      </c>
      <c r="H132" s="55">
        <v>4900000</v>
      </c>
    </row>
    <row r="133" spans="1:8" x14ac:dyDescent="0.3">
      <c r="A133" s="51" t="s">
        <v>56</v>
      </c>
      <c r="B133" s="51" t="s">
        <v>80</v>
      </c>
      <c r="C133" s="51" t="s">
        <v>81</v>
      </c>
      <c r="D133" s="52" t="s">
        <v>59</v>
      </c>
      <c r="E133">
        <v>12350</v>
      </c>
      <c r="G133" s="2"/>
      <c r="H133" s="2"/>
    </row>
    <row r="134" spans="1:8" x14ac:dyDescent="0.3">
      <c r="A134" s="53" t="s">
        <v>91</v>
      </c>
      <c r="B134" s="53"/>
      <c r="C134" s="53"/>
      <c r="D134" s="54"/>
      <c r="G134" s="2"/>
      <c r="H134" s="2"/>
    </row>
    <row r="135" spans="1:8" x14ac:dyDescent="0.3">
      <c r="A135" s="53" t="s">
        <v>130</v>
      </c>
      <c r="B135" s="53"/>
      <c r="C135" s="53"/>
      <c r="D135" s="54"/>
      <c r="G135" s="2"/>
      <c r="H135" s="2"/>
    </row>
    <row r="136" spans="1:8" x14ac:dyDescent="0.3">
      <c r="A136" s="53" t="s">
        <v>116</v>
      </c>
      <c r="B136" s="53"/>
      <c r="C136" s="53"/>
      <c r="D136" s="54"/>
      <c r="F136" s="53" t="s">
        <v>116</v>
      </c>
      <c r="G136" s="2">
        <v>9106.4993002610026</v>
      </c>
      <c r="H136" s="2">
        <v>43925492.958094321</v>
      </c>
    </row>
    <row r="137" spans="1:8" x14ac:dyDescent="0.3">
      <c r="A137" s="53" t="s">
        <v>117</v>
      </c>
      <c r="B137" s="53"/>
      <c r="C137" s="53"/>
      <c r="D137" s="54"/>
      <c r="F137" s="53" t="s">
        <v>117</v>
      </c>
      <c r="G137" s="2">
        <v>2343.2648416013567</v>
      </c>
      <c r="H137" s="2">
        <v>19705015.314874534</v>
      </c>
    </row>
    <row r="138" spans="1:8" x14ac:dyDescent="0.3">
      <c r="A138" s="53" t="s">
        <v>118</v>
      </c>
      <c r="B138" s="53"/>
      <c r="C138" s="53"/>
      <c r="D138" s="54"/>
      <c r="F138" s="53" t="s">
        <v>118</v>
      </c>
      <c r="G138" s="2">
        <v>2433.9319838056681</v>
      </c>
      <c r="H138" s="2">
        <v>30950994.871794872</v>
      </c>
    </row>
    <row r="139" spans="1:8" x14ac:dyDescent="0.3">
      <c r="A139" s="53" t="s">
        <v>119</v>
      </c>
      <c r="B139" s="53">
        <v>1477</v>
      </c>
      <c r="C139" s="53">
        <v>33284000</v>
      </c>
      <c r="D139" s="54">
        <v>2.3034730143136466</v>
      </c>
      <c r="F139" s="53" t="s">
        <v>119</v>
      </c>
      <c r="G139" s="55">
        <v>1477</v>
      </c>
      <c r="H139" s="55">
        <v>33284000</v>
      </c>
    </row>
    <row r="140" spans="1:8" x14ac:dyDescent="0.3">
      <c r="A140" s="53" t="s">
        <v>120</v>
      </c>
      <c r="B140" s="53">
        <v>716</v>
      </c>
      <c r="C140" s="53">
        <v>31006000</v>
      </c>
      <c r="D140" s="54">
        <v>1.878335345307472</v>
      </c>
      <c r="F140" s="53" t="s">
        <v>120</v>
      </c>
      <c r="G140" s="55">
        <v>716</v>
      </c>
      <c r="H140" s="55">
        <v>31006000</v>
      </c>
    </row>
    <row r="141" spans="1:8" x14ac:dyDescent="0.3">
      <c r="A141" s="53" t="s">
        <v>121</v>
      </c>
      <c r="B141" s="53">
        <v>174</v>
      </c>
      <c r="C141" s="53">
        <v>13873000</v>
      </c>
      <c r="D141" s="54">
        <v>1.6742989376659896</v>
      </c>
      <c r="F141" s="53" t="s">
        <v>121</v>
      </c>
      <c r="G141" s="55">
        <v>174</v>
      </c>
      <c r="H141" s="55">
        <v>13873000</v>
      </c>
    </row>
    <row r="142" spans="1:8" x14ac:dyDescent="0.3">
      <c r="A142" s="53" t="s">
        <v>99</v>
      </c>
      <c r="B142" s="53">
        <v>50</v>
      </c>
      <c r="C142" s="53">
        <v>6028000</v>
      </c>
      <c r="D142" s="54">
        <v>1.653859004343468</v>
      </c>
      <c r="F142" s="53" t="s">
        <v>99</v>
      </c>
      <c r="G142" s="55">
        <v>50</v>
      </c>
      <c r="H142" s="55">
        <v>6028000</v>
      </c>
    </row>
    <row r="143" spans="1:8" x14ac:dyDescent="0.3">
      <c r="A143" s="53" t="s">
        <v>100</v>
      </c>
      <c r="B143" s="53">
        <v>19</v>
      </c>
      <c r="C143" s="53">
        <v>3296000</v>
      </c>
      <c r="D143" s="54">
        <v>1.5696870208652756</v>
      </c>
      <c r="F143" s="53" t="s">
        <v>100</v>
      </c>
      <c r="G143" s="55">
        <v>19</v>
      </c>
      <c r="H143" s="55">
        <v>3296000</v>
      </c>
    </row>
    <row r="144" spans="1:8" x14ac:dyDescent="0.3">
      <c r="A144" s="53" t="s">
        <v>101</v>
      </c>
      <c r="B144" s="53">
        <v>8</v>
      </c>
      <c r="C144" s="53">
        <v>1903000</v>
      </c>
      <c r="D144" s="54">
        <v>1.6303031002296038</v>
      </c>
      <c r="F144" s="53" t="s">
        <v>101</v>
      </c>
      <c r="G144" s="55">
        <v>8</v>
      </c>
      <c r="H144" s="55">
        <v>1903000</v>
      </c>
    </row>
    <row r="145" spans="1:8" x14ac:dyDescent="0.3">
      <c r="A145" s="53" t="s">
        <v>102</v>
      </c>
      <c r="B145" s="53">
        <v>5</v>
      </c>
      <c r="C145" s="53">
        <v>2336000</v>
      </c>
      <c r="D145" s="54">
        <v>1.5573333333333332</v>
      </c>
      <c r="F145" s="53" t="s">
        <v>102</v>
      </c>
      <c r="G145" s="55">
        <v>5</v>
      </c>
      <c r="H145" s="55">
        <v>2336000</v>
      </c>
    </row>
    <row r="146" spans="1:8" x14ac:dyDescent="0.3">
      <c r="A146" s="51" t="s">
        <v>56</v>
      </c>
      <c r="B146" s="51" t="s">
        <v>82</v>
      </c>
      <c r="C146" s="51" t="s">
        <v>83</v>
      </c>
      <c r="D146" s="52" t="s">
        <v>59</v>
      </c>
      <c r="E146">
        <v>13500</v>
      </c>
      <c r="G146" s="2"/>
      <c r="H146" s="2"/>
    </row>
    <row r="147" spans="1:8" x14ac:dyDescent="0.3">
      <c r="A147" s="53" t="s">
        <v>91</v>
      </c>
      <c r="B147" s="53"/>
      <c r="C147" s="53"/>
      <c r="D147" s="54"/>
      <c r="G147" s="2"/>
      <c r="H147" s="2"/>
    </row>
    <row r="148" spans="1:8" x14ac:dyDescent="0.3">
      <c r="A148" s="53" t="s">
        <v>115</v>
      </c>
      <c r="B148" s="53"/>
      <c r="C148" s="53"/>
      <c r="D148" s="54"/>
      <c r="G148" s="2"/>
      <c r="H148" s="2"/>
    </row>
    <row r="149" spans="1:8" x14ac:dyDescent="0.3">
      <c r="A149" s="53" t="s">
        <v>131</v>
      </c>
      <c r="B149" s="53"/>
      <c r="C149" s="53"/>
      <c r="D149" s="54"/>
      <c r="F149" s="53" t="s">
        <v>116</v>
      </c>
      <c r="G149" s="2">
        <v>3508.1909965121949</v>
      </c>
      <c r="H149" s="2">
        <v>16921872.371804792</v>
      </c>
    </row>
    <row r="150" spans="1:8" x14ac:dyDescent="0.3">
      <c r="A150" s="53" t="s">
        <v>117</v>
      </c>
      <c r="B150" s="53"/>
      <c r="C150" s="53"/>
      <c r="D150" s="54"/>
      <c r="F150" s="53" t="s">
        <v>117</v>
      </c>
      <c r="G150" s="2">
        <v>902.72017256003539</v>
      </c>
      <c r="H150" s="2">
        <v>7591167.0373484166</v>
      </c>
    </row>
    <row r="151" spans="1:8" x14ac:dyDescent="0.3">
      <c r="A151" s="53" t="s">
        <v>118</v>
      </c>
      <c r="B151" s="53"/>
      <c r="C151" s="53"/>
      <c r="D151" s="54"/>
      <c r="F151" s="53" t="s">
        <v>118</v>
      </c>
      <c r="G151" s="2">
        <v>937.64881434355129</v>
      </c>
      <c r="H151" s="2">
        <v>11923572.161172163</v>
      </c>
    </row>
    <row r="152" spans="1:8" x14ac:dyDescent="0.3">
      <c r="A152" s="53" t="s">
        <v>119</v>
      </c>
      <c r="B152" s="53">
        <v>569</v>
      </c>
      <c r="C152" s="53">
        <v>13065000</v>
      </c>
      <c r="D152" s="54">
        <v>2.7804751731727841</v>
      </c>
      <c r="F152" s="53" t="s">
        <v>119</v>
      </c>
      <c r="G152" s="55">
        <v>569</v>
      </c>
      <c r="H152" s="55">
        <v>13065000</v>
      </c>
    </row>
    <row r="153" spans="1:8" x14ac:dyDescent="0.3">
      <c r="A153" s="53" t="s">
        <v>120</v>
      </c>
      <c r="B153" s="53">
        <v>179</v>
      </c>
      <c r="C153" s="53">
        <v>12420000</v>
      </c>
      <c r="D153" s="54">
        <v>2.7090919333609889</v>
      </c>
      <c r="F153" s="53" t="s">
        <v>120</v>
      </c>
      <c r="G153" s="55">
        <v>179</v>
      </c>
      <c r="H153" s="55">
        <v>12420000</v>
      </c>
    </row>
    <row r="154" spans="1:8" x14ac:dyDescent="0.3">
      <c r="A154" s="53" t="s">
        <v>121</v>
      </c>
      <c r="B154" s="53">
        <v>73</v>
      </c>
      <c r="C154" s="53">
        <v>5740000</v>
      </c>
      <c r="D154" s="54">
        <v>1.7394355544644562</v>
      </c>
      <c r="F154" s="53" t="s">
        <v>121</v>
      </c>
      <c r="G154" s="55">
        <v>73</v>
      </c>
      <c r="H154" s="55">
        <v>5740000</v>
      </c>
    </row>
    <row r="155" spans="1:8" x14ac:dyDescent="0.3">
      <c r="A155" s="53" t="s">
        <v>99</v>
      </c>
      <c r="B155" s="53">
        <v>39</v>
      </c>
      <c r="C155" s="53">
        <v>4644000</v>
      </c>
      <c r="D155" s="54">
        <v>1.5638058835625872</v>
      </c>
      <c r="F155" s="53" t="s">
        <v>99</v>
      </c>
      <c r="G155" s="55">
        <v>39</v>
      </c>
      <c r="H155" s="55">
        <v>4644000</v>
      </c>
    </row>
    <row r="156" spans="1:8" x14ac:dyDescent="0.3">
      <c r="A156" s="53" t="s">
        <v>100</v>
      </c>
      <c r="B156" s="53">
        <v>8</v>
      </c>
      <c r="C156" s="53">
        <v>1442000</v>
      </c>
      <c r="D156" s="54">
        <v>1.7355985791423429</v>
      </c>
      <c r="F156" s="53" t="s">
        <v>100</v>
      </c>
      <c r="G156" s="55">
        <v>8</v>
      </c>
      <c r="H156" s="55">
        <v>1442000</v>
      </c>
    </row>
    <row r="157" spans="1:8" x14ac:dyDescent="0.3">
      <c r="A157" s="53" t="s">
        <v>101</v>
      </c>
      <c r="B157" s="53">
        <v>2</v>
      </c>
      <c r="C157" s="53">
        <v>527000</v>
      </c>
      <c r="D157" s="54">
        <v>1.8357415462560207</v>
      </c>
      <c r="F157" s="53" t="s">
        <v>101</v>
      </c>
      <c r="G157" s="55">
        <v>2</v>
      </c>
      <c r="H157" s="55">
        <v>527000</v>
      </c>
    </row>
    <row r="158" spans="1:8" x14ac:dyDescent="0.3">
      <c r="A158" s="53" t="s">
        <v>102</v>
      </c>
      <c r="B158" s="53">
        <v>4</v>
      </c>
      <c r="C158" s="53">
        <v>1676000</v>
      </c>
      <c r="D158" s="54">
        <v>1.3966666666666667</v>
      </c>
      <c r="F158" s="53" t="s">
        <v>102</v>
      </c>
      <c r="G158" s="55">
        <v>4</v>
      </c>
      <c r="H158" s="55">
        <v>1676000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topLeftCell="C1" workbookViewId="0">
      <selection activeCell="M8" sqref="M8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3.796875" customWidth="1"/>
  </cols>
  <sheetData>
    <row r="1" spans="1:15" x14ac:dyDescent="0.3">
      <c r="A1" s="79" t="s">
        <v>223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3" t="s">
        <v>132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3">
      <c r="A4" s="51" t="s">
        <v>56</v>
      </c>
      <c r="B4" s="51" t="s">
        <v>57</v>
      </c>
      <c r="C4" s="51" t="s">
        <v>58</v>
      </c>
      <c r="D4" s="52" t="s">
        <v>59</v>
      </c>
      <c r="E4">
        <v>1410</v>
      </c>
      <c r="I4" s="2">
        <f t="shared" ref="I4:I13" si="0">J4/6.55957</f>
        <v>990.91861204316751</v>
      </c>
      <c r="J4" s="53">
        <v>6500</v>
      </c>
      <c r="K4" s="2">
        <f>G5+G16+G27+G38+G49+G60+G71+G82+G93+G104+G115+G126</f>
        <v>1965291.5994978568</v>
      </c>
      <c r="L4" s="2">
        <f>H5+H16+H27+H38+H49+H60+H71+H82+H93+H104+H115+H126</f>
        <v>16151795415.606739</v>
      </c>
      <c r="M4">
        <f>1-SUM(K4:$K$13)/$K$15</f>
        <v>0.77263167238059249</v>
      </c>
      <c r="N4">
        <f>SUM(L4:$L$13)/(J4*SUM(K4:$K$13))</f>
        <v>2.1518580972833994</v>
      </c>
      <c r="O4">
        <f>(G5+G16+G38)/K4</f>
        <v>0.21127195582889011</v>
      </c>
    </row>
    <row r="5" spans="1:15" x14ac:dyDescent="0.3">
      <c r="A5" s="53" t="s">
        <v>117</v>
      </c>
      <c r="B5" s="53">
        <v>287481</v>
      </c>
      <c r="C5" s="53">
        <v>2244590000</v>
      </c>
      <c r="D5" s="54">
        <v>1.6341482179683664</v>
      </c>
      <c r="F5" s="53" t="s">
        <v>117</v>
      </c>
      <c r="G5" s="55">
        <v>287481</v>
      </c>
      <c r="H5" s="55">
        <v>2244590000</v>
      </c>
      <c r="I5" s="2">
        <f t="shared" si="0"/>
        <v>1524.4901723741038</v>
      </c>
      <c r="J5" s="53">
        <v>10000</v>
      </c>
      <c r="K5" s="2">
        <f t="shared" ref="K5:L13" si="1">G6+G17+G28+G39+G50+G61+G72+G83+G94+G105+G116+G127</f>
        <v>1289996.5938491579</v>
      </c>
      <c r="L5" s="2">
        <f t="shared" si="1"/>
        <v>15601274169.026115</v>
      </c>
      <c r="M5">
        <f>1-SUM(K5:$K$13)/$K$15</f>
        <v>0.87715115671589117</v>
      </c>
      <c r="N5">
        <f>SUM(L5:$L$13)/(J5*SUM(K5:$K$13))</f>
        <v>1.8894948764156947</v>
      </c>
      <c r="O5">
        <f t="shared" ref="O5:O13" si="2">(G6+G17+G39)/K5</f>
        <v>0.10447159367907502</v>
      </c>
    </row>
    <row r="6" spans="1:15" x14ac:dyDescent="0.3">
      <c r="A6" s="53" t="s">
        <v>133</v>
      </c>
      <c r="B6" s="53">
        <v>83378</v>
      </c>
      <c r="C6" s="53">
        <v>990634000</v>
      </c>
      <c r="D6" s="54">
        <v>1.6862492020105804</v>
      </c>
      <c r="F6" s="53" t="s">
        <v>133</v>
      </c>
      <c r="G6" s="55">
        <v>83378</v>
      </c>
      <c r="H6" s="55">
        <v>990634000</v>
      </c>
      <c r="I6" s="2">
        <f t="shared" si="0"/>
        <v>2286.7352585611557</v>
      </c>
      <c r="J6" s="53">
        <v>15000</v>
      </c>
      <c r="K6" s="2">
        <f t="shared" si="1"/>
        <v>473192</v>
      </c>
      <c r="L6" s="2">
        <f t="shared" si="1"/>
        <v>8115678000</v>
      </c>
      <c r="M6">
        <f>1-SUM(K6:$K$13)/$K$15</f>
        <v>0.94575663939228161</v>
      </c>
      <c r="N6">
        <f>SUM(L6:$L$13)/(J6*SUM(K6:$K$13))</f>
        <v>1.833102928526795</v>
      </c>
      <c r="O6">
        <f t="shared" si="2"/>
        <v>8.5464251297570543E-2</v>
      </c>
    </row>
    <row r="7" spans="1:15" x14ac:dyDescent="0.3">
      <c r="A7" s="53" t="s">
        <v>96</v>
      </c>
      <c r="B7" s="53">
        <v>23615</v>
      </c>
      <c r="C7" s="53">
        <v>403592000</v>
      </c>
      <c r="D7" s="54">
        <v>1.7152069102543104</v>
      </c>
      <c r="F7" s="53" t="s">
        <v>96</v>
      </c>
      <c r="G7" s="55">
        <v>23615</v>
      </c>
      <c r="H7" s="55">
        <v>403592000</v>
      </c>
      <c r="I7" s="2">
        <f t="shared" si="0"/>
        <v>3048.9803447482077</v>
      </c>
      <c r="J7" s="53">
        <v>20000</v>
      </c>
      <c r="K7" s="2">
        <f t="shared" si="1"/>
        <v>317814</v>
      </c>
      <c r="L7" s="2">
        <f t="shared" si="1"/>
        <v>7618297000</v>
      </c>
      <c r="M7">
        <f>1-SUM(K7:$K$13)/$K$15</f>
        <v>0.97092226053686159</v>
      </c>
      <c r="N7">
        <f>SUM(L7:$L$13)/(J7*SUM(K7:$K$13))</f>
        <v>1.8225134064438722</v>
      </c>
      <c r="O7">
        <f t="shared" si="2"/>
        <v>8.2891250857419746E-2</v>
      </c>
    </row>
    <row r="8" spans="1:15" x14ac:dyDescent="0.3">
      <c r="A8" s="53" t="s">
        <v>134</v>
      </c>
      <c r="B8" s="53">
        <v>14503</v>
      </c>
      <c r="C8" s="53">
        <v>346334000</v>
      </c>
      <c r="D8" s="54">
        <v>1.7233206475987282</v>
      </c>
      <c r="F8" s="53" t="s">
        <v>134</v>
      </c>
      <c r="G8" s="55">
        <v>14503</v>
      </c>
      <c r="H8" s="55">
        <v>346334000</v>
      </c>
      <c r="I8" s="2">
        <f t="shared" si="0"/>
        <v>4573.4705171223113</v>
      </c>
      <c r="J8" s="53">
        <v>30000</v>
      </c>
      <c r="K8" s="2">
        <f t="shared" si="1"/>
        <v>179504</v>
      </c>
      <c r="L8" s="2">
        <f>H9+H20+H31+H42+H53+H64+H75+H86+H97+H108+H119+H130</f>
        <v>7153256000</v>
      </c>
      <c r="M8">
        <f>1-SUM(K8:$K$13)/$K$15</f>
        <v>0.98782446243047672</v>
      </c>
      <c r="N8">
        <f>SUM(L8:$L$13)/(J8*SUM(K8:$K$13))</f>
        <v>1.792473653711194</v>
      </c>
      <c r="O8">
        <f t="shared" si="2"/>
        <v>7.8159818165611905E-2</v>
      </c>
    </row>
    <row r="9" spans="1:15" x14ac:dyDescent="0.3">
      <c r="A9" s="53" t="s">
        <v>97</v>
      </c>
      <c r="B9" s="53">
        <v>7170</v>
      </c>
      <c r="C9" s="53">
        <v>283571000</v>
      </c>
      <c r="D9" s="54">
        <v>1.7257508056996231</v>
      </c>
      <c r="F9" s="53" t="s">
        <v>97</v>
      </c>
      <c r="G9" s="55">
        <v>7170</v>
      </c>
      <c r="H9" s="55">
        <v>283571000</v>
      </c>
      <c r="I9" s="2">
        <f t="shared" si="0"/>
        <v>9146.9410342446226</v>
      </c>
      <c r="J9" s="53">
        <v>60000</v>
      </c>
      <c r="K9" s="2">
        <f t="shared" si="1"/>
        <v>34672</v>
      </c>
      <c r="L9" s="2">
        <f t="shared" si="1"/>
        <v>2587503000</v>
      </c>
      <c r="M9">
        <f>1-SUM(K9:$K$13)/$K$15</f>
        <v>0.99737096714301765</v>
      </c>
      <c r="N9">
        <f>SUM(L9:$L$13)/(J9*SUM(K9:$K$13))</f>
        <v>1.7389192323771763</v>
      </c>
      <c r="O9">
        <f t="shared" si="2"/>
        <v>7.7584217812644213E-2</v>
      </c>
    </row>
    <row r="10" spans="1:15" x14ac:dyDescent="0.3">
      <c r="A10" s="53" t="s">
        <v>98</v>
      </c>
      <c r="B10" s="53">
        <v>1242</v>
      </c>
      <c r="C10" s="53">
        <v>92548000</v>
      </c>
      <c r="D10" s="54">
        <v>1.7152638507412712</v>
      </c>
      <c r="F10" s="53" t="s">
        <v>98</v>
      </c>
      <c r="G10" s="55">
        <v>1242</v>
      </c>
      <c r="H10" s="55">
        <v>92548000</v>
      </c>
      <c r="I10" s="2">
        <f t="shared" si="0"/>
        <v>15244.901723741039</v>
      </c>
      <c r="J10" s="53">
        <v>100000</v>
      </c>
      <c r="K10" s="2">
        <f t="shared" si="1"/>
        <v>11861</v>
      </c>
      <c r="L10" s="2">
        <f t="shared" si="1"/>
        <v>1551130000</v>
      </c>
      <c r="M10">
        <f>1-SUM(K10:$K$13)/$K$15</f>
        <v>0.99921491720203159</v>
      </c>
      <c r="N10">
        <f>SUM(L10:$L$13)/(J10*SUM(K10:$K$13))</f>
        <v>1.7410926703698686</v>
      </c>
      <c r="O10">
        <f t="shared" si="2"/>
        <v>7.9504257651125537E-2</v>
      </c>
    </row>
    <row r="11" spans="1:15" x14ac:dyDescent="0.3">
      <c r="A11" s="53" t="s">
        <v>99</v>
      </c>
      <c r="B11" s="53">
        <v>385</v>
      </c>
      <c r="C11" s="53">
        <v>50381000</v>
      </c>
      <c r="D11" s="54">
        <v>1.7737677709022348</v>
      </c>
      <c r="F11" s="53" t="s">
        <v>99</v>
      </c>
      <c r="G11" s="55">
        <v>385</v>
      </c>
      <c r="H11" s="55">
        <v>50381000</v>
      </c>
      <c r="I11" s="2">
        <f t="shared" si="0"/>
        <v>30489.803447482078</v>
      </c>
      <c r="J11" s="53">
        <v>200000</v>
      </c>
      <c r="K11" s="2">
        <f t="shared" si="1"/>
        <v>1756</v>
      </c>
      <c r="L11" s="2">
        <f t="shared" si="1"/>
        <v>421287000</v>
      </c>
      <c r="M11">
        <f>1-SUM(K11:$K$13)/$K$15</f>
        <v>0.99984571703042224</v>
      </c>
      <c r="N11">
        <f>SUM(L11:$L$13)/(J11*SUM(K11:$K$13))</f>
        <v>1.7564133057566356</v>
      </c>
      <c r="O11">
        <f t="shared" si="2"/>
        <v>9.1116173120728935E-2</v>
      </c>
    </row>
    <row r="12" spans="1:15" x14ac:dyDescent="0.3">
      <c r="A12" s="53" t="s">
        <v>101</v>
      </c>
      <c r="B12" s="53">
        <v>50</v>
      </c>
      <c r="C12" s="53">
        <v>12200000</v>
      </c>
      <c r="D12" s="54">
        <v>1.8933884766435836</v>
      </c>
      <c r="F12" s="53" t="s">
        <v>101</v>
      </c>
      <c r="G12" s="55">
        <v>50</v>
      </c>
      <c r="H12" s="55">
        <v>12200000</v>
      </c>
      <c r="I12" s="2">
        <f t="shared" si="0"/>
        <v>45734.705171223111</v>
      </c>
      <c r="J12" s="53">
        <v>300000</v>
      </c>
      <c r="K12" s="2">
        <f t="shared" si="1"/>
        <v>782</v>
      </c>
      <c r="L12" s="2">
        <f t="shared" si="1"/>
        <v>290768000</v>
      </c>
      <c r="M12">
        <f>1-SUM(K12:$K$13)/$K$15</f>
        <v>0.99993910582552004</v>
      </c>
      <c r="N12">
        <f>SUM(L12:$L$13)/(J12*SUM(K12:$K$13))</f>
        <v>1.74027365356623</v>
      </c>
      <c r="O12">
        <f t="shared" si="2"/>
        <v>0.11253196930946291</v>
      </c>
    </row>
    <row r="13" spans="1:15" x14ac:dyDescent="0.3">
      <c r="A13" s="53" t="s">
        <v>135</v>
      </c>
      <c r="B13" s="53">
        <v>31</v>
      </c>
      <c r="C13" s="53">
        <v>11537000</v>
      </c>
      <c r="D13" s="54">
        <v>1.8378874550335502</v>
      </c>
      <c r="F13" s="53" t="s">
        <v>135</v>
      </c>
      <c r="G13" s="55">
        <v>31</v>
      </c>
      <c r="H13" s="55">
        <v>11537000</v>
      </c>
      <c r="I13" s="2">
        <f t="shared" si="0"/>
        <v>76224.508618705193</v>
      </c>
      <c r="J13" s="53">
        <v>500000</v>
      </c>
      <c r="K13" s="2">
        <f t="shared" si="1"/>
        <v>363</v>
      </c>
      <c r="L13" s="2">
        <f>H14+H25+H36+H47+H58+H69+H80+H91+H102+H113+H124+H135</f>
        <v>307016000</v>
      </c>
      <c r="M13">
        <f>1-SUM(K13:$K$13)/$K$15</f>
        <v>0.99998069468529582</v>
      </c>
      <c r="N13">
        <f>SUM(L13:$L$13)/(J13*SUM(K13:$K$13))</f>
        <v>1.6915482093663912</v>
      </c>
      <c r="O13">
        <f t="shared" si="2"/>
        <v>0.12672176308539945</v>
      </c>
    </row>
    <row r="14" spans="1:15" x14ac:dyDescent="0.3">
      <c r="A14" s="53" t="s">
        <v>136</v>
      </c>
      <c r="B14" s="53">
        <v>8</v>
      </c>
      <c r="C14" s="53">
        <v>9967000</v>
      </c>
      <c r="D14" s="54">
        <v>2.4917500000000001</v>
      </c>
      <c r="F14" s="53" t="s">
        <v>136</v>
      </c>
      <c r="G14" s="55">
        <v>8</v>
      </c>
      <c r="H14" s="55">
        <v>9967000</v>
      </c>
    </row>
    <row r="15" spans="1:15" x14ac:dyDescent="0.3">
      <c r="A15" s="51" t="s">
        <v>56</v>
      </c>
      <c r="B15" s="51" t="s">
        <v>89</v>
      </c>
      <c r="C15" s="51" t="s">
        <v>90</v>
      </c>
      <c r="D15" s="52" t="s">
        <v>59</v>
      </c>
      <c r="G15" s="2"/>
      <c r="H15" s="2"/>
      <c r="K15" s="5">
        <v>18803112.280894894</v>
      </c>
    </row>
    <row r="16" spans="1:15" x14ac:dyDescent="0.3">
      <c r="A16" s="53" t="s">
        <v>117</v>
      </c>
      <c r="B16" s="53">
        <v>109313</v>
      </c>
      <c r="C16" s="53">
        <v>866201000</v>
      </c>
      <c r="D16" s="54">
        <v>1.9785680399699852</v>
      </c>
      <c r="F16" s="53" t="s">
        <v>117</v>
      </c>
      <c r="G16" s="55">
        <v>109313</v>
      </c>
      <c r="H16" s="55">
        <v>866201000</v>
      </c>
    </row>
    <row r="17" spans="1:8" x14ac:dyDescent="0.3">
      <c r="A17" s="53" t="s">
        <v>133</v>
      </c>
      <c r="B17" s="53">
        <v>45542</v>
      </c>
      <c r="C17" s="53">
        <v>543705000</v>
      </c>
      <c r="D17" s="54">
        <v>1.9647616137745409</v>
      </c>
      <c r="F17" s="53" t="s">
        <v>133</v>
      </c>
      <c r="G17" s="55">
        <v>45542</v>
      </c>
      <c r="H17" s="55">
        <v>543705000</v>
      </c>
    </row>
    <row r="18" spans="1:8" x14ac:dyDescent="0.3">
      <c r="A18" s="53" t="s">
        <v>96</v>
      </c>
      <c r="B18" s="53">
        <v>15147</v>
      </c>
      <c r="C18" s="53">
        <v>260026000</v>
      </c>
      <c r="D18" s="54">
        <v>1.9941444694496466</v>
      </c>
      <c r="F18" s="53" t="s">
        <v>96</v>
      </c>
      <c r="G18" s="55">
        <v>15147</v>
      </c>
      <c r="H18" s="55">
        <v>260026000</v>
      </c>
    </row>
    <row r="19" spans="1:8" x14ac:dyDescent="0.3">
      <c r="A19" s="53" t="s">
        <v>134</v>
      </c>
      <c r="B19" s="53">
        <v>10787</v>
      </c>
      <c r="C19" s="53">
        <v>259381000</v>
      </c>
      <c r="D19" s="54">
        <v>2.0006347450523809</v>
      </c>
      <c r="F19" s="53" t="s">
        <v>134</v>
      </c>
      <c r="G19" s="55">
        <v>10787</v>
      </c>
      <c r="H19" s="55">
        <v>259381000</v>
      </c>
    </row>
    <row r="20" spans="1:8" x14ac:dyDescent="0.3">
      <c r="A20" s="53" t="s">
        <v>97</v>
      </c>
      <c r="B20" s="53">
        <v>6295</v>
      </c>
      <c r="C20" s="53">
        <v>251388000</v>
      </c>
      <c r="D20" s="54">
        <v>2.0216852879262044</v>
      </c>
      <c r="F20" s="53" t="s">
        <v>97</v>
      </c>
      <c r="G20" s="55">
        <v>6295</v>
      </c>
      <c r="H20" s="55">
        <v>251388000</v>
      </c>
    </row>
    <row r="21" spans="1:8" x14ac:dyDescent="0.3">
      <c r="A21" s="53" t="s">
        <v>98</v>
      </c>
      <c r="B21" s="53">
        <v>1351</v>
      </c>
      <c r="C21" s="53">
        <v>102294000</v>
      </c>
      <c r="D21" s="54">
        <v>2.0664273890628451</v>
      </c>
      <c r="F21" s="53" t="s">
        <v>98</v>
      </c>
      <c r="G21" s="55">
        <v>1351</v>
      </c>
      <c r="H21" s="55">
        <v>102294000</v>
      </c>
    </row>
    <row r="22" spans="1:8" x14ac:dyDescent="0.3">
      <c r="A22" s="53" t="s">
        <v>99</v>
      </c>
      <c r="B22" s="53">
        <v>517</v>
      </c>
      <c r="C22" s="53">
        <v>67846000</v>
      </c>
      <c r="D22" s="54">
        <v>2.1586996229954472</v>
      </c>
      <c r="F22" s="53" t="s">
        <v>99</v>
      </c>
      <c r="G22" s="55">
        <v>517</v>
      </c>
      <c r="H22" s="55">
        <v>67846000</v>
      </c>
    </row>
    <row r="23" spans="1:8" x14ac:dyDescent="0.3">
      <c r="A23" s="53" t="s">
        <v>101</v>
      </c>
      <c r="B23" s="53">
        <v>104</v>
      </c>
      <c r="C23" s="53">
        <v>25313000</v>
      </c>
      <c r="D23" s="54">
        <v>2.2132831182275083</v>
      </c>
      <c r="F23" s="53" t="s">
        <v>101</v>
      </c>
      <c r="G23" s="55">
        <v>104</v>
      </c>
      <c r="H23" s="55">
        <v>25313000</v>
      </c>
    </row>
    <row r="24" spans="1:8" x14ac:dyDescent="0.3">
      <c r="A24" s="53" t="s">
        <v>135</v>
      </c>
      <c r="B24" s="53">
        <v>52</v>
      </c>
      <c r="C24" s="53">
        <v>20294000</v>
      </c>
      <c r="D24" s="54">
        <v>2.2517601473209323</v>
      </c>
      <c r="F24" s="53" t="s">
        <v>135</v>
      </c>
      <c r="G24" s="55">
        <v>52</v>
      </c>
      <c r="H24" s="55">
        <v>20294000</v>
      </c>
    </row>
    <row r="25" spans="1:8" x14ac:dyDescent="0.3">
      <c r="A25" s="53" t="s">
        <v>136</v>
      </c>
      <c r="B25" s="53">
        <v>37</v>
      </c>
      <c r="C25" s="53">
        <v>39830000</v>
      </c>
      <c r="D25" s="54">
        <v>2.152972972972973</v>
      </c>
      <c r="F25" s="53" t="s">
        <v>136</v>
      </c>
      <c r="G25" s="55">
        <v>37</v>
      </c>
      <c r="H25" s="55">
        <v>39830000</v>
      </c>
    </row>
    <row r="26" spans="1:8" x14ac:dyDescent="0.3">
      <c r="A26" s="51" t="s">
        <v>56</v>
      </c>
      <c r="B26" s="51" t="s">
        <v>64</v>
      </c>
      <c r="C26" s="51" t="s">
        <v>65</v>
      </c>
      <c r="D26" s="52" t="s">
        <v>59</v>
      </c>
      <c r="G26" s="2"/>
      <c r="H26" s="2"/>
    </row>
    <row r="27" spans="1:8" x14ac:dyDescent="0.3">
      <c r="A27" s="53" t="s">
        <v>117</v>
      </c>
      <c r="B27" s="53">
        <v>771809</v>
      </c>
      <c r="C27" s="53">
        <v>6232663000</v>
      </c>
      <c r="D27" s="54">
        <v>2.0309206218094471</v>
      </c>
      <c r="F27" s="53" t="s">
        <v>117</v>
      </c>
      <c r="G27" s="55">
        <v>771809</v>
      </c>
      <c r="H27" s="55">
        <v>6232663000</v>
      </c>
    </row>
    <row r="28" spans="1:8" x14ac:dyDescent="0.3">
      <c r="A28" s="53" t="s">
        <v>133</v>
      </c>
      <c r="B28" s="53">
        <v>449454</v>
      </c>
      <c r="C28" s="53">
        <v>5418369000</v>
      </c>
      <c r="D28" s="54">
        <v>1.8356686946015459</v>
      </c>
      <c r="F28" s="53" t="s">
        <v>133</v>
      </c>
      <c r="G28" s="55">
        <v>449454</v>
      </c>
      <c r="H28" s="55">
        <v>5418369000</v>
      </c>
    </row>
    <row r="29" spans="1:8" x14ac:dyDescent="0.3">
      <c r="A29" s="53" t="s">
        <v>96</v>
      </c>
      <c r="B29" s="53">
        <v>154473</v>
      </c>
      <c r="C29" s="53">
        <v>2645934000</v>
      </c>
      <c r="D29" s="54">
        <v>1.8133651021390149</v>
      </c>
      <c r="F29" s="53" t="s">
        <v>96</v>
      </c>
      <c r="G29" s="55">
        <v>154473</v>
      </c>
      <c r="H29" s="55">
        <v>2645934000</v>
      </c>
    </row>
    <row r="30" spans="1:8" x14ac:dyDescent="0.3">
      <c r="A30" s="53" t="s">
        <v>134</v>
      </c>
      <c r="B30" s="53">
        <v>98667</v>
      </c>
      <c r="C30" s="53">
        <v>2360724000</v>
      </c>
      <c r="D30" s="54">
        <v>1.8274883529286188</v>
      </c>
      <c r="F30" s="53" t="s">
        <v>134</v>
      </c>
      <c r="G30" s="55">
        <v>98667</v>
      </c>
      <c r="H30" s="55">
        <v>2360724000</v>
      </c>
    </row>
    <row r="31" spans="1:8" x14ac:dyDescent="0.3">
      <c r="A31" s="53" t="s">
        <v>97</v>
      </c>
      <c r="B31" s="53">
        <v>53208</v>
      </c>
      <c r="C31" s="53">
        <v>2113919000</v>
      </c>
      <c r="D31" s="54">
        <v>1.8294131726272069</v>
      </c>
      <c r="F31" s="53" t="s">
        <v>97</v>
      </c>
      <c r="G31" s="55">
        <v>53208</v>
      </c>
      <c r="H31" s="55">
        <v>2113919000</v>
      </c>
    </row>
    <row r="32" spans="1:8" x14ac:dyDescent="0.3">
      <c r="A32" s="53" t="s">
        <v>98</v>
      </c>
      <c r="B32" s="53">
        <v>10020</v>
      </c>
      <c r="C32" s="53">
        <v>747005000</v>
      </c>
      <c r="D32" s="54">
        <v>1.8218582700649166</v>
      </c>
      <c r="F32" s="53" t="s">
        <v>98</v>
      </c>
      <c r="G32" s="55">
        <v>10020</v>
      </c>
      <c r="H32" s="55">
        <v>747005000</v>
      </c>
    </row>
    <row r="33" spans="1:8" x14ac:dyDescent="0.3">
      <c r="A33" s="53" t="s">
        <v>99</v>
      </c>
      <c r="B33" s="53">
        <v>3754</v>
      </c>
      <c r="C33" s="53">
        <v>494753000</v>
      </c>
      <c r="D33" s="54">
        <v>1.8174528421196543</v>
      </c>
      <c r="F33" s="53" t="s">
        <v>99</v>
      </c>
      <c r="G33" s="55">
        <v>3754</v>
      </c>
      <c r="H33" s="55">
        <v>494753000</v>
      </c>
    </row>
    <row r="34" spans="1:8" x14ac:dyDescent="0.3">
      <c r="A34" s="53" t="s">
        <v>101</v>
      </c>
      <c r="B34" s="53">
        <v>614</v>
      </c>
      <c r="C34" s="53">
        <v>147212000</v>
      </c>
      <c r="D34" s="54">
        <v>1.7960833273378904</v>
      </c>
      <c r="F34" s="53" t="s">
        <v>101</v>
      </c>
      <c r="G34" s="55">
        <v>614</v>
      </c>
      <c r="H34" s="55">
        <v>147212000</v>
      </c>
    </row>
    <row r="35" spans="1:8" x14ac:dyDescent="0.3">
      <c r="A35" s="53" t="s">
        <v>135</v>
      </c>
      <c r="B35" s="53">
        <v>283</v>
      </c>
      <c r="C35" s="53">
        <v>103875000</v>
      </c>
      <c r="D35" s="54">
        <v>1.7493698291321065</v>
      </c>
      <c r="F35" s="53" t="s">
        <v>135</v>
      </c>
      <c r="G35" s="55">
        <v>283</v>
      </c>
      <c r="H35" s="55">
        <v>103875000</v>
      </c>
    </row>
    <row r="36" spans="1:8" x14ac:dyDescent="0.3">
      <c r="A36" s="53" t="s">
        <v>136</v>
      </c>
      <c r="B36" s="53">
        <v>160</v>
      </c>
      <c r="C36" s="53">
        <v>128624000</v>
      </c>
      <c r="D36" s="54">
        <v>1.6077999999999999</v>
      </c>
      <c r="F36" s="53" t="s">
        <v>136</v>
      </c>
      <c r="G36" s="55">
        <v>160</v>
      </c>
      <c r="H36" s="55">
        <v>128624000</v>
      </c>
    </row>
    <row r="37" spans="1:8" x14ac:dyDescent="0.3">
      <c r="A37" s="51" t="s">
        <v>56</v>
      </c>
      <c r="B37" s="51" t="s">
        <v>66</v>
      </c>
      <c r="C37" s="51" t="s">
        <v>67</v>
      </c>
      <c r="D37" s="52" t="s">
        <v>59</v>
      </c>
      <c r="G37" s="2"/>
      <c r="H37" s="2"/>
    </row>
    <row r="38" spans="1:8" x14ac:dyDescent="0.3">
      <c r="A38" s="53" t="s">
        <v>117</v>
      </c>
      <c r="B38" s="53">
        <v>18417</v>
      </c>
      <c r="C38" s="53">
        <v>145257000</v>
      </c>
      <c r="D38" s="54">
        <v>1.7085816474248363</v>
      </c>
      <c r="F38" s="53" t="s">
        <v>117</v>
      </c>
      <c r="G38" s="55">
        <v>18417</v>
      </c>
      <c r="H38" s="55">
        <v>145257000</v>
      </c>
    </row>
    <row r="39" spans="1:8" x14ac:dyDescent="0.3">
      <c r="A39" s="53" t="s">
        <v>133</v>
      </c>
      <c r="B39" s="53">
        <v>5848</v>
      </c>
      <c r="C39" s="53">
        <v>69507000</v>
      </c>
      <c r="D39" s="54">
        <v>1.7515939310259447</v>
      </c>
      <c r="F39" s="53" t="s">
        <v>133</v>
      </c>
      <c r="G39" s="55">
        <v>5848</v>
      </c>
      <c r="H39" s="55">
        <v>69507000</v>
      </c>
    </row>
    <row r="40" spans="1:8" x14ac:dyDescent="0.3">
      <c r="A40" s="53" t="s">
        <v>96</v>
      </c>
      <c r="B40" s="53">
        <v>1679</v>
      </c>
      <c r="C40" s="53">
        <v>28905000</v>
      </c>
      <c r="D40" s="54">
        <v>1.8062977349980136</v>
      </c>
      <c r="F40" s="53" t="s">
        <v>96</v>
      </c>
      <c r="G40" s="55">
        <v>1679</v>
      </c>
      <c r="H40" s="55">
        <v>28905000</v>
      </c>
    </row>
    <row r="41" spans="1:8" x14ac:dyDescent="0.3">
      <c r="A41" s="53" t="s">
        <v>134</v>
      </c>
      <c r="B41" s="53">
        <v>1054</v>
      </c>
      <c r="C41" s="53">
        <v>25309000</v>
      </c>
      <c r="D41" s="54">
        <v>1.8243845855478142</v>
      </c>
      <c r="F41" s="53" t="s">
        <v>134</v>
      </c>
      <c r="G41" s="55">
        <v>1054</v>
      </c>
      <c r="H41" s="55">
        <v>25309000</v>
      </c>
    </row>
    <row r="42" spans="1:8" x14ac:dyDescent="0.3">
      <c r="A42" s="53" t="s">
        <v>97</v>
      </c>
      <c r="B42" s="53">
        <v>565</v>
      </c>
      <c r="C42" s="53">
        <v>22415000</v>
      </c>
      <c r="D42" s="54">
        <v>1.8301591777099941</v>
      </c>
      <c r="F42" s="53" t="s">
        <v>97</v>
      </c>
      <c r="G42" s="55">
        <v>565</v>
      </c>
      <c r="H42" s="55">
        <v>22415000</v>
      </c>
    </row>
    <row r="43" spans="1:8" x14ac:dyDescent="0.3">
      <c r="A43" s="53" t="s">
        <v>98</v>
      </c>
      <c r="B43" s="53">
        <v>97</v>
      </c>
      <c r="C43" s="53">
        <v>7384000</v>
      </c>
      <c r="D43" s="54">
        <v>1.8724657001610843</v>
      </c>
      <c r="F43" s="53" t="s">
        <v>98</v>
      </c>
      <c r="G43" s="55">
        <v>97</v>
      </c>
      <c r="H43" s="55">
        <v>7384000</v>
      </c>
    </row>
    <row r="44" spans="1:8" x14ac:dyDescent="0.3">
      <c r="A44" s="53" t="s">
        <v>99</v>
      </c>
      <c r="B44" s="53">
        <v>41</v>
      </c>
      <c r="C44" s="53">
        <v>5420000</v>
      </c>
      <c r="D44" s="54">
        <v>1.7868024518302887</v>
      </c>
      <c r="F44" s="53" t="s">
        <v>99</v>
      </c>
      <c r="G44" s="55">
        <v>41</v>
      </c>
      <c r="H44" s="55">
        <v>5420000</v>
      </c>
    </row>
    <row r="45" spans="1:8" x14ac:dyDescent="0.3">
      <c r="A45" s="53" t="s">
        <v>101</v>
      </c>
      <c r="B45" s="53">
        <v>6</v>
      </c>
      <c r="C45" s="53">
        <v>1407000</v>
      </c>
      <c r="D45" s="54">
        <v>1.687832275052914</v>
      </c>
      <c r="F45" s="53" t="s">
        <v>101</v>
      </c>
      <c r="G45" s="55">
        <v>6</v>
      </c>
      <c r="H45" s="55">
        <v>1407000</v>
      </c>
    </row>
    <row r="46" spans="1:8" x14ac:dyDescent="0.3">
      <c r="A46" s="53" t="s">
        <v>135</v>
      </c>
      <c r="B46" s="53">
        <v>5</v>
      </c>
      <c r="C46" s="53">
        <v>1765000</v>
      </c>
      <c r="D46" s="54">
        <v>1.4688399275579704</v>
      </c>
      <c r="F46" s="53" t="s">
        <v>135</v>
      </c>
      <c r="G46" s="55">
        <v>5</v>
      </c>
      <c r="H46" s="55">
        <v>1765000</v>
      </c>
    </row>
    <row r="47" spans="1:8" x14ac:dyDescent="0.3">
      <c r="A47" s="53" t="s">
        <v>136</v>
      </c>
      <c r="B47" s="53">
        <v>1</v>
      </c>
      <c r="C47" s="53">
        <v>879000</v>
      </c>
      <c r="D47" s="54">
        <v>1.758</v>
      </c>
      <c r="F47" s="53" t="s">
        <v>136</v>
      </c>
      <c r="G47" s="55">
        <v>1</v>
      </c>
      <c r="H47" s="55">
        <v>879000</v>
      </c>
    </row>
    <row r="48" spans="1:8" x14ac:dyDescent="0.3">
      <c r="A48" s="51" t="s">
        <v>56</v>
      </c>
      <c r="B48" s="51" t="s">
        <v>68</v>
      </c>
      <c r="C48" s="51" t="s">
        <v>69</v>
      </c>
      <c r="D48" s="52" t="s">
        <v>59</v>
      </c>
      <c r="G48" s="2"/>
      <c r="H48" s="2"/>
    </row>
    <row r="49" spans="1:9" x14ac:dyDescent="0.3">
      <c r="A49" s="53" t="s">
        <v>117</v>
      </c>
      <c r="B49" s="53">
        <v>387606</v>
      </c>
      <c r="C49" s="53">
        <v>3318445000</v>
      </c>
      <c r="D49" s="54">
        <v>2.1416358543732508</v>
      </c>
      <c r="F49" s="53" t="s">
        <v>117</v>
      </c>
      <c r="G49" s="55">
        <v>387606</v>
      </c>
      <c r="H49" s="55">
        <v>3318445000</v>
      </c>
    </row>
    <row r="50" spans="1:9" x14ac:dyDescent="0.3">
      <c r="A50" s="53" t="s">
        <v>133</v>
      </c>
      <c r="B50" s="53">
        <v>351500</v>
      </c>
      <c r="C50" s="53">
        <v>4239974000</v>
      </c>
      <c r="D50" s="54">
        <v>1.7475948588115451</v>
      </c>
      <c r="F50" s="53" t="s">
        <v>133</v>
      </c>
      <c r="G50" s="55">
        <v>351500</v>
      </c>
      <c r="H50" s="55">
        <v>4239974000</v>
      </c>
    </row>
    <row r="51" spans="1:9" x14ac:dyDescent="0.3">
      <c r="A51" s="53" t="s">
        <v>96</v>
      </c>
      <c r="B51" s="53">
        <v>120181</v>
      </c>
      <c r="C51" s="53">
        <v>2057908000</v>
      </c>
      <c r="D51" s="54">
        <v>1.7048985187701939</v>
      </c>
      <c r="F51" s="53" t="s">
        <v>96</v>
      </c>
      <c r="G51" s="55">
        <v>120181</v>
      </c>
      <c r="H51" s="55">
        <v>2057908000</v>
      </c>
    </row>
    <row r="52" spans="1:9" x14ac:dyDescent="0.3">
      <c r="A52" s="53" t="s">
        <v>134</v>
      </c>
      <c r="B52" s="53">
        <v>71814</v>
      </c>
      <c r="C52" s="53">
        <v>1714177000</v>
      </c>
      <c r="D52" s="54">
        <v>1.7188835024077191</v>
      </c>
      <c r="F52" s="53" t="s">
        <v>134</v>
      </c>
      <c r="G52" s="55">
        <v>71814</v>
      </c>
      <c r="H52" s="55">
        <v>1714177000</v>
      </c>
    </row>
    <row r="53" spans="1:9" x14ac:dyDescent="0.3">
      <c r="A53" s="53" t="s">
        <v>97</v>
      </c>
      <c r="B53" s="53">
        <v>35211</v>
      </c>
      <c r="C53" s="53">
        <v>1392550000</v>
      </c>
      <c r="D53" s="54">
        <v>1.7216270200400252</v>
      </c>
      <c r="F53" s="53" t="s">
        <v>97</v>
      </c>
      <c r="G53" s="55">
        <v>35211</v>
      </c>
      <c r="H53" s="55">
        <v>1392550000</v>
      </c>
    </row>
    <row r="54" spans="1:9" x14ac:dyDescent="0.3">
      <c r="A54" s="53" t="s">
        <v>98</v>
      </c>
      <c r="B54" s="53">
        <v>6094</v>
      </c>
      <c r="C54" s="53">
        <v>452819000</v>
      </c>
      <c r="D54" s="54">
        <v>1.6922274129727746</v>
      </c>
      <c r="F54" s="53" t="s">
        <v>98</v>
      </c>
      <c r="G54" s="55">
        <v>6094</v>
      </c>
      <c r="H54" s="55">
        <v>452819000</v>
      </c>
    </row>
    <row r="55" spans="1:9" x14ac:dyDescent="0.3">
      <c r="A55" s="53" t="s">
        <v>99</v>
      </c>
      <c r="B55" s="53">
        <v>2017</v>
      </c>
      <c r="C55" s="53">
        <v>264147000</v>
      </c>
      <c r="D55" s="54">
        <v>1.6905304182879801</v>
      </c>
      <c r="F55" s="53" t="s">
        <v>99</v>
      </c>
      <c r="G55" s="55">
        <v>2017</v>
      </c>
      <c r="H55" s="55">
        <v>264147000</v>
      </c>
    </row>
    <row r="56" spans="1:9" x14ac:dyDescent="0.3">
      <c r="A56" s="53" t="s">
        <v>101</v>
      </c>
      <c r="B56" s="53">
        <v>265</v>
      </c>
      <c r="C56" s="53">
        <v>63345000</v>
      </c>
      <c r="D56" s="54">
        <v>1.7148011377711658</v>
      </c>
      <c r="F56" s="53" t="s">
        <v>101</v>
      </c>
      <c r="G56" s="55">
        <v>265</v>
      </c>
      <c r="H56" s="55">
        <v>63345000</v>
      </c>
    </row>
    <row r="57" spans="1:9" x14ac:dyDescent="0.3">
      <c r="A57" s="53" t="s">
        <v>135</v>
      </c>
      <c r="B57" s="53">
        <v>125</v>
      </c>
      <c r="C57" s="53">
        <v>45994000</v>
      </c>
      <c r="D57" s="54">
        <v>1.6619220037298192</v>
      </c>
      <c r="F57" s="53" t="s">
        <v>135</v>
      </c>
      <c r="G57" s="55">
        <v>125</v>
      </c>
      <c r="H57" s="55">
        <v>45994000</v>
      </c>
    </row>
    <row r="58" spans="1:9" x14ac:dyDescent="0.3">
      <c r="A58" s="53" t="s">
        <v>136</v>
      </c>
      <c r="B58" s="53">
        <v>52</v>
      </c>
      <c r="C58" s="53">
        <v>42257000</v>
      </c>
      <c r="D58" s="54">
        <v>1.6252692307692307</v>
      </c>
      <c r="F58" s="53" t="s">
        <v>136</v>
      </c>
      <c r="G58" s="55">
        <v>52</v>
      </c>
      <c r="H58" s="55">
        <v>42257000</v>
      </c>
    </row>
    <row r="59" spans="1:9" x14ac:dyDescent="0.3">
      <c r="A59" s="51" t="s">
        <v>56</v>
      </c>
      <c r="B59" s="51" t="s">
        <v>70</v>
      </c>
      <c r="C59" s="51" t="s">
        <v>71</v>
      </c>
      <c r="D59" s="52" t="s">
        <v>59</v>
      </c>
      <c r="E59">
        <v>7600</v>
      </c>
      <c r="G59" s="2"/>
      <c r="H59" s="2"/>
    </row>
    <row r="60" spans="1:9" x14ac:dyDescent="0.3">
      <c r="A60" s="53" t="s">
        <v>137</v>
      </c>
      <c r="B60" s="53"/>
      <c r="C60" s="53"/>
      <c r="D60" s="54"/>
      <c r="F60" s="53" t="s">
        <v>117</v>
      </c>
      <c r="G60" s="2">
        <v>254903.5998691323</v>
      </c>
      <c r="H60" s="2">
        <v>2182328386.2162166</v>
      </c>
    </row>
    <row r="61" spans="1:9" x14ac:dyDescent="0.3">
      <c r="A61" s="53" t="s">
        <v>133</v>
      </c>
      <c r="B61" s="53">
        <v>231159</v>
      </c>
      <c r="C61" s="53">
        <v>2795771000</v>
      </c>
      <c r="D61" s="54">
        <v>1.9163180565098998</v>
      </c>
      <c r="F61" s="53" t="s">
        <v>133</v>
      </c>
      <c r="G61" s="55">
        <v>231159</v>
      </c>
      <c r="H61" s="55">
        <v>2795771000</v>
      </c>
      <c r="I61" s="54"/>
    </row>
    <row r="62" spans="1:9" x14ac:dyDescent="0.3">
      <c r="A62" s="53" t="s">
        <v>96</v>
      </c>
      <c r="B62" s="53">
        <v>90612</v>
      </c>
      <c r="C62" s="53">
        <v>1556135000</v>
      </c>
      <c r="D62" s="54">
        <v>1.8202779251812289</v>
      </c>
      <c r="F62" s="53" t="s">
        <v>96</v>
      </c>
      <c r="G62" s="55">
        <v>90612</v>
      </c>
      <c r="H62" s="55">
        <v>1556135000</v>
      </c>
      <c r="I62" s="54"/>
    </row>
    <row r="63" spans="1:9" x14ac:dyDescent="0.3">
      <c r="A63" s="53" t="s">
        <v>134</v>
      </c>
      <c r="B63" s="53">
        <v>64405</v>
      </c>
      <c r="C63" s="53">
        <v>1545900000</v>
      </c>
      <c r="D63" s="54">
        <v>1.7807162925562927</v>
      </c>
      <c r="F63" s="53" t="s">
        <v>134</v>
      </c>
      <c r="G63" s="55">
        <v>64405</v>
      </c>
      <c r="H63" s="55">
        <v>1545900000</v>
      </c>
      <c r="I63" s="54"/>
    </row>
    <row r="64" spans="1:9" x14ac:dyDescent="0.3">
      <c r="A64" s="53" t="s">
        <v>97</v>
      </c>
      <c r="B64" s="53">
        <v>36872</v>
      </c>
      <c r="C64" s="53">
        <v>1469979000</v>
      </c>
      <c r="D64" s="54">
        <v>1.7268562878521687</v>
      </c>
      <c r="F64" s="53" t="s">
        <v>97</v>
      </c>
      <c r="G64" s="55">
        <v>36872</v>
      </c>
      <c r="H64" s="55">
        <v>1469979000</v>
      </c>
      <c r="I64" s="54"/>
    </row>
    <row r="65" spans="1:9" x14ac:dyDescent="0.3">
      <c r="A65" s="53" t="s">
        <v>98</v>
      </c>
      <c r="B65" s="53">
        <v>6866</v>
      </c>
      <c r="C65" s="53">
        <v>510962000</v>
      </c>
      <c r="D65" s="54">
        <v>1.6460667292562445</v>
      </c>
      <c r="F65" s="53" t="s">
        <v>98</v>
      </c>
      <c r="G65" s="55">
        <v>6866</v>
      </c>
      <c r="H65" s="55">
        <v>510962000</v>
      </c>
      <c r="I65" s="54"/>
    </row>
    <row r="66" spans="1:9" x14ac:dyDescent="0.3">
      <c r="A66" s="53" t="s">
        <v>99</v>
      </c>
      <c r="B66" s="53">
        <v>2089</v>
      </c>
      <c r="C66" s="53">
        <v>269814000</v>
      </c>
      <c r="D66" s="54">
        <v>1.6508618765403396</v>
      </c>
      <c r="F66" s="53" t="s">
        <v>99</v>
      </c>
      <c r="G66" s="55">
        <v>2089</v>
      </c>
      <c r="H66" s="55">
        <v>269814000</v>
      </c>
      <c r="I66" s="54"/>
    </row>
    <row r="67" spans="1:9" x14ac:dyDescent="0.3">
      <c r="A67" s="53" t="s">
        <v>101</v>
      </c>
      <c r="B67" s="53">
        <v>274</v>
      </c>
      <c r="C67" s="53">
        <v>66049000</v>
      </c>
      <c r="D67" s="54">
        <v>1.6924673396815146</v>
      </c>
      <c r="F67" s="53" t="s">
        <v>101</v>
      </c>
      <c r="G67" s="55">
        <v>274</v>
      </c>
      <c r="H67" s="55">
        <v>66049000</v>
      </c>
      <c r="I67" s="54"/>
    </row>
    <row r="68" spans="1:9" x14ac:dyDescent="0.3">
      <c r="A68" s="53" t="s">
        <v>135</v>
      </c>
      <c r="B68" s="53">
        <v>118</v>
      </c>
      <c r="C68" s="53">
        <v>44464000</v>
      </c>
      <c r="D68" s="54">
        <v>1.6881198299679319</v>
      </c>
      <c r="F68" s="53" t="s">
        <v>135</v>
      </c>
      <c r="G68" s="55">
        <v>118</v>
      </c>
      <c r="H68" s="55">
        <v>44464000</v>
      </c>
      <c r="I68" s="54"/>
    </row>
    <row r="69" spans="1:9" x14ac:dyDescent="0.3">
      <c r="A69" s="53" t="s">
        <v>136</v>
      </c>
      <c r="B69" s="53">
        <v>41</v>
      </c>
      <c r="C69" s="53">
        <v>36062000</v>
      </c>
      <c r="D69" s="54">
        <v>1.7591219512195122</v>
      </c>
      <c r="F69" s="53" t="s">
        <v>136</v>
      </c>
      <c r="G69" s="55">
        <v>41</v>
      </c>
      <c r="H69" s="55">
        <v>36062000</v>
      </c>
      <c r="I69" s="54"/>
    </row>
    <row r="70" spans="1:9" x14ac:dyDescent="0.3">
      <c r="A70" s="51" t="s">
        <v>56</v>
      </c>
      <c r="B70" s="51" t="s">
        <v>72</v>
      </c>
      <c r="C70" s="51" t="s">
        <v>73</v>
      </c>
      <c r="D70" s="52" t="s">
        <v>59</v>
      </c>
      <c r="E70">
        <v>8750</v>
      </c>
      <c r="G70" s="2"/>
      <c r="H70" s="2"/>
    </row>
    <row r="71" spans="1:9" x14ac:dyDescent="0.3">
      <c r="A71" s="53" t="s">
        <v>138</v>
      </c>
      <c r="B71" s="53"/>
      <c r="C71" s="53"/>
      <c r="D71" s="54"/>
      <c r="F71" s="53" t="s">
        <v>117</v>
      </c>
      <c r="G71" s="2">
        <v>95327.918884779516</v>
      </c>
      <c r="H71" s="2">
        <v>816139212.97297311</v>
      </c>
    </row>
    <row r="72" spans="1:9" x14ac:dyDescent="0.3">
      <c r="A72" s="53" t="s">
        <v>133</v>
      </c>
      <c r="B72" s="53">
        <v>86448</v>
      </c>
      <c r="C72" s="53">
        <v>1070112000</v>
      </c>
      <c r="D72" s="54">
        <v>2.170040914574789</v>
      </c>
      <c r="F72" s="53" t="s">
        <v>133</v>
      </c>
      <c r="G72" s="55">
        <v>86448</v>
      </c>
      <c r="H72" s="55">
        <v>1070112000</v>
      </c>
    </row>
    <row r="73" spans="1:9" x14ac:dyDescent="0.3">
      <c r="A73" s="53" t="s">
        <v>96</v>
      </c>
      <c r="B73" s="53">
        <v>41422</v>
      </c>
      <c r="C73" s="53">
        <v>713264000</v>
      </c>
      <c r="D73" s="54">
        <v>1.9701319949317881</v>
      </c>
      <c r="F73" s="53" t="s">
        <v>96</v>
      </c>
      <c r="G73" s="55">
        <v>41422</v>
      </c>
      <c r="H73" s="55">
        <v>713264000</v>
      </c>
    </row>
    <row r="74" spans="1:9" x14ac:dyDescent="0.3">
      <c r="A74" s="53" t="s">
        <v>134</v>
      </c>
      <c r="B74" s="53">
        <v>33092</v>
      </c>
      <c r="C74" s="53">
        <v>797371000</v>
      </c>
      <c r="D74" s="54">
        <v>1.8937650469472311</v>
      </c>
      <c r="F74" s="53" t="s">
        <v>134</v>
      </c>
      <c r="G74" s="55">
        <v>33092</v>
      </c>
      <c r="H74" s="55">
        <v>797371000</v>
      </c>
    </row>
    <row r="75" spans="1:9" x14ac:dyDescent="0.3">
      <c r="A75" s="53" t="s">
        <v>97</v>
      </c>
      <c r="B75" s="53">
        <v>21968</v>
      </c>
      <c r="C75" s="53">
        <v>882085000</v>
      </c>
      <c r="D75" s="54">
        <v>1.7987510351712772</v>
      </c>
      <c r="F75" s="53" t="s">
        <v>97</v>
      </c>
      <c r="G75" s="55">
        <v>21968</v>
      </c>
      <c r="H75" s="55">
        <v>882085000</v>
      </c>
    </row>
    <row r="76" spans="1:9" x14ac:dyDescent="0.3">
      <c r="A76" s="53" t="s">
        <v>98</v>
      </c>
      <c r="B76" s="53">
        <v>4585</v>
      </c>
      <c r="C76" s="53">
        <v>342568000</v>
      </c>
      <c r="D76" s="54">
        <v>1.6882145278684986</v>
      </c>
      <c r="F76" s="53" t="s">
        <v>98</v>
      </c>
      <c r="G76" s="55">
        <v>4585</v>
      </c>
      <c r="H76" s="55">
        <v>342568000</v>
      </c>
    </row>
    <row r="77" spans="1:9" x14ac:dyDescent="0.3">
      <c r="A77" s="53" t="s">
        <v>99</v>
      </c>
      <c r="B77" s="53">
        <v>1488</v>
      </c>
      <c r="C77" s="53">
        <v>193999000</v>
      </c>
      <c r="D77" s="54">
        <v>1.6781627892857194</v>
      </c>
      <c r="F77" s="53" t="s">
        <v>99</v>
      </c>
      <c r="G77" s="55">
        <v>1488</v>
      </c>
      <c r="H77" s="55">
        <v>193999000</v>
      </c>
    </row>
    <row r="78" spans="1:9" x14ac:dyDescent="0.3">
      <c r="A78" s="53" t="s">
        <v>101</v>
      </c>
      <c r="B78" s="53">
        <v>220</v>
      </c>
      <c r="C78" s="53">
        <v>52722000</v>
      </c>
      <c r="D78" s="54">
        <v>1.6468596860012072</v>
      </c>
      <c r="F78" s="53" t="s">
        <v>101</v>
      </c>
      <c r="G78" s="55">
        <v>220</v>
      </c>
      <c r="H78" s="55">
        <v>52722000</v>
      </c>
    </row>
    <row r="79" spans="1:9" x14ac:dyDescent="0.3">
      <c r="A79" s="53" t="s">
        <v>135</v>
      </c>
      <c r="B79" s="53">
        <v>92</v>
      </c>
      <c r="C79" s="53">
        <v>34602000</v>
      </c>
      <c r="D79" s="54">
        <v>1.6243991866937768</v>
      </c>
      <c r="F79" s="53" t="s">
        <v>135</v>
      </c>
      <c r="G79" s="55">
        <v>92</v>
      </c>
      <c r="H79" s="55">
        <v>34602000</v>
      </c>
    </row>
    <row r="80" spans="1:9" x14ac:dyDescent="0.3">
      <c r="A80" s="53" t="s">
        <v>136</v>
      </c>
      <c r="B80" s="53">
        <v>33</v>
      </c>
      <c r="C80" s="53">
        <v>26315000</v>
      </c>
      <c r="D80" s="54">
        <v>1.594848484848485</v>
      </c>
      <c r="F80" s="53" t="s">
        <v>136</v>
      </c>
      <c r="G80" s="55">
        <v>33</v>
      </c>
      <c r="H80" s="55">
        <v>26315000</v>
      </c>
    </row>
    <row r="81" spans="1:8" x14ac:dyDescent="0.3">
      <c r="A81" s="51" t="s">
        <v>56</v>
      </c>
      <c r="B81" s="51" t="s">
        <v>74</v>
      </c>
      <c r="C81" s="51" t="s">
        <v>75</v>
      </c>
      <c r="D81" s="52" t="s">
        <v>59</v>
      </c>
      <c r="E81">
        <v>9900</v>
      </c>
      <c r="G81" s="2"/>
      <c r="H81" s="2"/>
    </row>
    <row r="82" spans="1:8" x14ac:dyDescent="0.3">
      <c r="A82" s="53" t="s">
        <v>139</v>
      </c>
      <c r="B82" s="53"/>
      <c r="C82" s="53"/>
      <c r="D82" s="54"/>
      <c r="F82" s="53" t="s">
        <v>117</v>
      </c>
      <c r="G82" s="2">
        <v>25424.307072546231</v>
      </c>
      <c r="H82" s="2">
        <v>217667334.05405408</v>
      </c>
    </row>
    <row r="83" spans="1:8" x14ac:dyDescent="0.3">
      <c r="A83" s="53" t="s">
        <v>133</v>
      </c>
      <c r="B83" s="53">
        <v>23056</v>
      </c>
      <c r="C83" s="53">
        <v>297542000</v>
      </c>
      <c r="D83" s="54">
        <v>2.5012478797984148</v>
      </c>
      <c r="F83" s="53" t="s">
        <v>133</v>
      </c>
      <c r="G83" s="55">
        <v>23056</v>
      </c>
      <c r="H83" s="55">
        <v>297542000</v>
      </c>
    </row>
    <row r="84" spans="1:8" x14ac:dyDescent="0.3">
      <c r="A84" s="53" t="s">
        <v>96</v>
      </c>
      <c r="B84" s="53">
        <v>16388</v>
      </c>
      <c r="C84" s="53">
        <v>282469000</v>
      </c>
      <c r="D84" s="54">
        <v>2.0887917751624068</v>
      </c>
      <c r="F84" s="53" t="s">
        <v>96</v>
      </c>
      <c r="G84" s="55">
        <v>16388</v>
      </c>
      <c r="H84" s="55">
        <v>282469000</v>
      </c>
    </row>
    <row r="85" spans="1:8" x14ac:dyDescent="0.3">
      <c r="A85" s="53" t="s">
        <v>134</v>
      </c>
      <c r="B85" s="53">
        <v>14129</v>
      </c>
      <c r="C85" s="53">
        <v>342227000</v>
      </c>
      <c r="D85" s="54">
        <v>1.981161363414333</v>
      </c>
      <c r="F85" s="53" t="s">
        <v>134</v>
      </c>
      <c r="G85" s="55">
        <v>14129</v>
      </c>
      <c r="H85" s="55">
        <v>342227000</v>
      </c>
    </row>
    <row r="86" spans="1:8" x14ac:dyDescent="0.3">
      <c r="A86" s="53" t="s">
        <v>97</v>
      </c>
      <c r="B86" s="53">
        <v>10337</v>
      </c>
      <c r="C86" s="53">
        <v>417491000</v>
      </c>
      <c r="D86" s="54">
        <v>1.8480386522340018</v>
      </c>
      <c r="F86" s="53" t="s">
        <v>97</v>
      </c>
      <c r="G86" s="55">
        <v>10337</v>
      </c>
      <c r="H86" s="55">
        <v>417491000</v>
      </c>
    </row>
    <row r="87" spans="1:8" x14ac:dyDescent="0.3">
      <c r="A87" s="53" t="s">
        <v>98</v>
      </c>
      <c r="B87" s="53">
        <v>2432</v>
      </c>
      <c r="C87" s="53">
        <v>182167000</v>
      </c>
      <c r="D87" s="54">
        <v>1.6790891544246358</v>
      </c>
      <c r="F87" s="53" t="s">
        <v>98</v>
      </c>
      <c r="G87" s="55">
        <v>2432</v>
      </c>
      <c r="H87" s="55">
        <v>182167000</v>
      </c>
    </row>
    <row r="88" spans="1:8" x14ac:dyDescent="0.3">
      <c r="A88" s="53" t="s">
        <v>99</v>
      </c>
      <c r="B88" s="53">
        <v>832</v>
      </c>
      <c r="C88" s="53">
        <v>107639000</v>
      </c>
      <c r="D88" s="54">
        <v>1.631951998444644</v>
      </c>
      <c r="F88" s="53" t="s">
        <v>99</v>
      </c>
      <c r="G88" s="55">
        <v>832</v>
      </c>
      <c r="H88" s="55">
        <v>107639000</v>
      </c>
    </row>
    <row r="89" spans="1:8" x14ac:dyDescent="0.3">
      <c r="A89" s="53" t="s">
        <v>101</v>
      </c>
      <c r="B89" s="53">
        <v>114</v>
      </c>
      <c r="C89" s="53">
        <v>27205000</v>
      </c>
      <c r="D89" s="54">
        <v>1.6203475540508687</v>
      </c>
      <c r="F89" s="53" t="s">
        <v>101</v>
      </c>
      <c r="G89" s="55">
        <v>114</v>
      </c>
      <c r="H89" s="55">
        <v>27205000</v>
      </c>
    </row>
    <row r="90" spans="1:8" x14ac:dyDescent="0.3">
      <c r="A90" s="53" t="s">
        <v>135</v>
      </c>
      <c r="B90" s="53">
        <v>44</v>
      </c>
      <c r="C90" s="53">
        <v>16493000</v>
      </c>
      <c r="D90" s="54">
        <v>1.6125145555257447</v>
      </c>
      <c r="F90" s="53" t="s">
        <v>135</v>
      </c>
      <c r="G90" s="55">
        <v>44</v>
      </c>
      <c r="H90" s="55">
        <v>16493000</v>
      </c>
    </row>
    <row r="91" spans="1:8" x14ac:dyDescent="0.3">
      <c r="A91" s="53" t="s">
        <v>136</v>
      </c>
      <c r="B91" s="53">
        <v>17</v>
      </c>
      <c r="C91" s="53">
        <v>13017000</v>
      </c>
      <c r="D91" s="54">
        <v>1.5314117647058825</v>
      </c>
      <c r="F91" s="53" t="s">
        <v>136</v>
      </c>
      <c r="G91" s="55">
        <v>17</v>
      </c>
      <c r="H91" s="55">
        <v>13017000</v>
      </c>
    </row>
    <row r="92" spans="1:8" x14ac:dyDescent="0.3">
      <c r="A92" s="51" t="s">
        <v>56</v>
      </c>
      <c r="B92" s="51" t="s">
        <v>76</v>
      </c>
      <c r="C92" s="51" t="s">
        <v>77</v>
      </c>
      <c r="D92" s="52" t="s">
        <v>59</v>
      </c>
      <c r="E92">
        <v>10050</v>
      </c>
      <c r="G92" s="2"/>
      <c r="H92" s="2"/>
    </row>
    <row r="93" spans="1:8" x14ac:dyDescent="0.3">
      <c r="A93" s="53" t="s">
        <v>117</v>
      </c>
      <c r="B93" s="53"/>
      <c r="C93" s="53"/>
      <c r="D93" s="54"/>
      <c r="F93" s="53" t="s">
        <v>117</v>
      </c>
      <c r="G93" s="2">
        <v>9694.6848240384061</v>
      </c>
      <c r="H93" s="2">
        <v>82999949.383926287</v>
      </c>
    </row>
    <row r="94" spans="1:8" x14ac:dyDescent="0.3">
      <c r="A94" s="53" t="s">
        <v>140</v>
      </c>
      <c r="B94" s="53"/>
      <c r="C94" s="53"/>
      <c r="D94" s="54"/>
      <c r="F94" s="53" t="s">
        <v>133</v>
      </c>
      <c r="G94" s="2">
        <v>8791.6123993165729</v>
      </c>
      <c r="H94" s="2">
        <v>113457405.29655845</v>
      </c>
    </row>
    <row r="95" spans="1:8" x14ac:dyDescent="0.3">
      <c r="A95" s="53" t="s">
        <v>96</v>
      </c>
      <c r="B95" s="53">
        <v>6249</v>
      </c>
      <c r="C95" s="53">
        <v>107594000</v>
      </c>
      <c r="D95" s="54">
        <v>2.1808385221051485</v>
      </c>
      <c r="F95" s="53" t="s">
        <v>96</v>
      </c>
      <c r="G95" s="55">
        <v>6249</v>
      </c>
      <c r="H95" s="55">
        <v>107594000</v>
      </c>
    </row>
    <row r="96" spans="1:8" x14ac:dyDescent="0.3">
      <c r="A96" s="53" t="s">
        <v>134</v>
      </c>
      <c r="B96" s="53">
        <v>5614</v>
      </c>
      <c r="C96" s="53">
        <v>135680000</v>
      </c>
      <c r="D96" s="54">
        <v>2.0444794466173319</v>
      </c>
      <c r="F96" s="53" t="s">
        <v>134</v>
      </c>
      <c r="G96" s="55">
        <v>5614</v>
      </c>
      <c r="H96" s="55">
        <v>135680000</v>
      </c>
    </row>
    <row r="97" spans="1:8" x14ac:dyDescent="0.3">
      <c r="A97" s="53" t="s">
        <v>97</v>
      </c>
      <c r="B97" s="53">
        <v>4633</v>
      </c>
      <c r="C97" s="53">
        <v>186717000</v>
      </c>
      <c r="D97" s="54">
        <v>1.8646415545335886</v>
      </c>
      <c r="F97" s="53" t="s">
        <v>97</v>
      </c>
      <c r="G97" s="55">
        <v>4633</v>
      </c>
      <c r="H97" s="55">
        <v>186717000</v>
      </c>
    </row>
    <row r="98" spans="1:8" x14ac:dyDescent="0.3">
      <c r="A98" s="53" t="s">
        <v>98</v>
      </c>
      <c r="B98" s="53">
        <v>1121</v>
      </c>
      <c r="C98" s="53">
        <v>84440000</v>
      </c>
      <c r="D98" s="54">
        <v>1.681844098519228</v>
      </c>
      <c r="F98" s="53" t="s">
        <v>98</v>
      </c>
      <c r="G98" s="55">
        <v>1121</v>
      </c>
      <c r="H98" s="55">
        <v>84440000</v>
      </c>
    </row>
    <row r="99" spans="1:8" x14ac:dyDescent="0.3">
      <c r="A99" s="53" t="s">
        <v>99</v>
      </c>
      <c r="B99" s="53">
        <v>406</v>
      </c>
      <c r="C99" s="53">
        <v>52974000</v>
      </c>
      <c r="D99" s="54">
        <v>1.5924423817780824</v>
      </c>
      <c r="F99" s="53" t="s">
        <v>99</v>
      </c>
      <c r="G99" s="55">
        <v>406</v>
      </c>
      <c r="H99" s="55">
        <v>52974000</v>
      </c>
    </row>
    <row r="100" spans="1:8" x14ac:dyDescent="0.3">
      <c r="A100" s="53" t="s">
        <v>101</v>
      </c>
      <c r="B100" s="53">
        <v>61</v>
      </c>
      <c r="C100" s="53">
        <v>14361000</v>
      </c>
      <c r="D100" s="54">
        <v>1.4756238932239434</v>
      </c>
      <c r="F100" s="53" t="s">
        <v>101</v>
      </c>
      <c r="G100" s="55">
        <v>61</v>
      </c>
      <c r="H100" s="55">
        <v>14361000</v>
      </c>
    </row>
    <row r="101" spans="1:8" x14ac:dyDescent="0.3">
      <c r="A101" s="53" t="s">
        <v>135</v>
      </c>
      <c r="B101" s="53">
        <v>19</v>
      </c>
      <c r="C101" s="53">
        <v>6857000</v>
      </c>
      <c r="D101" s="54">
        <v>1.4694176860771309</v>
      </c>
      <c r="F101" s="53" t="s">
        <v>135</v>
      </c>
      <c r="G101" s="55">
        <v>19</v>
      </c>
      <c r="H101" s="55">
        <v>6857000</v>
      </c>
    </row>
    <row r="102" spans="1:8" x14ac:dyDescent="0.3">
      <c r="A102" s="53" t="s">
        <v>136</v>
      </c>
      <c r="B102" s="53">
        <v>6</v>
      </c>
      <c r="C102" s="53">
        <v>4164000</v>
      </c>
      <c r="D102" s="54">
        <v>1.3879999999999999</v>
      </c>
      <c r="F102" s="53" t="s">
        <v>136</v>
      </c>
      <c r="G102" s="55">
        <v>6</v>
      </c>
      <c r="H102" s="55">
        <v>4164000</v>
      </c>
    </row>
    <row r="103" spans="1:8" x14ac:dyDescent="0.3">
      <c r="A103" s="51" t="s">
        <v>56</v>
      </c>
      <c r="B103" s="51" t="s">
        <v>78</v>
      </c>
      <c r="C103" s="51" t="s">
        <v>79</v>
      </c>
      <c r="D103" s="52" t="s">
        <v>59</v>
      </c>
      <c r="E103">
        <v>11200</v>
      </c>
      <c r="G103" s="2"/>
      <c r="H103" s="2"/>
    </row>
    <row r="104" spans="1:8" x14ac:dyDescent="0.3">
      <c r="A104" s="53" t="s">
        <v>117</v>
      </c>
      <c r="B104" s="53"/>
      <c r="C104" s="53"/>
      <c r="D104" s="54"/>
      <c r="F104" s="53" t="s">
        <v>117</v>
      </c>
      <c r="G104" s="2">
        <v>3864.5319085741194</v>
      </c>
      <c r="H104" s="2">
        <v>33085753.547025189</v>
      </c>
    </row>
    <row r="105" spans="1:8" x14ac:dyDescent="0.3">
      <c r="A105" s="53" t="s">
        <v>141</v>
      </c>
      <c r="B105" s="53"/>
      <c r="C105" s="53"/>
      <c r="D105" s="54"/>
      <c r="F105" s="53" t="s">
        <v>133</v>
      </c>
      <c r="G105" s="2">
        <v>3504.5457651940446</v>
      </c>
      <c r="H105" s="2">
        <v>45226819.746155724</v>
      </c>
    </row>
    <row r="106" spans="1:8" x14ac:dyDescent="0.3">
      <c r="A106" s="53" t="s">
        <v>96</v>
      </c>
      <c r="B106" s="53">
        <v>2491</v>
      </c>
      <c r="C106" s="53">
        <v>43181000</v>
      </c>
      <c r="D106" s="54">
        <v>2.2887654605192869</v>
      </c>
      <c r="F106" s="53" t="s">
        <v>96</v>
      </c>
      <c r="G106" s="55">
        <v>2491</v>
      </c>
      <c r="H106" s="55">
        <v>43181000</v>
      </c>
    </row>
    <row r="107" spans="1:8" x14ac:dyDescent="0.3">
      <c r="A107" s="53" t="s">
        <v>134</v>
      </c>
      <c r="B107" s="53">
        <v>2417</v>
      </c>
      <c r="C107" s="53">
        <v>58899000</v>
      </c>
      <c r="D107" s="54">
        <v>2.1235255692691082</v>
      </c>
      <c r="F107" s="53" t="s">
        <v>134</v>
      </c>
      <c r="G107" s="55">
        <v>2417</v>
      </c>
      <c r="H107" s="55">
        <v>58899000</v>
      </c>
    </row>
    <row r="108" spans="1:8" x14ac:dyDescent="0.3">
      <c r="A108" s="53" t="s">
        <v>97</v>
      </c>
      <c r="B108" s="53">
        <v>2043</v>
      </c>
      <c r="C108" s="53">
        <v>83697000</v>
      </c>
      <c r="D108" s="54">
        <v>1.9385231775587874</v>
      </c>
      <c r="F108" s="53" t="s">
        <v>97</v>
      </c>
      <c r="G108" s="55">
        <v>2043</v>
      </c>
      <c r="H108" s="55">
        <v>83697000</v>
      </c>
    </row>
    <row r="109" spans="1:8" x14ac:dyDescent="0.3">
      <c r="A109" s="53" t="s">
        <v>98</v>
      </c>
      <c r="B109" s="53">
        <v>527</v>
      </c>
      <c r="C109" s="53">
        <v>39754000</v>
      </c>
      <c r="D109" s="54">
        <v>1.750508248625229</v>
      </c>
      <c r="F109" s="53" t="s">
        <v>98</v>
      </c>
      <c r="G109" s="55">
        <v>527</v>
      </c>
      <c r="H109" s="55">
        <v>39754000</v>
      </c>
    </row>
    <row r="110" spans="1:8" x14ac:dyDescent="0.3">
      <c r="A110" s="53" t="s">
        <v>99</v>
      </c>
      <c r="B110" s="53">
        <v>175</v>
      </c>
      <c r="C110" s="53">
        <v>23487000</v>
      </c>
      <c r="D110" s="54">
        <v>1.7501388874565458</v>
      </c>
      <c r="F110" s="53" t="s">
        <v>99</v>
      </c>
      <c r="G110" s="55">
        <v>175</v>
      </c>
      <c r="H110" s="55">
        <v>23487000</v>
      </c>
    </row>
    <row r="111" spans="1:8" x14ac:dyDescent="0.3">
      <c r="A111" s="53" t="s">
        <v>101</v>
      </c>
      <c r="B111" s="53">
        <v>35</v>
      </c>
      <c r="C111" s="53">
        <v>8306000</v>
      </c>
      <c r="D111" s="54">
        <v>1.6191898738396415</v>
      </c>
      <c r="F111" s="53" t="s">
        <v>101</v>
      </c>
      <c r="G111" s="55">
        <v>35</v>
      </c>
      <c r="H111" s="55">
        <v>8306000</v>
      </c>
    </row>
    <row r="112" spans="1:8" x14ac:dyDescent="0.3">
      <c r="A112" s="53" t="s">
        <v>135</v>
      </c>
      <c r="B112" s="53">
        <v>8</v>
      </c>
      <c r="C112" s="53">
        <v>3082000</v>
      </c>
      <c r="D112" s="54">
        <v>1.8560919764212989</v>
      </c>
      <c r="F112" s="53" t="s">
        <v>135</v>
      </c>
      <c r="G112" s="55">
        <v>8</v>
      </c>
      <c r="H112" s="55">
        <v>3082000</v>
      </c>
    </row>
    <row r="113" spans="1:8" x14ac:dyDescent="0.3">
      <c r="A113" s="53" t="s">
        <v>136</v>
      </c>
      <c r="B113" s="53">
        <v>5</v>
      </c>
      <c r="C113" s="53">
        <v>4157000</v>
      </c>
      <c r="D113" s="54">
        <v>1.6628000000000001</v>
      </c>
      <c r="F113" s="53" t="s">
        <v>136</v>
      </c>
      <c r="G113" s="55">
        <v>5</v>
      </c>
      <c r="H113" s="55">
        <v>4157000</v>
      </c>
    </row>
    <row r="114" spans="1:8" x14ac:dyDescent="0.3">
      <c r="A114" s="51" t="s">
        <v>56</v>
      </c>
      <c r="B114" s="51" t="s">
        <v>80</v>
      </c>
      <c r="C114" s="51" t="s">
        <v>81</v>
      </c>
      <c r="D114" s="52" t="s">
        <v>59</v>
      </c>
      <c r="E114">
        <v>12350</v>
      </c>
      <c r="G114" s="2"/>
      <c r="H114" s="2"/>
    </row>
    <row r="115" spans="1:8" x14ac:dyDescent="0.3">
      <c r="A115" s="53" t="s">
        <v>117</v>
      </c>
      <c r="B115" s="53"/>
      <c r="C115" s="53"/>
      <c r="D115" s="54"/>
      <c r="F115" s="53" t="s">
        <v>117</v>
      </c>
      <c r="G115" s="2">
        <v>1101.492434800331</v>
      </c>
      <c r="H115" s="2">
        <v>9430303.0985097885</v>
      </c>
    </row>
    <row r="116" spans="1:8" x14ac:dyDescent="0.3">
      <c r="A116" s="53" t="s">
        <v>142</v>
      </c>
      <c r="B116" s="53"/>
      <c r="C116" s="53"/>
      <c r="D116" s="54"/>
      <c r="F116" s="53" t="s">
        <v>133</v>
      </c>
      <c r="G116" s="2">
        <v>998.88699048083959</v>
      </c>
      <c r="H116" s="2">
        <v>12890823.773492796</v>
      </c>
    </row>
    <row r="117" spans="1:8" x14ac:dyDescent="0.3">
      <c r="A117" s="53" t="s">
        <v>96</v>
      </c>
      <c r="B117" s="53">
        <v>710</v>
      </c>
      <c r="C117" s="53">
        <v>12658000</v>
      </c>
      <c r="D117" s="54">
        <v>2.4677372954575332</v>
      </c>
      <c r="F117" s="53" t="s">
        <v>96</v>
      </c>
      <c r="G117" s="55">
        <v>710</v>
      </c>
      <c r="H117" s="55">
        <v>12658000</v>
      </c>
    </row>
    <row r="118" spans="1:8" x14ac:dyDescent="0.3">
      <c r="A118" s="53" t="s">
        <v>134</v>
      </c>
      <c r="B118" s="53">
        <v>939</v>
      </c>
      <c r="C118" s="53">
        <v>22838000</v>
      </c>
      <c r="D118" s="54">
        <v>2.1737356593828028</v>
      </c>
      <c r="F118" s="53" t="s">
        <v>134</v>
      </c>
      <c r="G118" s="55">
        <v>939</v>
      </c>
      <c r="H118" s="55">
        <v>22838000</v>
      </c>
    </row>
    <row r="119" spans="1:8" x14ac:dyDescent="0.3">
      <c r="A119" s="53" t="s">
        <v>97</v>
      </c>
      <c r="B119" s="53">
        <v>817</v>
      </c>
      <c r="C119" s="53">
        <v>33449000</v>
      </c>
      <c r="D119" s="54">
        <v>1.9604481640702389</v>
      </c>
      <c r="F119" s="53" t="s">
        <v>97</v>
      </c>
      <c r="G119" s="55">
        <v>817</v>
      </c>
      <c r="H119" s="55">
        <v>33449000</v>
      </c>
    </row>
    <row r="120" spans="1:8" x14ac:dyDescent="0.3">
      <c r="A120" s="53" t="s">
        <v>98</v>
      </c>
      <c r="B120" s="53">
        <v>236</v>
      </c>
      <c r="C120" s="53">
        <v>17934000</v>
      </c>
      <c r="D120" s="54">
        <v>1.6627014078419236</v>
      </c>
      <c r="F120" s="53" t="s">
        <v>98</v>
      </c>
      <c r="G120" s="55">
        <v>236</v>
      </c>
      <c r="H120" s="55">
        <v>17934000</v>
      </c>
    </row>
    <row r="121" spans="1:8" x14ac:dyDescent="0.3">
      <c r="A121" s="53" t="s">
        <v>99</v>
      </c>
      <c r="B121" s="53">
        <v>108</v>
      </c>
      <c r="C121" s="53">
        <v>14082000</v>
      </c>
      <c r="D121" s="54">
        <v>1.4615893782522573</v>
      </c>
      <c r="F121" s="53" t="s">
        <v>99</v>
      </c>
      <c r="G121" s="55">
        <v>108</v>
      </c>
      <c r="H121" s="55">
        <v>14082000</v>
      </c>
    </row>
    <row r="122" spans="1:8" x14ac:dyDescent="0.3">
      <c r="A122" s="53" t="s">
        <v>101</v>
      </c>
      <c r="B122" s="53">
        <v>9</v>
      </c>
      <c r="C122" s="53">
        <v>2167000</v>
      </c>
      <c r="D122" s="54">
        <v>1.3864691380815575</v>
      </c>
      <c r="F122" s="53" t="s">
        <v>101</v>
      </c>
      <c r="G122" s="55">
        <v>9</v>
      </c>
      <c r="H122" s="55">
        <v>2167000</v>
      </c>
    </row>
    <row r="123" spans="1:8" x14ac:dyDescent="0.3">
      <c r="A123" s="53" t="s">
        <v>135</v>
      </c>
      <c r="B123" s="53">
        <v>4</v>
      </c>
      <c r="C123" s="53">
        <v>1438000</v>
      </c>
      <c r="D123" s="54">
        <v>1.1982933902203259</v>
      </c>
      <c r="F123" s="53" t="s">
        <v>135</v>
      </c>
      <c r="G123" s="55">
        <v>4</v>
      </c>
      <c r="H123" s="55">
        <v>1438000</v>
      </c>
    </row>
    <row r="124" spans="1:8" x14ac:dyDescent="0.3">
      <c r="A124" s="53" t="s">
        <v>136</v>
      </c>
      <c r="B124" s="53"/>
      <c r="C124" s="53"/>
      <c r="D124" s="54"/>
      <c r="F124" s="53" t="s">
        <v>136</v>
      </c>
      <c r="G124" s="55"/>
      <c r="H124" s="55"/>
    </row>
    <row r="125" spans="1:8" x14ac:dyDescent="0.3">
      <c r="A125" s="51" t="s">
        <v>56</v>
      </c>
      <c r="B125" s="51" t="s">
        <v>82</v>
      </c>
      <c r="C125" s="51" t="s">
        <v>83</v>
      </c>
      <c r="D125" s="52" t="s">
        <v>59</v>
      </c>
      <c r="E125">
        <v>13500</v>
      </c>
      <c r="G125" s="2"/>
      <c r="H125" s="2"/>
    </row>
    <row r="126" spans="1:8" x14ac:dyDescent="0.3">
      <c r="A126" s="53" t="s">
        <v>117</v>
      </c>
      <c r="B126" s="53"/>
      <c r="C126" s="53"/>
      <c r="D126" s="54"/>
      <c r="F126" s="53" t="s">
        <v>117</v>
      </c>
      <c r="G126" s="2">
        <v>349.06450398602038</v>
      </c>
      <c r="H126" s="2">
        <v>2988476.3340347917</v>
      </c>
    </row>
    <row r="127" spans="1:8" x14ac:dyDescent="0.3">
      <c r="A127" s="53" t="s">
        <v>143</v>
      </c>
      <c r="B127" s="53"/>
      <c r="C127" s="53"/>
      <c r="D127" s="54"/>
      <c r="F127" s="53" t="s">
        <v>133</v>
      </c>
      <c r="G127" s="2">
        <v>316.54869416646324</v>
      </c>
      <c r="H127" s="2">
        <v>4085120.2099096887</v>
      </c>
    </row>
    <row r="128" spans="1:8" x14ac:dyDescent="0.3">
      <c r="A128" s="53" t="s">
        <v>96</v>
      </c>
      <c r="B128" s="53">
        <v>225</v>
      </c>
      <c r="C128" s="53">
        <v>4012000</v>
      </c>
      <c r="D128" s="54">
        <v>2.6850316843034876</v>
      </c>
      <c r="F128" s="53" t="s">
        <v>96</v>
      </c>
      <c r="G128" s="55">
        <v>225</v>
      </c>
      <c r="H128" s="55">
        <v>4012000</v>
      </c>
    </row>
    <row r="129" spans="1:8" x14ac:dyDescent="0.3">
      <c r="A129" s="53" t="s">
        <v>134</v>
      </c>
      <c r="B129" s="53">
        <v>393</v>
      </c>
      <c r="C129" s="53">
        <v>9457000</v>
      </c>
      <c r="D129" s="54">
        <v>2.2840609609725053</v>
      </c>
      <c r="F129" s="53" t="s">
        <v>134</v>
      </c>
      <c r="G129" s="55">
        <v>393</v>
      </c>
      <c r="H129" s="55">
        <v>9457000</v>
      </c>
    </row>
    <row r="130" spans="1:8" x14ac:dyDescent="0.3">
      <c r="A130" s="53" t="s">
        <v>97</v>
      </c>
      <c r="B130" s="53">
        <v>385</v>
      </c>
      <c r="C130" s="53">
        <v>15995000</v>
      </c>
      <c r="D130" s="54">
        <v>2.044867794222061</v>
      </c>
      <c r="F130" s="53" t="s">
        <v>97</v>
      </c>
      <c r="G130" s="55">
        <v>385</v>
      </c>
      <c r="H130" s="55">
        <v>15995000</v>
      </c>
    </row>
    <row r="131" spans="1:8" x14ac:dyDescent="0.3">
      <c r="A131" s="53" t="s">
        <v>98</v>
      </c>
      <c r="B131" s="53">
        <v>101</v>
      </c>
      <c r="C131" s="53">
        <v>7628000</v>
      </c>
      <c r="D131" s="54">
        <v>1.8274380430265842</v>
      </c>
      <c r="F131" s="53" t="s">
        <v>98</v>
      </c>
      <c r="G131" s="55">
        <v>101</v>
      </c>
      <c r="H131" s="55">
        <v>7628000</v>
      </c>
    </row>
    <row r="132" spans="1:8" x14ac:dyDescent="0.3">
      <c r="A132" s="53" t="s">
        <v>99</v>
      </c>
      <c r="B132" s="53">
        <v>49</v>
      </c>
      <c r="C132" s="53">
        <v>6588000</v>
      </c>
      <c r="D132" s="54">
        <v>1.7014088064877724</v>
      </c>
      <c r="F132" s="53" t="s">
        <v>99</v>
      </c>
      <c r="G132" s="55">
        <v>49</v>
      </c>
      <c r="H132" s="55">
        <v>6588000</v>
      </c>
    </row>
    <row r="133" spans="1:8" x14ac:dyDescent="0.3">
      <c r="A133" s="53" t="s">
        <v>101</v>
      </c>
      <c r="B133" s="53">
        <v>4</v>
      </c>
      <c r="C133" s="53">
        <v>1000000</v>
      </c>
      <c r="D133" s="54">
        <v>1.9442777861106946</v>
      </c>
      <c r="F133" s="53" t="s">
        <v>101</v>
      </c>
      <c r="G133" s="55">
        <v>4</v>
      </c>
      <c r="H133" s="55">
        <v>1000000</v>
      </c>
    </row>
    <row r="134" spans="1:8" x14ac:dyDescent="0.3">
      <c r="A134" s="53" t="s">
        <v>135</v>
      </c>
      <c r="B134" s="53">
        <v>1</v>
      </c>
      <c r="C134" s="53">
        <v>367000</v>
      </c>
      <c r="D134" s="54">
        <v>1.7591080297323423</v>
      </c>
      <c r="F134" s="53" t="s">
        <v>135</v>
      </c>
      <c r="G134" s="55">
        <v>1</v>
      </c>
      <c r="H134" s="55">
        <v>367000</v>
      </c>
    </row>
    <row r="135" spans="1:8" x14ac:dyDescent="0.3">
      <c r="A135" s="53" t="s">
        <v>136</v>
      </c>
      <c r="B135" s="53">
        <v>3</v>
      </c>
      <c r="C135" s="53">
        <v>1744000</v>
      </c>
      <c r="D135" s="54">
        <v>1.1626666666666667</v>
      </c>
      <c r="F135" s="53" t="s">
        <v>136</v>
      </c>
      <c r="G135" s="55">
        <v>3</v>
      </c>
      <c r="H135" s="55">
        <v>1744000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1924</v>
      </c>
      <c r="C1" s="8" t="s">
        <v>24</v>
      </c>
      <c r="D1" s="10">
        <f>1000*[1]TD1!$C$31</f>
        <v>15802738.356745167</v>
      </c>
      <c r="E1" s="8" t="s">
        <v>30</v>
      </c>
      <c r="F1" s="21">
        <f>(SUMPRODUCT(D4:D14,H4:H14,I4:I14)/(D2*B2))/((1-SUMPRODUCT(D4:D14,H4:H14,I4:I14)/B2)/(1-D2))</f>
        <v>0.7167226799883416</v>
      </c>
      <c r="G1" s="19"/>
      <c r="H1" s="16"/>
    </row>
    <row r="2" spans="1:12" x14ac:dyDescent="0.3">
      <c r="A2" s="8" t="s">
        <v>12</v>
      </c>
      <c r="B2" s="11">
        <f>[1]TD2!$M$31</f>
        <v>5965.1109887355942</v>
      </c>
      <c r="C2" s="8" t="s">
        <v>15</v>
      </c>
      <c r="D2" s="14">
        <f>[1]TD1!$F$31</f>
        <v>0.21403110244096912</v>
      </c>
      <c r="E2" s="18" t="s">
        <v>26</v>
      </c>
      <c r="I2" s="8"/>
      <c r="L2" s="14">
        <f>D2</f>
        <v>0.21403110244096912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0.24440714129295285</v>
      </c>
      <c r="E4" s="14"/>
      <c r="F4" s="8"/>
      <c r="G4" s="8"/>
      <c r="H4" s="17">
        <f>((1-B4)*B2-(1-B5)*C5*A5)/(B5-B4)</f>
        <v>3311.4059691047332</v>
      </c>
      <c r="I4" s="18">
        <f t="shared" ref="I4" si="0">B5-B4</f>
        <v>0.78965002298355103</v>
      </c>
      <c r="L4" s="14"/>
    </row>
    <row r="5" spans="1:12" x14ac:dyDescent="0.3">
      <c r="A5" s="11">
        <v>7000</v>
      </c>
      <c r="B5" s="12">
        <v>0.78965002298355103</v>
      </c>
      <c r="C5" s="8">
        <v>2.2752959728240967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8577.551857813658</v>
      </c>
      <c r="I5" s="18">
        <f t="shared" ref="I5:I13" si="3">B6-B5</f>
        <v>0.12005472183227539</v>
      </c>
      <c r="L5" s="14">
        <v>0.1</v>
      </c>
    </row>
    <row r="6" spans="1:12" x14ac:dyDescent="0.3">
      <c r="A6" s="11">
        <v>10000</v>
      </c>
      <c r="B6" s="12">
        <v>0.90970474481582642</v>
      </c>
      <c r="C6" s="8">
        <v>2.5698843002319336</v>
      </c>
      <c r="D6" s="14">
        <f t="shared" si="1"/>
        <v>0.1</v>
      </c>
      <c r="E6" s="14"/>
      <c r="F6" s="8"/>
      <c r="G6" s="8"/>
      <c r="H6" s="17">
        <f t="shared" si="2"/>
        <v>14163.911217419636</v>
      </c>
      <c r="I6" s="18">
        <f t="shared" si="3"/>
        <v>6.0630500316619873E-2</v>
      </c>
      <c r="L6" s="14">
        <v>0.1</v>
      </c>
    </row>
    <row r="7" spans="1:12" x14ac:dyDescent="0.3">
      <c r="A7" s="11">
        <v>20000</v>
      </c>
      <c r="B7" s="12">
        <v>0.97033524513244629</v>
      </c>
      <c r="C7" s="8">
        <v>2.4637293815612793</v>
      </c>
      <c r="D7" s="14">
        <f t="shared" si="1"/>
        <v>0.1</v>
      </c>
      <c r="E7" s="14"/>
      <c r="H7" s="17">
        <f t="shared" si="2"/>
        <v>23815.40992803741</v>
      </c>
      <c r="I7" s="18">
        <f t="shared" si="3"/>
        <v>1.4133453369140625E-2</v>
      </c>
      <c r="L7" s="14">
        <v>0.1</v>
      </c>
    </row>
    <row r="8" spans="1:12" x14ac:dyDescent="0.3">
      <c r="A8" s="11">
        <v>30000</v>
      </c>
      <c r="B8" s="12">
        <v>0.98446869850158691</v>
      </c>
      <c r="C8" s="8">
        <v>2.4147462844848633</v>
      </c>
      <c r="D8" s="14">
        <f t="shared" si="1"/>
        <v>0.1</v>
      </c>
      <c r="E8" s="14"/>
      <c r="H8" s="17">
        <f t="shared" si="2"/>
        <v>37691.122133238037</v>
      </c>
      <c r="I8" s="18">
        <f t="shared" si="3"/>
        <v>8.536219596862793E-3</v>
      </c>
      <c r="L8" s="14">
        <v>0.1</v>
      </c>
    </row>
    <row r="9" spans="1:12" x14ac:dyDescent="0.3">
      <c r="A9" s="11">
        <v>50000</v>
      </c>
      <c r="B9" s="12">
        <v>0.99300491809844971</v>
      </c>
      <c r="C9" s="12">
        <v>2.2969992160797119</v>
      </c>
      <c r="D9" s="14">
        <f t="shared" si="1"/>
        <v>0.1</v>
      </c>
      <c r="E9" s="14"/>
      <c r="H9" s="17">
        <f t="shared" si="2"/>
        <v>67628.459551303866</v>
      </c>
      <c r="I9" s="18">
        <f t="shared" si="3"/>
        <v>4.6997666358947754E-3</v>
      </c>
      <c r="L9" s="14">
        <v>0.1</v>
      </c>
    </row>
    <row r="10" spans="1:12" x14ac:dyDescent="0.3">
      <c r="A10" s="11">
        <v>100000</v>
      </c>
      <c r="B10" s="12">
        <v>0.99770468473434448</v>
      </c>
      <c r="C10" s="12">
        <v>2.115382194519043</v>
      </c>
      <c r="D10" s="14">
        <f t="shared" si="1"/>
        <v>0.1</v>
      </c>
      <c r="E10" s="14"/>
      <c r="H10" s="17">
        <f t="shared" si="2"/>
        <v>135453.74663022539</v>
      </c>
      <c r="I10" s="18">
        <f t="shared" si="3"/>
        <v>1.5898942947387695E-3</v>
      </c>
      <c r="L10" s="14">
        <v>0.1</v>
      </c>
    </row>
    <row r="11" spans="1:12" x14ac:dyDescent="0.3">
      <c r="A11" s="11">
        <v>200000</v>
      </c>
      <c r="B11" s="12">
        <v>0.99929457902908325</v>
      </c>
      <c r="C11" s="12">
        <v>1.9150959253311157</v>
      </c>
      <c r="D11" s="14">
        <f t="shared" si="1"/>
        <v>0.1</v>
      </c>
      <c r="E11" s="14"/>
      <c r="H11" s="17">
        <f t="shared" si="2"/>
        <v>240435.5396392759</v>
      </c>
      <c r="I11" s="18">
        <f t="shared" si="3"/>
        <v>3.8856267929077148E-4</v>
      </c>
      <c r="L11" s="14">
        <v>0.1</v>
      </c>
    </row>
    <row r="12" spans="1:12" x14ac:dyDescent="0.3">
      <c r="A12" s="11">
        <v>300000</v>
      </c>
      <c r="B12" s="12">
        <v>0.99968314170837402</v>
      </c>
      <c r="C12" s="12">
        <v>1.8595640659332275</v>
      </c>
      <c r="D12" s="14">
        <f t="shared" si="1"/>
        <v>0.1</v>
      </c>
      <c r="E12" s="14"/>
      <c r="H12" s="17">
        <f t="shared" si="2"/>
        <v>376780.01114231371</v>
      </c>
      <c r="I12" s="18">
        <f t="shared" si="3"/>
        <v>2.2083520889282227E-4</v>
      </c>
      <c r="L12" s="14">
        <v>0.1</v>
      </c>
    </row>
    <row r="13" spans="1:12" x14ac:dyDescent="0.3">
      <c r="A13" s="11">
        <v>500000</v>
      </c>
      <c r="B13" s="12">
        <v>0.99990397691726685</v>
      </c>
      <c r="C13" s="12">
        <v>1.9486813545227051</v>
      </c>
      <c r="D13" s="14">
        <f t="shared" si="1"/>
        <v>0.1</v>
      </c>
      <c r="E13" s="14"/>
      <c r="H13" s="17">
        <f t="shared" si="2"/>
        <v>664327.06846131221</v>
      </c>
      <c r="I13" s="18">
        <f t="shared" si="3"/>
        <v>7.724761962890625E-5</v>
      </c>
      <c r="L13" s="14">
        <v>0.1</v>
      </c>
    </row>
    <row r="14" spans="1:12" x14ac:dyDescent="0.3">
      <c r="A14" s="17">
        <v>1000000</v>
      </c>
      <c r="B14" s="18">
        <v>0.99998122453689575</v>
      </c>
      <c r="C14" s="18">
        <v>2.2498252391815186</v>
      </c>
      <c r="D14" s="14">
        <f t="shared" si="1"/>
        <v>0.1</v>
      </c>
      <c r="E14" s="14"/>
      <c r="H14" s="17">
        <f>C14*A14</f>
        <v>2249825.2391815186</v>
      </c>
      <c r="I14" s="18">
        <f>1-B14</f>
        <v>1.8775463104248047E-5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topLeftCell="C1" workbookViewId="0">
      <selection activeCell="M8" sqref="M8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5.796875" customWidth="1"/>
  </cols>
  <sheetData>
    <row r="1" spans="1:15" x14ac:dyDescent="0.3">
      <c r="A1" s="79" t="s">
        <v>224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3" t="s">
        <v>132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3">
      <c r="A4" s="51" t="s">
        <v>56</v>
      </c>
      <c r="B4" s="51" t="s">
        <v>57</v>
      </c>
      <c r="C4" s="51" t="s">
        <v>58</v>
      </c>
      <c r="D4" s="52" t="s">
        <v>59</v>
      </c>
      <c r="E4">
        <v>1410</v>
      </c>
      <c r="I4" s="2">
        <f t="shared" ref="I4:I13" si="0">J4/6.55957</f>
        <v>990.91861204316751</v>
      </c>
      <c r="J4" s="53">
        <v>6500</v>
      </c>
      <c r="K4" s="2">
        <f>G5+G16+G27+G38+G49+G60+G71+G82+G93+G104+G115+G126</f>
        <v>3995645.3892138992</v>
      </c>
      <c r="L4" s="2">
        <f>H5+H16+H27+H38+H49+H60+H71+H82+H93+H104+H115+H126</f>
        <v>31655685720.60701</v>
      </c>
      <c r="M4">
        <f>1-SUM(K4:$K$13)/$K$15</f>
        <v>0.63971036669543802</v>
      </c>
      <c r="N4">
        <f>SUM(L4:$L$13)/(J4*SUM(K4:$K$13))</f>
        <v>1.9254168427051421</v>
      </c>
      <c r="O4">
        <f>(G5+G16+G38)/K4</f>
        <v>0.13331963878426226</v>
      </c>
    </row>
    <row r="5" spans="1:15" x14ac:dyDescent="0.3">
      <c r="A5" s="53" t="s">
        <v>117</v>
      </c>
      <c r="B5" s="53">
        <v>378179</v>
      </c>
      <c r="C5" s="53">
        <v>2953626000</v>
      </c>
      <c r="D5" s="54">
        <v>1.6209107046004376</v>
      </c>
      <c r="F5" s="53" t="s">
        <v>117</v>
      </c>
      <c r="G5" s="55">
        <v>378179</v>
      </c>
      <c r="H5" s="55">
        <v>2953626000</v>
      </c>
      <c r="I5" s="2">
        <f t="shared" si="0"/>
        <v>1524.4901723741038</v>
      </c>
      <c r="J5" s="53">
        <v>10000</v>
      </c>
      <c r="K5" s="2">
        <f t="shared" ref="K5:L13" si="1">G6+G17+G28+G39+G50+G61+G72+G83+G94+G105+G116+G127</f>
        <v>1569876.8702768034</v>
      </c>
      <c r="L5" s="2">
        <f t="shared" si="1"/>
        <v>19049371370.306522</v>
      </c>
      <c r="M5">
        <f>1-SUM(K5:$K$13)/$K$15</f>
        <v>0.84971840436058654</v>
      </c>
      <c r="N5">
        <f>SUM(L5:$L$13)/(J5*SUM(K5:$K$13))</f>
        <v>1.8933135577221474</v>
      </c>
      <c r="O5">
        <f t="shared" ref="O5:O13" si="2">(G6+G17+G39)/K5</f>
        <v>0.11458159770726696</v>
      </c>
    </row>
    <row r="6" spans="1:15" x14ac:dyDescent="0.3">
      <c r="A6" s="53" t="s">
        <v>133</v>
      </c>
      <c r="B6" s="53">
        <v>114064</v>
      </c>
      <c r="C6" s="53">
        <v>1355426000</v>
      </c>
      <c r="D6" s="54">
        <v>1.6504332119007425</v>
      </c>
      <c r="F6" s="53" t="s">
        <v>133</v>
      </c>
      <c r="G6" s="55">
        <v>114064</v>
      </c>
      <c r="H6" s="55">
        <v>1355426000</v>
      </c>
      <c r="I6" s="2">
        <f t="shared" si="0"/>
        <v>2286.7352585611557</v>
      </c>
      <c r="J6" s="53">
        <v>15000</v>
      </c>
      <c r="K6" s="2">
        <f t="shared" si="1"/>
        <v>601471</v>
      </c>
      <c r="L6" s="2">
        <f t="shared" si="1"/>
        <v>10311672000</v>
      </c>
      <c r="M6">
        <f>1-SUM(K6:$K$13)/$K$15</f>
        <v>0.9322299209713234</v>
      </c>
      <c r="N6">
        <f>SUM(L6:$L$13)/(J6*SUM(K6:$K$13))</f>
        <v>1.8140567786874142</v>
      </c>
      <c r="O6">
        <f t="shared" si="2"/>
        <v>8.5576860729777493E-2</v>
      </c>
    </row>
    <row r="7" spans="1:15" x14ac:dyDescent="0.3">
      <c r="A7" s="53" t="s">
        <v>96</v>
      </c>
      <c r="B7" s="53">
        <v>30560</v>
      </c>
      <c r="C7" s="53">
        <v>522628000</v>
      </c>
      <c r="D7" s="54">
        <v>1.6912974725413492</v>
      </c>
      <c r="F7" s="53" t="s">
        <v>96</v>
      </c>
      <c r="G7" s="55">
        <v>30560</v>
      </c>
      <c r="H7" s="55">
        <v>522628000</v>
      </c>
      <c r="I7" s="2">
        <f t="shared" si="0"/>
        <v>3048.9803447482077</v>
      </c>
      <c r="J7" s="53">
        <v>20000</v>
      </c>
      <c r="K7" s="2">
        <f t="shared" si="1"/>
        <v>406417</v>
      </c>
      <c r="L7" s="2">
        <f t="shared" si="1"/>
        <v>9736347000</v>
      </c>
      <c r="M7">
        <f>1-SUM(K7:$K$13)/$K$15</f>
        <v>0.96384277249300099</v>
      </c>
      <c r="N7">
        <f>SUM(L7:$L$13)/(J7*SUM(K7:$K$13))</f>
        <v>1.8006193190325221</v>
      </c>
      <c r="O7">
        <f t="shared" si="2"/>
        <v>8.0631469648169252E-2</v>
      </c>
    </row>
    <row r="8" spans="1:15" x14ac:dyDescent="0.3">
      <c r="A8" s="53" t="s">
        <v>134</v>
      </c>
      <c r="B8" s="53">
        <v>18258</v>
      </c>
      <c r="C8" s="53">
        <v>435845000</v>
      </c>
      <c r="D8" s="54">
        <v>1.7033341796981964</v>
      </c>
      <c r="F8" s="53" t="s">
        <v>134</v>
      </c>
      <c r="G8" s="55">
        <v>18258</v>
      </c>
      <c r="H8" s="55">
        <v>435845000</v>
      </c>
      <c r="I8" s="2">
        <f t="shared" si="0"/>
        <v>4573.4705171223113</v>
      </c>
      <c r="J8" s="53">
        <v>30000</v>
      </c>
      <c r="K8" s="2">
        <f t="shared" si="1"/>
        <v>221329</v>
      </c>
      <c r="L8" s="2">
        <f>H9+H20+H31+H42+H53+H64+H75+H86+H97+H108+H119+H130</f>
        <v>8810596000</v>
      </c>
      <c r="M8">
        <f>1-SUM(K8:$K$13)/$K$15</f>
        <v>0.98520373632481606</v>
      </c>
      <c r="N8">
        <f>SUM(L8:$L$13)/(J8*SUM(K8:$K$13))</f>
        <v>1.7805692512444526</v>
      </c>
      <c r="O8">
        <f t="shared" si="2"/>
        <v>7.770784668976953E-2</v>
      </c>
    </row>
    <row r="9" spans="1:15" x14ac:dyDescent="0.3">
      <c r="A9" s="53" t="s">
        <v>97</v>
      </c>
      <c r="B9" s="53">
        <v>8788</v>
      </c>
      <c r="C9" s="53">
        <v>347875000</v>
      </c>
      <c r="D9" s="54">
        <v>1.7082768699903816</v>
      </c>
      <c r="F9" s="53" t="s">
        <v>97</v>
      </c>
      <c r="G9" s="55">
        <v>8788</v>
      </c>
      <c r="H9" s="55">
        <v>347875000</v>
      </c>
      <c r="I9" s="2">
        <f t="shared" si="0"/>
        <v>9146.9410342446226</v>
      </c>
      <c r="J9" s="53">
        <v>60000</v>
      </c>
      <c r="K9" s="2">
        <f t="shared" si="1"/>
        <v>42102</v>
      </c>
      <c r="L9" s="2">
        <f t="shared" si="1"/>
        <v>3138659000</v>
      </c>
      <c r="M9">
        <f>1-SUM(K9:$K$13)/$K$15</f>
        <v>0.99683661773462862</v>
      </c>
      <c r="N9">
        <f>SUM(L9:$L$13)/(J9*SUM(K9:$K$13))</f>
        <v>1.7243939721202253</v>
      </c>
      <c r="O9">
        <f t="shared" si="2"/>
        <v>7.5507101800389526E-2</v>
      </c>
    </row>
    <row r="10" spans="1:15" x14ac:dyDescent="0.3">
      <c r="A10" s="53" t="s">
        <v>98</v>
      </c>
      <c r="B10" s="53">
        <v>1444</v>
      </c>
      <c r="C10" s="53">
        <v>106636000</v>
      </c>
      <c r="D10" s="54">
        <v>1.6829963094006297</v>
      </c>
      <c r="F10" s="53" t="s">
        <v>98</v>
      </c>
      <c r="G10" s="55">
        <v>1444</v>
      </c>
      <c r="H10" s="55">
        <v>106636000</v>
      </c>
      <c r="I10" s="2">
        <f t="shared" si="0"/>
        <v>15244.901723741039</v>
      </c>
      <c r="J10" s="53">
        <v>100000</v>
      </c>
      <c r="K10" s="2">
        <f t="shared" si="1"/>
        <v>14726</v>
      </c>
      <c r="L10" s="2">
        <f t="shared" si="1"/>
        <v>1932611000</v>
      </c>
      <c r="M10">
        <f>1-SUM(K10:$K$13)/$K$15</f>
        <v>0.99904946635869474</v>
      </c>
      <c r="N10">
        <f>SUM(L10:$L$13)/(J10*SUM(K10:$K$13))</f>
        <v>1.7077727398396461</v>
      </c>
      <c r="O10">
        <f t="shared" si="2"/>
        <v>8.006247453483635E-2</v>
      </c>
    </row>
    <row r="11" spans="1:15" x14ac:dyDescent="0.3">
      <c r="A11" s="53" t="s">
        <v>99</v>
      </c>
      <c r="B11" s="53">
        <v>509</v>
      </c>
      <c r="C11" s="53">
        <v>66980000</v>
      </c>
      <c r="D11" s="54">
        <v>1.642109982550132</v>
      </c>
      <c r="F11" s="53" t="s">
        <v>99</v>
      </c>
      <c r="G11" s="55">
        <v>509</v>
      </c>
      <c r="H11" s="55">
        <v>66980000</v>
      </c>
      <c r="I11" s="2">
        <f t="shared" si="0"/>
        <v>30489.803447482078</v>
      </c>
      <c r="J11" s="53">
        <v>200000</v>
      </c>
      <c r="K11" s="2">
        <f t="shared" si="1"/>
        <v>2047</v>
      </c>
      <c r="L11" s="2">
        <f t="shared" si="1"/>
        <v>489969000</v>
      </c>
      <c r="M11">
        <f>1-SUM(K11:$K$13)/$K$15</f>
        <v>0.99982345355260471</v>
      </c>
      <c r="N11">
        <f>SUM(L11:$L$13)/(J11*SUM(K11:$K$13))</f>
        <v>1.7205954153021732</v>
      </c>
      <c r="O11">
        <f t="shared" si="2"/>
        <v>9.3307278944797262E-2</v>
      </c>
    </row>
    <row r="12" spans="1:15" x14ac:dyDescent="0.3">
      <c r="A12" s="53" t="s">
        <v>101</v>
      </c>
      <c r="B12" s="53">
        <v>68</v>
      </c>
      <c r="C12" s="53">
        <v>16351000</v>
      </c>
      <c r="D12" s="54">
        <v>1.5693359476170337</v>
      </c>
      <c r="F12" s="53" t="s">
        <v>101</v>
      </c>
      <c r="G12" s="55">
        <v>68</v>
      </c>
      <c r="H12" s="55">
        <v>16351000</v>
      </c>
      <c r="I12" s="2">
        <f t="shared" si="0"/>
        <v>45734.705171223111</v>
      </c>
      <c r="J12" s="53">
        <v>300000</v>
      </c>
      <c r="K12" s="2">
        <f t="shared" si="1"/>
        <v>927</v>
      </c>
      <c r="L12" s="2">
        <f t="shared" si="1"/>
        <v>342473000</v>
      </c>
      <c r="M12">
        <f>1-SUM(K12:$K$13)/$K$15</f>
        <v>0.99993104229265173</v>
      </c>
      <c r="N12">
        <f>SUM(L12:$L$13)/(J12*SUM(K12:$K$13))</f>
        <v>1.6918877032520325</v>
      </c>
      <c r="O12">
        <f t="shared" si="2"/>
        <v>0.1121898597626753</v>
      </c>
    </row>
    <row r="13" spans="1:15" x14ac:dyDescent="0.3">
      <c r="A13" s="53" t="s">
        <v>135</v>
      </c>
      <c r="B13" s="53">
        <v>35</v>
      </c>
      <c r="C13" s="53">
        <v>12821000</v>
      </c>
      <c r="D13" s="54">
        <v>1.4332855571480951</v>
      </c>
      <c r="F13" s="53" t="s">
        <v>135</v>
      </c>
      <c r="G13" s="55">
        <v>35</v>
      </c>
      <c r="H13" s="55">
        <v>12821000</v>
      </c>
      <c r="I13" s="2">
        <f t="shared" si="0"/>
        <v>76224.508618705193</v>
      </c>
      <c r="J13" s="53">
        <v>500000</v>
      </c>
      <c r="K13" s="2">
        <f t="shared" si="1"/>
        <v>385</v>
      </c>
      <c r="L13" s="2">
        <f>H14+H25+H36+H47+H58+H69+H80+H91+H102+H113+H124+H135</f>
        <v>323454000</v>
      </c>
      <c r="M13">
        <f>1-SUM(K13:$K$13)/$K$15</f>
        <v>0.99997976469715777</v>
      </c>
      <c r="N13">
        <f>SUM(L13:$L$13)/(J13*SUM(K13:$K$13))</f>
        <v>1.6802805194805195</v>
      </c>
      <c r="O13">
        <f t="shared" si="2"/>
        <v>0.12727272727272726</v>
      </c>
    </row>
    <row r="14" spans="1:15" x14ac:dyDescent="0.3">
      <c r="A14" s="53" t="s">
        <v>136</v>
      </c>
      <c r="B14" s="53">
        <v>8</v>
      </c>
      <c r="C14" s="53">
        <v>5669000</v>
      </c>
      <c r="D14" s="54">
        <v>1.4172499999999999</v>
      </c>
      <c r="F14" s="53" t="s">
        <v>136</v>
      </c>
      <c r="G14" s="55">
        <v>8</v>
      </c>
      <c r="H14" s="55">
        <v>5669000</v>
      </c>
    </row>
    <row r="15" spans="1:15" x14ac:dyDescent="0.3">
      <c r="A15" s="51" t="s">
        <v>56</v>
      </c>
      <c r="B15" s="51" t="s">
        <v>89</v>
      </c>
      <c r="C15" s="51" t="s">
        <v>90</v>
      </c>
      <c r="D15" s="52" t="s">
        <v>59</v>
      </c>
      <c r="G15" s="2"/>
      <c r="H15" s="2"/>
      <c r="K15" s="5">
        <v>19026154.587401237</v>
      </c>
    </row>
    <row r="16" spans="1:15" x14ac:dyDescent="0.3">
      <c r="A16" s="53" t="s">
        <v>117</v>
      </c>
      <c r="B16" s="53">
        <v>129127</v>
      </c>
      <c r="C16" s="53">
        <v>1024380000</v>
      </c>
      <c r="D16" s="54">
        <v>1.9850932188616506</v>
      </c>
      <c r="F16" s="53" t="s">
        <v>117</v>
      </c>
      <c r="G16" s="55">
        <v>129127</v>
      </c>
      <c r="H16" s="55">
        <v>1024380000</v>
      </c>
    </row>
    <row r="17" spans="1:8" x14ac:dyDescent="0.3">
      <c r="A17" s="53" t="s">
        <v>133</v>
      </c>
      <c r="B17" s="53">
        <v>57570</v>
      </c>
      <c r="C17" s="53">
        <v>689227000</v>
      </c>
      <c r="D17" s="54">
        <v>1.9373400901481312</v>
      </c>
      <c r="F17" s="53" t="s">
        <v>133</v>
      </c>
      <c r="G17" s="55">
        <v>57570</v>
      </c>
      <c r="H17" s="55">
        <v>689227000</v>
      </c>
    </row>
    <row r="18" spans="1:8" x14ac:dyDescent="0.3">
      <c r="A18" s="53" t="s">
        <v>96</v>
      </c>
      <c r="B18" s="53">
        <v>18724</v>
      </c>
      <c r="C18" s="53">
        <v>320954000</v>
      </c>
      <c r="D18" s="54">
        <v>1.9693511638932288</v>
      </c>
      <c r="F18" s="53" t="s">
        <v>96</v>
      </c>
      <c r="G18" s="55">
        <v>18724</v>
      </c>
      <c r="H18" s="55">
        <v>320954000</v>
      </c>
    </row>
    <row r="19" spans="1:8" x14ac:dyDescent="0.3">
      <c r="A19" s="53" t="s">
        <v>134</v>
      </c>
      <c r="B19" s="53">
        <v>13143</v>
      </c>
      <c r="C19" s="53">
        <v>315690000</v>
      </c>
      <c r="D19" s="54">
        <v>1.976101453458718</v>
      </c>
      <c r="F19" s="53" t="s">
        <v>134</v>
      </c>
      <c r="G19" s="55">
        <v>13143</v>
      </c>
      <c r="H19" s="55">
        <v>315690000</v>
      </c>
    </row>
    <row r="20" spans="1:8" x14ac:dyDescent="0.3">
      <c r="A20" s="53" t="s">
        <v>97</v>
      </c>
      <c r="B20" s="53">
        <v>7692</v>
      </c>
      <c r="C20" s="53">
        <v>307860000</v>
      </c>
      <c r="D20" s="54">
        <v>1.9872414474922857</v>
      </c>
      <c r="F20" s="53" t="s">
        <v>97</v>
      </c>
      <c r="G20" s="55">
        <v>7692</v>
      </c>
      <c r="H20" s="55">
        <v>307860000</v>
      </c>
    </row>
    <row r="21" spans="1:8" x14ac:dyDescent="0.3">
      <c r="A21" s="53" t="s">
        <v>98</v>
      </c>
      <c r="B21" s="53">
        <v>1620</v>
      </c>
      <c r="C21" s="53">
        <v>121497000</v>
      </c>
      <c r="D21" s="54">
        <v>2.0157616007088248</v>
      </c>
      <c r="F21" s="53" t="s">
        <v>98</v>
      </c>
      <c r="G21" s="55">
        <v>1620</v>
      </c>
      <c r="H21" s="55">
        <v>121497000</v>
      </c>
    </row>
    <row r="22" spans="1:8" x14ac:dyDescent="0.3">
      <c r="A22" s="53" t="s">
        <v>99</v>
      </c>
      <c r="B22" s="53">
        <v>623</v>
      </c>
      <c r="C22" s="53">
        <v>81670000</v>
      </c>
      <c r="D22" s="54">
        <v>2.0959689745311181</v>
      </c>
      <c r="F22" s="53" t="s">
        <v>99</v>
      </c>
      <c r="G22" s="55">
        <v>623</v>
      </c>
      <c r="H22" s="55">
        <v>81670000</v>
      </c>
    </row>
    <row r="23" spans="1:8" x14ac:dyDescent="0.3">
      <c r="A23" s="53" t="s">
        <v>101</v>
      </c>
      <c r="B23" s="53">
        <v>114</v>
      </c>
      <c r="C23" s="53">
        <v>27782000</v>
      </c>
      <c r="D23" s="54">
        <v>2.1752138199541635</v>
      </c>
      <c r="F23" s="53" t="s">
        <v>101</v>
      </c>
      <c r="G23" s="55">
        <v>114</v>
      </c>
      <c r="H23" s="55">
        <v>27782000</v>
      </c>
    </row>
    <row r="24" spans="1:8" x14ac:dyDescent="0.3">
      <c r="A24" s="53" t="s">
        <v>135</v>
      </c>
      <c r="B24" s="53">
        <v>65</v>
      </c>
      <c r="C24" s="53">
        <v>23819000</v>
      </c>
      <c r="D24" s="54">
        <v>2.156141720842315</v>
      </c>
      <c r="F24" s="53" t="s">
        <v>135</v>
      </c>
      <c r="G24" s="55">
        <v>65</v>
      </c>
      <c r="H24" s="55">
        <v>23819000</v>
      </c>
    </row>
    <row r="25" spans="1:8" x14ac:dyDescent="0.3">
      <c r="A25" s="53" t="s">
        <v>136</v>
      </c>
      <c r="B25" s="53">
        <v>38</v>
      </c>
      <c r="C25" s="53">
        <v>42808000</v>
      </c>
      <c r="D25" s="54">
        <v>2.2530526315789472</v>
      </c>
      <c r="F25" s="53" t="s">
        <v>136</v>
      </c>
      <c r="G25" s="55">
        <v>38</v>
      </c>
      <c r="H25" s="55">
        <v>42808000</v>
      </c>
    </row>
    <row r="26" spans="1:8" x14ac:dyDescent="0.3">
      <c r="A26" s="51" t="s">
        <v>56</v>
      </c>
      <c r="B26" s="51" t="s">
        <v>64</v>
      </c>
      <c r="C26" s="51" t="s">
        <v>65</v>
      </c>
      <c r="D26" s="52" t="s">
        <v>59</v>
      </c>
      <c r="G26" s="2"/>
      <c r="H26" s="2"/>
    </row>
    <row r="27" spans="1:8" x14ac:dyDescent="0.3">
      <c r="A27" s="53" t="s">
        <v>117</v>
      </c>
      <c r="B27" s="53">
        <v>815038</v>
      </c>
      <c r="C27" s="53">
        <v>6608481000</v>
      </c>
      <c r="D27" s="54">
        <v>2.0986165835768409</v>
      </c>
      <c r="F27" s="53" t="s">
        <v>117</v>
      </c>
      <c r="G27" s="55">
        <v>815038</v>
      </c>
      <c r="H27" s="55">
        <v>6608481000</v>
      </c>
    </row>
    <row r="28" spans="1:8" x14ac:dyDescent="0.3">
      <c r="A28" s="53" t="s">
        <v>133</v>
      </c>
      <c r="B28" s="53">
        <v>530199</v>
      </c>
      <c r="C28" s="53">
        <v>6411725000</v>
      </c>
      <c r="D28" s="54">
        <v>1.8486321119152935</v>
      </c>
      <c r="F28" s="53" t="s">
        <v>133</v>
      </c>
      <c r="G28" s="55">
        <v>530199</v>
      </c>
      <c r="H28" s="55">
        <v>6411725000</v>
      </c>
    </row>
    <row r="29" spans="1:8" x14ac:dyDescent="0.3">
      <c r="A29" s="53" t="s">
        <v>96</v>
      </c>
      <c r="B29" s="53">
        <v>195952</v>
      </c>
      <c r="C29" s="53">
        <v>3355480000</v>
      </c>
      <c r="D29" s="54">
        <v>1.7927425092180207</v>
      </c>
      <c r="F29" s="53" t="s">
        <v>96</v>
      </c>
      <c r="G29" s="55">
        <v>195952</v>
      </c>
      <c r="H29" s="55">
        <v>3355480000</v>
      </c>
    </row>
    <row r="30" spans="1:8" x14ac:dyDescent="0.3">
      <c r="A30" s="53" t="s">
        <v>134</v>
      </c>
      <c r="B30" s="53">
        <v>125276</v>
      </c>
      <c r="C30" s="53">
        <v>2996430000</v>
      </c>
      <c r="D30" s="54">
        <v>1.8042590818944197</v>
      </c>
      <c r="F30" s="53" t="s">
        <v>134</v>
      </c>
      <c r="G30" s="55">
        <v>125276</v>
      </c>
      <c r="H30" s="55">
        <v>2996430000</v>
      </c>
    </row>
    <row r="31" spans="1:8" x14ac:dyDescent="0.3">
      <c r="A31" s="53" t="s">
        <v>97</v>
      </c>
      <c r="B31" s="53">
        <v>65176</v>
      </c>
      <c r="C31" s="53">
        <v>2585631000</v>
      </c>
      <c r="D31" s="54">
        <v>1.8138755797625121</v>
      </c>
      <c r="F31" s="53" t="s">
        <v>97</v>
      </c>
      <c r="G31" s="55">
        <v>65176</v>
      </c>
      <c r="H31" s="55">
        <v>2585631000</v>
      </c>
    </row>
    <row r="32" spans="1:8" x14ac:dyDescent="0.3">
      <c r="A32" s="53" t="s">
        <v>98</v>
      </c>
      <c r="B32" s="53">
        <v>12311</v>
      </c>
      <c r="C32" s="53">
        <v>916894000</v>
      </c>
      <c r="D32" s="54">
        <v>1.7932256859957039</v>
      </c>
      <c r="F32" s="53" t="s">
        <v>98</v>
      </c>
      <c r="G32" s="55">
        <v>12311</v>
      </c>
      <c r="H32" s="55">
        <v>916894000</v>
      </c>
    </row>
    <row r="33" spans="1:8" x14ac:dyDescent="0.3">
      <c r="A33" s="53" t="s">
        <v>99</v>
      </c>
      <c r="B33" s="53">
        <v>4558</v>
      </c>
      <c r="C33" s="53">
        <v>602462000</v>
      </c>
      <c r="D33" s="54">
        <v>1.7812986123141101</v>
      </c>
      <c r="F33" s="53" t="s">
        <v>99</v>
      </c>
      <c r="G33" s="55">
        <v>4558</v>
      </c>
      <c r="H33" s="55">
        <v>602462000</v>
      </c>
    </row>
    <row r="34" spans="1:8" x14ac:dyDescent="0.3">
      <c r="A34" s="53" t="s">
        <v>101</v>
      </c>
      <c r="B34" s="53">
        <v>721</v>
      </c>
      <c r="C34" s="53">
        <v>172652000</v>
      </c>
      <c r="D34" s="54">
        <v>1.7458963786504553</v>
      </c>
      <c r="F34" s="53" t="s">
        <v>101</v>
      </c>
      <c r="G34" s="55">
        <v>721</v>
      </c>
      <c r="H34" s="55">
        <v>172652000</v>
      </c>
    </row>
    <row r="35" spans="1:8" x14ac:dyDescent="0.3">
      <c r="A35" s="53" t="s">
        <v>135</v>
      </c>
      <c r="B35" s="53">
        <v>342</v>
      </c>
      <c r="C35" s="53">
        <v>125839000</v>
      </c>
      <c r="D35" s="54">
        <v>1.6872056645730857</v>
      </c>
      <c r="F35" s="53" t="s">
        <v>135</v>
      </c>
      <c r="G35" s="55">
        <v>342</v>
      </c>
      <c r="H35" s="55">
        <v>125839000</v>
      </c>
    </row>
    <row r="36" spans="1:8" x14ac:dyDescent="0.3">
      <c r="A36" s="53" t="s">
        <v>136</v>
      </c>
      <c r="B36" s="53">
        <v>162</v>
      </c>
      <c r="C36" s="53">
        <v>129275000</v>
      </c>
      <c r="D36" s="54">
        <v>1.5959876543209877</v>
      </c>
      <c r="F36" s="53" t="s">
        <v>136</v>
      </c>
      <c r="G36" s="55">
        <v>162</v>
      </c>
      <c r="H36" s="55">
        <v>129275000</v>
      </c>
    </row>
    <row r="37" spans="1:8" x14ac:dyDescent="0.3">
      <c r="A37" s="51" t="s">
        <v>56</v>
      </c>
      <c r="B37" s="51" t="s">
        <v>66</v>
      </c>
      <c r="C37" s="51" t="s">
        <v>67</v>
      </c>
      <c r="D37" s="52" t="s">
        <v>59</v>
      </c>
      <c r="G37" s="2"/>
      <c r="H37" s="2"/>
    </row>
    <row r="38" spans="1:8" x14ac:dyDescent="0.3">
      <c r="A38" s="53" t="s">
        <v>117</v>
      </c>
      <c r="B38" s="53">
        <v>25392</v>
      </c>
      <c r="C38" s="53">
        <v>200123000</v>
      </c>
      <c r="D38" s="54">
        <v>1.6854697665760479</v>
      </c>
      <c r="F38" s="53" t="s">
        <v>117</v>
      </c>
      <c r="G38" s="55">
        <v>25392</v>
      </c>
      <c r="H38" s="55">
        <v>200123000</v>
      </c>
    </row>
    <row r="39" spans="1:8" x14ac:dyDescent="0.3">
      <c r="A39" s="53" t="s">
        <v>133</v>
      </c>
      <c r="B39" s="53">
        <v>8245</v>
      </c>
      <c r="C39" s="53">
        <v>98175000</v>
      </c>
      <c r="D39" s="54">
        <v>1.7135946972942013</v>
      </c>
      <c r="F39" s="53" t="s">
        <v>133</v>
      </c>
      <c r="G39" s="55">
        <v>8245</v>
      </c>
      <c r="H39" s="55">
        <v>98175000</v>
      </c>
    </row>
    <row r="40" spans="1:8" x14ac:dyDescent="0.3">
      <c r="A40" s="53" t="s">
        <v>96</v>
      </c>
      <c r="B40" s="53">
        <v>2188</v>
      </c>
      <c r="C40" s="53">
        <v>37438000</v>
      </c>
      <c r="D40" s="54">
        <v>1.7897363440089484</v>
      </c>
      <c r="F40" s="53" t="s">
        <v>96</v>
      </c>
      <c r="G40" s="55">
        <v>2188</v>
      </c>
      <c r="H40" s="55">
        <v>37438000</v>
      </c>
    </row>
    <row r="41" spans="1:8" x14ac:dyDescent="0.3">
      <c r="A41" s="53" t="s">
        <v>134</v>
      </c>
      <c r="B41" s="53">
        <v>1369</v>
      </c>
      <c r="C41" s="53">
        <v>32628000</v>
      </c>
      <c r="D41" s="54">
        <v>1.8131710843607325</v>
      </c>
      <c r="F41" s="53" t="s">
        <v>134</v>
      </c>
      <c r="G41" s="55">
        <v>1369</v>
      </c>
      <c r="H41" s="55">
        <v>32628000</v>
      </c>
    </row>
    <row r="42" spans="1:8" x14ac:dyDescent="0.3">
      <c r="A42" s="53" t="s">
        <v>97</v>
      </c>
      <c r="B42" s="53">
        <v>719</v>
      </c>
      <c r="C42" s="53">
        <v>28893000</v>
      </c>
      <c r="D42" s="54">
        <v>1.8420467053531395</v>
      </c>
      <c r="F42" s="53" t="s">
        <v>97</v>
      </c>
      <c r="G42" s="55">
        <v>719</v>
      </c>
      <c r="H42" s="55">
        <v>28893000</v>
      </c>
    </row>
    <row r="43" spans="1:8" x14ac:dyDescent="0.3">
      <c r="A43" s="53" t="s">
        <v>98</v>
      </c>
      <c r="B43" s="53">
        <v>115</v>
      </c>
      <c r="C43" s="53">
        <v>8894000</v>
      </c>
      <c r="D43" s="54">
        <v>1.9372239458217637</v>
      </c>
      <c r="F43" s="53" t="s">
        <v>98</v>
      </c>
      <c r="G43" s="55">
        <v>115</v>
      </c>
      <c r="H43" s="55">
        <v>8894000</v>
      </c>
    </row>
    <row r="44" spans="1:8" x14ac:dyDescent="0.3">
      <c r="A44" s="53" t="s">
        <v>99</v>
      </c>
      <c r="B44" s="53">
        <v>47</v>
      </c>
      <c r="C44" s="53">
        <v>5827000</v>
      </c>
      <c r="D44" s="54">
        <v>1.8726698758695559</v>
      </c>
      <c r="F44" s="53" t="s">
        <v>99</v>
      </c>
      <c r="G44" s="55">
        <v>47</v>
      </c>
      <c r="H44" s="55">
        <v>5827000</v>
      </c>
    </row>
    <row r="45" spans="1:8" x14ac:dyDescent="0.3">
      <c r="A45" s="53" t="s">
        <v>101</v>
      </c>
      <c r="B45" s="53">
        <v>9</v>
      </c>
      <c r="C45" s="53">
        <v>2134000</v>
      </c>
      <c r="D45" s="54">
        <v>1.8661566921653918</v>
      </c>
      <c r="F45" s="53" t="s">
        <v>101</v>
      </c>
      <c r="G45" s="55">
        <v>9</v>
      </c>
      <c r="H45" s="55">
        <v>2134000</v>
      </c>
    </row>
    <row r="46" spans="1:8" x14ac:dyDescent="0.3">
      <c r="A46" s="53" t="s">
        <v>135</v>
      </c>
      <c r="B46" s="53">
        <v>4</v>
      </c>
      <c r="C46" s="53">
        <v>1395000</v>
      </c>
      <c r="D46" s="54">
        <v>1.8275581290147473</v>
      </c>
      <c r="F46" s="53" t="s">
        <v>135</v>
      </c>
      <c r="G46" s="55">
        <v>4</v>
      </c>
      <c r="H46" s="55">
        <v>1395000</v>
      </c>
    </row>
    <row r="47" spans="1:8" x14ac:dyDescent="0.3">
      <c r="A47" s="53" t="s">
        <v>136</v>
      </c>
      <c r="B47" s="53">
        <v>3</v>
      </c>
      <c r="C47" s="53">
        <v>2443000</v>
      </c>
      <c r="D47" s="54">
        <v>1.6286666666666667</v>
      </c>
      <c r="F47" s="53" t="s">
        <v>136</v>
      </c>
      <c r="G47" s="55">
        <v>3</v>
      </c>
      <c r="H47" s="55">
        <v>2443000</v>
      </c>
    </row>
    <row r="48" spans="1:8" x14ac:dyDescent="0.3">
      <c r="A48" s="51" t="s">
        <v>56</v>
      </c>
      <c r="B48" s="51" t="s">
        <v>68</v>
      </c>
      <c r="C48" s="51" t="s">
        <v>69</v>
      </c>
      <c r="D48" s="52" t="s">
        <v>59</v>
      </c>
      <c r="G48" s="2"/>
      <c r="H48" s="2"/>
    </row>
    <row r="49" spans="1:8" x14ac:dyDescent="0.3">
      <c r="A49" s="51"/>
      <c r="B49" s="51"/>
      <c r="C49" s="51"/>
      <c r="D49" s="52"/>
      <c r="F49" s="53" t="s">
        <v>117</v>
      </c>
      <c r="G49" s="2">
        <v>1292032.4230442692</v>
      </c>
      <c r="H49" s="2">
        <v>10182947566.040024</v>
      </c>
    </row>
    <row r="50" spans="1:8" x14ac:dyDescent="0.3">
      <c r="A50" s="53" t="s">
        <v>133</v>
      </c>
      <c r="B50" s="53">
        <v>419534</v>
      </c>
      <c r="C50" s="53">
        <v>5088454000</v>
      </c>
      <c r="D50" s="54">
        <v>1.7683531094998912</v>
      </c>
      <c r="F50" s="53" t="s">
        <v>133</v>
      </c>
      <c r="G50" s="55">
        <v>419534</v>
      </c>
      <c r="H50" s="55">
        <v>5088454000</v>
      </c>
    </row>
    <row r="51" spans="1:8" x14ac:dyDescent="0.3">
      <c r="A51" s="53" t="s">
        <v>96</v>
      </c>
      <c r="B51" s="53">
        <v>157184</v>
      </c>
      <c r="C51" s="53">
        <v>2689699000</v>
      </c>
      <c r="D51" s="54">
        <v>1.684951943957236</v>
      </c>
      <c r="F51" s="53" t="s">
        <v>96</v>
      </c>
      <c r="G51" s="55">
        <v>157184</v>
      </c>
      <c r="H51" s="55">
        <v>2689699000</v>
      </c>
    </row>
    <row r="52" spans="1:8" x14ac:dyDescent="0.3">
      <c r="A52" s="53" t="s">
        <v>134</v>
      </c>
      <c r="B52" s="53">
        <v>95695</v>
      </c>
      <c r="C52" s="53">
        <v>2280609000</v>
      </c>
      <c r="D52" s="54">
        <v>1.6899042970111502</v>
      </c>
      <c r="F52" s="53" t="s">
        <v>134</v>
      </c>
      <c r="G52" s="55">
        <v>95695</v>
      </c>
      <c r="H52" s="55">
        <v>2280609000</v>
      </c>
    </row>
    <row r="53" spans="1:8" x14ac:dyDescent="0.3">
      <c r="A53" s="53" t="s">
        <v>97</v>
      </c>
      <c r="B53" s="53">
        <v>44603</v>
      </c>
      <c r="C53" s="53">
        <v>1760313000</v>
      </c>
      <c r="D53" s="54">
        <v>1.7041493762090911</v>
      </c>
      <c r="F53" s="53" t="s">
        <v>97</v>
      </c>
      <c r="G53" s="55">
        <v>44603</v>
      </c>
      <c r="H53" s="55">
        <v>1760313000</v>
      </c>
    </row>
    <row r="54" spans="1:8" x14ac:dyDescent="0.3">
      <c r="A54" s="53" t="s">
        <v>98</v>
      </c>
      <c r="B54" s="53">
        <v>7585</v>
      </c>
      <c r="C54" s="53">
        <v>565253000</v>
      </c>
      <c r="D54" s="54">
        <v>1.6760806646153297</v>
      </c>
      <c r="F54" s="53" t="s">
        <v>98</v>
      </c>
      <c r="G54" s="55">
        <v>7585</v>
      </c>
      <c r="H54" s="55">
        <v>565253000</v>
      </c>
    </row>
    <row r="55" spans="1:8" x14ac:dyDescent="0.3">
      <c r="A55" s="53" t="s">
        <v>99</v>
      </c>
      <c r="B55" s="53">
        <v>2442</v>
      </c>
      <c r="C55" s="53">
        <v>319891000</v>
      </c>
      <c r="D55" s="54">
        <v>1.676131572731465</v>
      </c>
      <c r="F55" s="53" t="s">
        <v>99</v>
      </c>
      <c r="G55" s="55">
        <v>2442</v>
      </c>
      <c r="H55" s="55">
        <v>319891000</v>
      </c>
    </row>
    <row r="56" spans="1:8" x14ac:dyDescent="0.3">
      <c r="A56" s="53" t="s">
        <v>101</v>
      </c>
      <c r="B56" s="53">
        <v>312</v>
      </c>
      <c r="C56" s="53">
        <v>74188000</v>
      </c>
      <c r="D56" s="54">
        <v>1.7220680467952887</v>
      </c>
      <c r="F56" s="53" t="s">
        <v>101</v>
      </c>
      <c r="G56" s="55">
        <v>312</v>
      </c>
      <c r="H56" s="55">
        <v>74188000</v>
      </c>
    </row>
    <row r="57" spans="1:8" x14ac:dyDescent="0.3">
      <c r="A57" s="53" t="s">
        <v>135</v>
      </c>
      <c r="B57" s="53">
        <v>136</v>
      </c>
      <c r="C57" s="53">
        <v>50414000</v>
      </c>
      <c r="D57" s="54">
        <v>1.7197708529990583</v>
      </c>
      <c r="F57" s="53" t="s">
        <v>135</v>
      </c>
      <c r="G57" s="55">
        <v>136</v>
      </c>
      <c r="H57" s="55">
        <v>50414000</v>
      </c>
    </row>
    <row r="58" spans="1:8" x14ac:dyDescent="0.3">
      <c r="A58" s="53" t="s">
        <v>136</v>
      </c>
      <c r="B58" s="53">
        <v>58</v>
      </c>
      <c r="C58" s="53">
        <v>49680000</v>
      </c>
      <c r="D58" s="54">
        <v>1.713103448275862</v>
      </c>
      <c r="F58" s="53" t="s">
        <v>136</v>
      </c>
      <c r="G58" s="55">
        <v>58</v>
      </c>
      <c r="H58" s="55">
        <v>49680000</v>
      </c>
    </row>
    <row r="59" spans="1:8" x14ac:dyDescent="0.3">
      <c r="A59" s="51" t="s">
        <v>56</v>
      </c>
      <c r="B59" s="51" t="s">
        <v>70</v>
      </c>
      <c r="C59" s="51" t="s">
        <v>71</v>
      </c>
      <c r="D59" s="52" t="s">
        <v>59</v>
      </c>
      <c r="E59">
        <v>7900</v>
      </c>
      <c r="G59" s="2"/>
      <c r="H59" s="2"/>
    </row>
    <row r="60" spans="1:8" x14ac:dyDescent="0.3">
      <c r="A60" s="53" t="s">
        <v>144</v>
      </c>
      <c r="B60" s="53"/>
      <c r="C60" s="53"/>
      <c r="D60" s="54"/>
      <c r="F60" s="53" t="s">
        <v>117</v>
      </c>
      <c r="G60" s="2">
        <v>867023.62158884178</v>
      </c>
      <c r="H60" s="2">
        <v>6833308452.3953915</v>
      </c>
    </row>
    <row r="61" spans="1:8" x14ac:dyDescent="0.3">
      <c r="A61" s="53" t="s">
        <v>133</v>
      </c>
      <c r="B61" s="53">
        <v>281530</v>
      </c>
      <c r="C61" s="53">
        <v>3413567000</v>
      </c>
      <c r="D61" s="54">
        <v>1.9274505034246019</v>
      </c>
      <c r="F61" s="53" t="s">
        <v>133</v>
      </c>
      <c r="G61" s="55">
        <v>281530</v>
      </c>
      <c r="H61" s="55">
        <v>3413567000</v>
      </c>
    </row>
    <row r="62" spans="1:8" x14ac:dyDescent="0.3">
      <c r="A62" s="53" t="s">
        <v>96</v>
      </c>
      <c r="B62" s="53">
        <v>114845</v>
      </c>
      <c r="C62" s="53">
        <v>1973452000</v>
      </c>
      <c r="D62" s="54">
        <v>1.810846385864554</v>
      </c>
      <c r="F62" s="53" t="s">
        <v>96</v>
      </c>
      <c r="G62" s="55">
        <v>114845</v>
      </c>
      <c r="H62" s="55">
        <v>1973452000</v>
      </c>
    </row>
    <row r="63" spans="1:8" x14ac:dyDescent="0.3">
      <c r="A63" s="53" t="s">
        <v>134</v>
      </c>
      <c r="B63" s="53">
        <v>83174</v>
      </c>
      <c r="C63" s="53">
        <v>1996185000</v>
      </c>
      <c r="D63" s="54">
        <v>1.7651651327018258</v>
      </c>
      <c r="F63" s="53" t="s">
        <v>134</v>
      </c>
      <c r="G63" s="55">
        <v>83174</v>
      </c>
      <c r="H63" s="55">
        <v>1996185000</v>
      </c>
    </row>
    <row r="64" spans="1:8" x14ac:dyDescent="0.3">
      <c r="A64" s="53" t="s">
        <v>97</v>
      </c>
      <c r="B64" s="53">
        <v>46203</v>
      </c>
      <c r="C64" s="53">
        <v>1838400000</v>
      </c>
      <c r="D64" s="54">
        <v>1.7191478241621763</v>
      </c>
      <c r="F64" s="53" t="s">
        <v>97</v>
      </c>
      <c r="G64" s="55">
        <v>46203</v>
      </c>
      <c r="H64" s="55">
        <v>1838400000</v>
      </c>
    </row>
    <row r="65" spans="1:8" x14ac:dyDescent="0.3">
      <c r="A65" s="53" t="s">
        <v>98</v>
      </c>
      <c r="B65" s="53">
        <v>8438</v>
      </c>
      <c r="C65" s="53">
        <v>629123000</v>
      </c>
      <c r="D65" s="54">
        <v>1.6384810622066932</v>
      </c>
      <c r="F65" s="53" t="s">
        <v>98</v>
      </c>
      <c r="G65" s="55">
        <v>8438</v>
      </c>
      <c r="H65" s="55">
        <v>629123000</v>
      </c>
    </row>
    <row r="66" spans="1:8" x14ac:dyDescent="0.3">
      <c r="A66" s="53" t="s">
        <v>99</v>
      </c>
      <c r="B66" s="53">
        <v>2725</v>
      </c>
      <c r="C66" s="53">
        <v>353765000</v>
      </c>
      <c r="D66" s="54">
        <v>1.6039758253276839</v>
      </c>
      <c r="F66" s="53" t="s">
        <v>99</v>
      </c>
      <c r="G66" s="55">
        <v>2725</v>
      </c>
      <c r="H66" s="55">
        <v>353765000</v>
      </c>
    </row>
    <row r="67" spans="1:8" x14ac:dyDescent="0.3">
      <c r="A67" s="53" t="s">
        <v>101</v>
      </c>
      <c r="B67" s="53">
        <v>325</v>
      </c>
      <c r="C67" s="53">
        <v>77943000</v>
      </c>
      <c r="D67" s="54">
        <v>1.6273542758505639</v>
      </c>
      <c r="F67" s="53" t="s">
        <v>101</v>
      </c>
      <c r="G67" s="55">
        <v>325</v>
      </c>
      <c r="H67" s="55">
        <v>77943000</v>
      </c>
    </row>
    <row r="68" spans="1:8" x14ac:dyDescent="0.3">
      <c r="A68" s="53" t="s">
        <v>135</v>
      </c>
      <c r="B68" s="53">
        <v>138</v>
      </c>
      <c r="C68" s="53">
        <v>51773000</v>
      </c>
      <c r="D68" s="54">
        <v>1.6004651696795291</v>
      </c>
      <c r="F68" s="53" t="s">
        <v>135</v>
      </c>
      <c r="G68" s="55">
        <v>138</v>
      </c>
      <c r="H68" s="55">
        <v>51773000</v>
      </c>
    </row>
    <row r="69" spans="1:8" x14ac:dyDescent="0.3">
      <c r="A69" s="53" t="s">
        <v>136</v>
      </c>
      <c r="B69" s="53">
        <v>42</v>
      </c>
      <c r="C69" s="53">
        <v>34655000</v>
      </c>
      <c r="D69" s="54">
        <v>1.6502380952380951</v>
      </c>
      <c r="F69" s="53" t="s">
        <v>136</v>
      </c>
      <c r="G69" s="55">
        <v>42</v>
      </c>
      <c r="H69" s="55">
        <v>34655000</v>
      </c>
    </row>
    <row r="70" spans="1:8" x14ac:dyDescent="0.3">
      <c r="A70" s="51" t="s">
        <v>56</v>
      </c>
      <c r="B70" s="51" t="s">
        <v>72</v>
      </c>
      <c r="C70" s="51" t="s">
        <v>73</v>
      </c>
      <c r="D70" s="52" t="s">
        <v>59</v>
      </c>
      <c r="E70">
        <v>9100</v>
      </c>
      <c r="G70" s="2"/>
      <c r="H70" s="2"/>
    </row>
    <row r="71" spans="1:8" x14ac:dyDescent="0.3">
      <c r="A71" s="53" t="s">
        <v>145</v>
      </c>
      <c r="B71" s="53"/>
      <c r="C71" s="53"/>
      <c r="D71" s="54"/>
      <c r="F71" s="53" t="s">
        <v>117</v>
      </c>
      <c r="G71" s="2">
        <v>300811.27859308675</v>
      </c>
      <c r="H71" s="2">
        <v>2370796136.8101883</v>
      </c>
    </row>
    <row r="72" spans="1:8" x14ac:dyDescent="0.3">
      <c r="A72" s="53" t="s">
        <v>133</v>
      </c>
      <c r="B72" s="53">
        <v>97676</v>
      </c>
      <c r="C72" s="53">
        <v>1226249000</v>
      </c>
      <c r="D72" s="54">
        <v>2.2100218278295092</v>
      </c>
      <c r="F72" s="53" t="s">
        <v>133</v>
      </c>
      <c r="G72" s="55">
        <v>97676</v>
      </c>
      <c r="H72" s="55">
        <v>1226249000</v>
      </c>
    </row>
    <row r="73" spans="1:8" x14ac:dyDescent="0.3">
      <c r="A73" s="53" t="s">
        <v>96</v>
      </c>
      <c r="B73" s="53">
        <v>50469</v>
      </c>
      <c r="C73" s="53">
        <v>868112000</v>
      </c>
      <c r="D73" s="54">
        <v>1.9662246910836423</v>
      </c>
      <c r="F73" s="53" t="s">
        <v>96</v>
      </c>
      <c r="G73" s="55">
        <v>50469</v>
      </c>
      <c r="H73" s="55">
        <v>868112000</v>
      </c>
    </row>
    <row r="74" spans="1:8" x14ac:dyDescent="0.3">
      <c r="A74" s="53" t="s">
        <v>134</v>
      </c>
      <c r="B74" s="53">
        <v>41460</v>
      </c>
      <c r="C74" s="53">
        <v>999189000</v>
      </c>
      <c r="D74" s="54">
        <v>1.8836047409352719</v>
      </c>
      <c r="F74" s="53" t="s">
        <v>134</v>
      </c>
      <c r="G74" s="55">
        <v>41460</v>
      </c>
      <c r="H74" s="55">
        <v>999189000</v>
      </c>
    </row>
    <row r="75" spans="1:8" x14ac:dyDescent="0.3">
      <c r="A75" s="53" t="s">
        <v>97</v>
      </c>
      <c r="B75" s="53">
        <v>26764</v>
      </c>
      <c r="C75" s="53">
        <v>1076767000</v>
      </c>
      <c r="D75" s="54">
        <v>1.7998239306978006</v>
      </c>
      <c r="F75" s="53" t="s">
        <v>97</v>
      </c>
      <c r="G75" s="55">
        <v>26764</v>
      </c>
      <c r="H75" s="55">
        <v>1076767000</v>
      </c>
    </row>
    <row r="76" spans="1:8" x14ac:dyDescent="0.3">
      <c r="A76" s="53" t="s">
        <v>98</v>
      </c>
      <c r="B76" s="53">
        <v>5480</v>
      </c>
      <c r="C76" s="53">
        <v>408066000</v>
      </c>
      <c r="D76" s="54">
        <v>1.6921912249921658</v>
      </c>
      <c r="F76" s="53" t="s">
        <v>98</v>
      </c>
      <c r="G76" s="55">
        <v>5480</v>
      </c>
      <c r="H76" s="55">
        <v>408066000</v>
      </c>
    </row>
    <row r="77" spans="1:8" x14ac:dyDescent="0.3">
      <c r="A77" s="53" t="s">
        <v>99</v>
      </c>
      <c r="B77" s="53">
        <v>1871</v>
      </c>
      <c r="C77" s="53">
        <v>244462000</v>
      </c>
      <c r="D77" s="54">
        <v>1.6665643659416418</v>
      </c>
      <c r="F77" s="53" t="s">
        <v>99</v>
      </c>
      <c r="G77" s="55">
        <v>1871</v>
      </c>
      <c r="H77" s="55">
        <v>244462000</v>
      </c>
    </row>
    <row r="78" spans="1:8" x14ac:dyDescent="0.3">
      <c r="A78" s="53" t="s">
        <v>101</v>
      </c>
      <c r="B78" s="53">
        <v>252</v>
      </c>
      <c r="C78" s="53">
        <v>60414000</v>
      </c>
      <c r="D78" s="54">
        <v>1.65905920390255</v>
      </c>
      <c r="F78" s="53" t="s">
        <v>101</v>
      </c>
      <c r="G78" s="55">
        <v>252</v>
      </c>
      <c r="H78" s="55">
        <v>60414000</v>
      </c>
    </row>
    <row r="79" spans="1:8" x14ac:dyDescent="0.3">
      <c r="A79" s="53" t="s">
        <v>135</v>
      </c>
      <c r="B79" s="53">
        <v>114</v>
      </c>
      <c r="C79" s="53">
        <v>42337000</v>
      </c>
      <c r="D79" s="54">
        <v>1.6019124148853157</v>
      </c>
      <c r="F79" s="53" t="s">
        <v>135</v>
      </c>
      <c r="G79" s="55">
        <v>114</v>
      </c>
      <c r="H79" s="55">
        <v>42337000</v>
      </c>
    </row>
    <row r="80" spans="1:8" x14ac:dyDescent="0.3">
      <c r="A80" s="53" t="s">
        <v>136</v>
      </c>
      <c r="B80" s="53">
        <v>42</v>
      </c>
      <c r="C80" s="53">
        <v>32635000</v>
      </c>
      <c r="D80" s="54">
        <v>1.5540476190476189</v>
      </c>
      <c r="F80" s="53" t="s">
        <v>136</v>
      </c>
      <c r="G80" s="55">
        <v>42</v>
      </c>
      <c r="H80" s="55">
        <v>32635000</v>
      </c>
    </row>
    <row r="81" spans="1:8" x14ac:dyDescent="0.3">
      <c r="A81" s="51" t="s">
        <v>56</v>
      </c>
      <c r="B81" s="51" t="s">
        <v>74</v>
      </c>
      <c r="C81" s="51" t="s">
        <v>75</v>
      </c>
      <c r="D81" s="52" t="s">
        <v>59</v>
      </c>
      <c r="E81">
        <v>10300</v>
      </c>
      <c r="G81" s="2"/>
      <c r="H81" s="2"/>
    </row>
    <row r="82" spans="1:8" x14ac:dyDescent="0.3">
      <c r="A82" s="53" t="s">
        <v>146</v>
      </c>
      <c r="B82" s="53"/>
      <c r="C82" s="53"/>
      <c r="D82" s="54"/>
      <c r="F82" s="53" t="s">
        <v>117</v>
      </c>
      <c r="G82" s="2">
        <v>119176.5542306915</v>
      </c>
      <c r="H82" s="2">
        <v>939271013.00837564</v>
      </c>
    </row>
    <row r="83" spans="1:8" x14ac:dyDescent="0.3">
      <c r="A83" s="53" t="s">
        <v>133</v>
      </c>
      <c r="B83" s="53"/>
      <c r="C83" s="53"/>
      <c r="D83" s="54"/>
      <c r="F83" s="53" t="s">
        <v>133</v>
      </c>
      <c r="G83" s="2">
        <v>38697.648457468938</v>
      </c>
      <c r="H83" s="2">
        <v>485819983.6533317</v>
      </c>
    </row>
    <row r="84" spans="1:8" x14ac:dyDescent="0.3">
      <c r="A84" s="53" t="s">
        <v>96</v>
      </c>
      <c r="B84" s="53">
        <v>19995</v>
      </c>
      <c r="C84" s="53">
        <v>343885000</v>
      </c>
      <c r="D84" s="54">
        <v>2.0829952559065652</v>
      </c>
      <c r="F84" s="53" t="s">
        <v>96</v>
      </c>
      <c r="G84" s="55">
        <v>19995</v>
      </c>
      <c r="H84" s="55">
        <v>343885000</v>
      </c>
    </row>
    <row r="85" spans="1:8" x14ac:dyDescent="0.3">
      <c r="A85" s="53" t="s">
        <v>134</v>
      </c>
      <c r="B85" s="53">
        <v>17129</v>
      </c>
      <c r="C85" s="53">
        <v>414805000</v>
      </c>
      <c r="D85" s="54">
        <v>1.9807353092272666</v>
      </c>
      <c r="F85" s="53" t="s">
        <v>134</v>
      </c>
      <c r="G85" s="55">
        <v>17129</v>
      </c>
      <c r="H85" s="55">
        <v>414805000</v>
      </c>
    </row>
    <row r="86" spans="1:8" x14ac:dyDescent="0.3">
      <c r="A86" s="53" t="s">
        <v>97</v>
      </c>
      <c r="B86" s="53">
        <v>12374</v>
      </c>
      <c r="C86" s="53">
        <v>498213000</v>
      </c>
      <c r="D86" s="54">
        <v>1.8546717059162026</v>
      </c>
      <c r="F86" s="53" t="s">
        <v>97</v>
      </c>
      <c r="G86" s="55">
        <v>12374</v>
      </c>
      <c r="H86" s="55">
        <v>498213000</v>
      </c>
    </row>
    <row r="87" spans="1:8" x14ac:dyDescent="0.3">
      <c r="A87" s="53" t="s">
        <v>98</v>
      </c>
      <c r="B87" s="53">
        <v>2855</v>
      </c>
      <c r="C87" s="53">
        <v>213218000</v>
      </c>
      <c r="D87" s="54">
        <v>1.7004632820915693</v>
      </c>
      <c r="F87" s="53" t="s">
        <v>98</v>
      </c>
      <c r="G87" s="55">
        <v>2855</v>
      </c>
      <c r="H87" s="55">
        <v>213218000</v>
      </c>
    </row>
    <row r="88" spans="1:8" x14ac:dyDescent="0.3">
      <c r="A88" s="53" t="s">
        <v>99</v>
      </c>
      <c r="B88" s="53">
        <v>1040</v>
      </c>
      <c r="C88" s="53">
        <v>136900000</v>
      </c>
      <c r="D88" s="54">
        <v>1.6442445212347776</v>
      </c>
      <c r="F88" s="53" t="s">
        <v>99</v>
      </c>
      <c r="G88" s="55">
        <v>1040</v>
      </c>
      <c r="H88" s="55">
        <v>136900000</v>
      </c>
    </row>
    <row r="89" spans="1:8" x14ac:dyDescent="0.3">
      <c r="A89" s="53" t="s">
        <v>101</v>
      </c>
      <c r="B89" s="53">
        <v>139</v>
      </c>
      <c r="C89" s="53">
        <v>32977000</v>
      </c>
      <c r="D89" s="54">
        <v>1.6268054521802211</v>
      </c>
      <c r="F89" s="53" t="s">
        <v>101</v>
      </c>
      <c r="G89" s="55">
        <v>139</v>
      </c>
      <c r="H89" s="55">
        <v>32977000</v>
      </c>
    </row>
    <row r="90" spans="1:8" x14ac:dyDescent="0.3">
      <c r="A90" s="53" t="s">
        <v>135</v>
      </c>
      <c r="B90" s="53">
        <v>54</v>
      </c>
      <c r="C90" s="53">
        <v>20305000</v>
      </c>
      <c r="D90" s="54">
        <v>1.6439178054795434</v>
      </c>
      <c r="F90" s="53" t="s">
        <v>135</v>
      </c>
      <c r="G90" s="55">
        <v>54</v>
      </c>
      <c r="H90" s="55">
        <v>20305000</v>
      </c>
    </row>
    <row r="91" spans="1:8" x14ac:dyDescent="0.3">
      <c r="A91" s="53" t="s">
        <v>136</v>
      </c>
      <c r="B91" s="53">
        <v>19</v>
      </c>
      <c r="C91" s="53">
        <v>15698000</v>
      </c>
      <c r="D91" s="54">
        <v>1.6524210526315788</v>
      </c>
      <c r="F91" s="53" t="s">
        <v>136</v>
      </c>
      <c r="G91" s="55">
        <v>19</v>
      </c>
      <c r="H91" s="55">
        <v>15698000</v>
      </c>
    </row>
    <row r="92" spans="1:8" x14ac:dyDescent="0.3">
      <c r="A92" s="51" t="s">
        <v>56</v>
      </c>
      <c r="B92" s="51" t="s">
        <v>76</v>
      </c>
      <c r="C92" s="51" t="s">
        <v>77</v>
      </c>
      <c r="D92" s="52" t="s">
        <v>59</v>
      </c>
      <c r="E92">
        <v>11500</v>
      </c>
      <c r="G92" s="2"/>
      <c r="H92" s="2"/>
    </row>
    <row r="93" spans="1:8" x14ac:dyDescent="0.3">
      <c r="A93" s="53" t="s">
        <v>117</v>
      </c>
      <c r="B93" s="53"/>
      <c r="C93" s="53"/>
      <c r="D93" s="54"/>
      <c r="F93" s="53" t="s">
        <v>117</v>
      </c>
      <c r="G93" s="2">
        <v>46508.35972303505</v>
      </c>
      <c r="H93" s="2">
        <v>366548222.780913</v>
      </c>
    </row>
    <row r="94" spans="1:8" x14ac:dyDescent="0.3">
      <c r="A94" s="53" t="s">
        <v>147</v>
      </c>
      <c r="B94" s="53"/>
      <c r="C94" s="53"/>
      <c r="D94" s="54"/>
      <c r="F94" s="53" t="s">
        <v>133</v>
      </c>
      <c r="G94" s="2">
        <v>15101.662961421862</v>
      </c>
      <c r="H94" s="2">
        <v>189590064.13838196</v>
      </c>
    </row>
    <row r="95" spans="1:8" x14ac:dyDescent="0.3">
      <c r="A95" s="53" t="s">
        <v>96</v>
      </c>
      <c r="B95" s="53">
        <v>7803</v>
      </c>
      <c r="C95" s="53">
        <v>134028000</v>
      </c>
      <c r="D95" s="54">
        <v>2.1638172303846268</v>
      </c>
      <c r="F95" s="53" t="s">
        <v>96</v>
      </c>
      <c r="G95" s="55">
        <v>7803</v>
      </c>
      <c r="H95" s="55">
        <v>134028000</v>
      </c>
    </row>
    <row r="96" spans="1:8" x14ac:dyDescent="0.3">
      <c r="A96" s="53" t="s">
        <v>134</v>
      </c>
      <c r="B96" s="53">
        <v>6650</v>
      </c>
      <c r="C96" s="53">
        <v>161524000</v>
      </c>
      <c r="D96" s="54">
        <v>2.053174911535296</v>
      </c>
      <c r="F96" s="53" t="s">
        <v>134</v>
      </c>
      <c r="G96" s="55">
        <v>6650</v>
      </c>
      <c r="H96" s="55">
        <v>161524000</v>
      </c>
    </row>
    <row r="97" spans="1:8" x14ac:dyDescent="0.3">
      <c r="A97" s="53" t="s">
        <v>97</v>
      </c>
      <c r="B97" s="53">
        <v>5350</v>
      </c>
      <c r="C97" s="53">
        <v>217390000</v>
      </c>
      <c r="D97" s="54">
        <v>1.8840384693246912</v>
      </c>
      <c r="F97" s="53" t="s">
        <v>97</v>
      </c>
      <c r="G97" s="55">
        <v>5350</v>
      </c>
      <c r="H97" s="55">
        <v>217390000</v>
      </c>
    </row>
    <row r="98" spans="1:8" x14ac:dyDescent="0.3">
      <c r="A98" s="53" t="s">
        <v>98</v>
      </c>
      <c r="B98" s="53">
        <v>1282</v>
      </c>
      <c r="C98" s="53">
        <v>95487000</v>
      </c>
      <c r="D98" s="54">
        <v>1.6980823025586709</v>
      </c>
      <c r="F98" s="53" t="s">
        <v>98</v>
      </c>
      <c r="G98" s="55">
        <v>1282</v>
      </c>
      <c r="H98" s="55">
        <v>95487000</v>
      </c>
    </row>
    <row r="99" spans="1:8" x14ac:dyDescent="0.3">
      <c r="A99" s="53" t="s">
        <v>99</v>
      </c>
      <c r="B99" s="53">
        <v>506</v>
      </c>
      <c r="C99" s="53">
        <v>67149000</v>
      </c>
      <c r="D99" s="54">
        <v>1.6106301827729685</v>
      </c>
      <c r="F99" s="53" t="s">
        <v>99</v>
      </c>
      <c r="G99" s="55">
        <v>506</v>
      </c>
      <c r="H99" s="55">
        <v>67149000</v>
      </c>
    </row>
    <row r="100" spans="1:8" x14ac:dyDescent="0.3">
      <c r="A100" s="53" t="s">
        <v>101</v>
      </c>
      <c r="B100" s="53">
        <v>58</v>
      </c>
      <c r="C100" s="53">
        <v>13699000</v>
      </c>
      <c r="D100" s="54">
        <v>1.6210553108708199</v>
      </c>
      <c r="F100" s="53" t="s">
        <v>101</v>
      </c>
      <c r="G100" s="55">
        <v>58</v>
      </c>
      <c r="H100" s="55">
        <v>13699000</v>
      </c>
    </row>
    <row r="101" spans="1:8" x14ac:dyDescent="0.3">
      <c r="A101" s="53" t="s">
        <v>135</v>
      </c>
      <c r="B101" s="53">
        <v>22</v>
      </c>
      <c r="C101" s="53">
        <v>7884000</v>
      </c>
      <c r="D101" s="54">
        <v>1.6480561759052474</v>
      </c>
      <c r="F101" s="53" t="s">
        <v>135</v>
      </c>
      <c r="G101" s="55">
        <v>22</v>
      </c>
      <c r="H101" s="55">
        <v>7884000</v>
      </c>
    </row>
    <row r="102" spans="1:8" x14ac:dyDescent="0.3">
      <c r="A102" s="53" t="s">
        <v>136</v>
      </c>
      <c r="B102" s="53">
        <v>8</v>
      </c>
      <c r="C102" s="53">
        <v>6949000</v>
      </c>
      <c r="D102" s="54">
        <v>1.73725</v>
      </c>
      <c r="F102" s="53" t="s">
        <v>136</v>
      </c>
      <c r="G102" s="55">
        <v>8</v>
      </c>
      <c r="H102" s="55">
        <v>6949000</v>
      </c>
    </row>
    <row r="103" spans="1:8" x14ac:dyDescent="0.3">
      <c r="A103" s="51" t="s">
        <v>56</v>
      </c>
      <c r="B103" s="51" t="s">
        <v>78</v>
      </c>
      <c r="C103" s="51" t="s">
        <v>79</v>
      </c>
      <c r="D103" s="52" t="s">
        <v>59</v>
      </c>
      <c r="E103">
        <v>12700</v>
      </c>
      <c r="G103" s="2"/>
      <c r="H103" s="2"/>
    </row>
    <row r="104" spans="1:8" x14ac:dyDescent="0.3">
      <c r="A104" s="53" t="s">
        <v>117</v>
      </c>
      <c r="B104" s="53"/>
      <c r="C104" s="53"/>
      <c r="D104" s="54"/>
      <c r="F104" s="53" t="s">
        <v>117</v>
      </c>
      <c r="G104" s="2">
        <v>16456.437420902188</v>
      </c>
      <c r="H104" s="2">
        <v>129698788.04281697</v>
      </c>
    </row>
    <row r="105" spans="1:8" x14ac:dyDescent="0.3">
      <c r="A105" s="53" t="s">
        <v>148</v>
      </c>
      <c r="B105" s="53"/>
      <c r="C105" s="53"/>
      <c r="D105" s="54"/>
      <c r="F105" s="53" t="s">
        <v>133</v>
      </c>
      <c r="G105" s="2">
        <v>5343.5462561176164</v>
      </c>
      <c r="H105" s="2">
        <v>67084219.798292011</v>
      </c>
    </row>
    <row r="106" spans="1:8" x14ac:dyDescent="0.3">
      <c r="A106" s="53" t="s">
        <v>96</v>
      </c>
      <c r="B106" s="53">
        <v>2761</v>
      </c>
      <c r="C106" s="53">
        <v>48269000</v>
      </c>
      <c r="D106" s="54">
        <v>2.2935901663616067</v>
      </c>
      <c r="F106" s="53" t="s">
        <v>96</v>
      </c>
      <c r="G106" s="55">
        <v>2761</v>
      </c>
      <c r="H106" s="55">
        <v>48269000</v>
      </c>
    </row>
    <row r="107" spans="1:8" x14ac:dyDescent="0.3">
      <c r="A107" s="53" t="s">
        <v>134</v>
      </c>
      <c r="B107" s="53">
        <v>2716</v>
      </c>
      <c r="C107" s="53">
        <v>65815000</v>
      </c>
      <c r="D107" s="54">
        <v>2.1172882669323858</v>
      </c>
      <c r="F107" s="53" t="s">
        <v>134</v>
      </c>
      <c r="G107" s="55">
        <v>2716</v>
      </c>
      <c r="H107" s="55">
        <v>65815000</v>
      </c>
    </row>
    <row r="108" spans="1:8" x14ac:dyDescent="0.3">
      <c r="A108" s="53" t="s">
        <v>97</v>
      </c>
      <c r="B108" s="53">
        <v>2306</v>
      </c>
      <c r="C108" s="53">
        <v>93844000</v>
      </c>
      <c r="D108" s="54">
        <v>1.9285238253915362</v>
      </c>
      <c r="F108" s="53" t="s">
        <v>97</v>
      </c>
      <c r="G108" s="55">
        <v>2306</v>
      </c>
      <c r="H108" s="55">
        <v>93844000</v>
      </c>
    </row>
    <row r="109" spans="1:8" x14ac:dyDescent="0.3">
      <c r="A109" s="53" t="s">
        <v>98</v>
      </c>
      <c r="B109" s="53">
        <v>588</v>
      </c>
      <c r="C109" s="53">
        <v>44453000</v>
      </c>
      <c r="D109" s="54">
        <v>1.7232185440357641</v>
      </c>
      <c r="F109" s="53" t="s">
        <v>98</v>
      </c>
      <c r="G109" s="55">
        <v>588</v>
      </c>
      <c r="H109" s="55">
        <v>44453000</v>
      </c>
    </row>
    <row r="110" spans="1:8" x14ac:dyDescent="0.3">
      <c r="A110" s="53" t="s">
        <v>99</v>
      </c>
      <c r="B110" s="53">
        <v>233</v>
      </c>
      <c r="C110" s="53">
        <v>30851000</v>
      </c>
      <c r="D110" s="54">
        <v>1.6138102501806555</v>
      </c>
      <c r="F110" s="53" t="s">
        <v>99</v>
      </c>
      <c r="G110" s="55">
        <v>233</v>
      </c>
      <c r="H110" s="55">
        <v>30851000</v>
      </c>
    </row>
    <row r="111" spans="1:8" x14ac:dyDescent="0.3">
      <c r="A111" s="53" t="s">
        <v>101</v>
      </c>
      <c r="B111" s="53">
        <v>34</v>
      </c>
      <c r="C111" s="53">
        <v>8355000</v>
      </c>
      <c r="D111" s="54">
        <v>1.4961496823118028</v>
      </c>
      <c r="F111" s="53" t="s">
        <v>101</v>
      </c>
      <c r="G111" s="55">
        <v>34</v>
      </c>
      <c r="H111" s="55">
        <v>8355000</v>
      </c>
    </row>
    <row r="112" spans="1:8" x14ac:dyDescent="0.3">
      <c r="A112" s="53" t="s">
        <v>135</v>
      </c>
      <c r="B112" s="53">
        <v>13</v>
      </c>
      <c r="C112" s="53">
        <v>4514000</v>
      </c>
      <c r="D112" s="54">
        <v>1.4017310534093308</v>
      </c>
      <c r="F112" s="53" t="s">
        <v>135</v>
      </c>
      <c r="G112" s="55">
        <v>13</v>
      </c>
      <c r="H112" s="55">
        <v>4514000</v>
      </c>
    </row>
    <row r="113" spans="1:8" x14ac:dyDescent="0.3">
      <c r="A113" s="53" t="s">
        <v>136</v>
      </c>
      <c r="B113" s="53">
        <v>2</v>
      </c>
      <c r="C113" s="53">
        <v>1794000</v>
      </c>
      <c r="D113" s="54">
        <v>1.794</v>
      </c>
      <c r="F113" s="53" t="s">
        <v>136</v>
      </c>
      <c r="G113" s="55">
        <v>2</v>
      </c>
      <c r="H113" s="55">
        <v>1794000</v>
      </c>
    </row>
    <row r="114" spans="1:8" x14ac:dyDescent="0.3">
      <c r="A114" s="51" t="s">
        <v>56</v>
      </c>
      <c r="B114" s="51" t="s">
        <v>80</v>
      </c>
      <c r="C114" s="51" t="s">
        <v>81</v>
      </c>
      <c r="D114" s="52" t="s">
        <v>59</v>
      </c>
      <c r="E114">
        <v>13900</v>
      </c>
      <c r="G114" s="2"/>
      <c r="H114" s="2"/>
    </row>
    <row r="115" spans="1:8" x14ac:dyDescent="0.3">
      <c r="A115" s="53" t="s">
        <v>117</v>
      </c>
      <c r="B115" s="53"/>
      <c r="C115" s="53"/>
      <c r="D115" s="54"/>
      <c r="F115" s="53" t="s">
        <v>117</v>
      </c>
      <c r="G115" s="2">
        <v>4660.9685125481747</v>
      </c>
      <c r="H115" s="2">
        <v>36734680.278697163</v>
      </c>
    </row>
    <row r="116" spans="1:8" x14ac:dyDescent="0.3">
      <c r="A116" s="53" t="s">
        <v>149</v>
      </c>
      <c r="B116" s="53"/>
      <c r="C116" s="53"/>
      <c r="D116" s="54"/>
      <c r="F116" s="53" t="s">
        <v>133</v>
      </c>
      <c r="G116" s="2">
        <v>1513.4564187917333</v>
      </c>
      <c r="H116" s="2">
        <v>19000311.438704941</v>
      </c>
    </row>
    <row r="117" spans="1:8" x14ac:dyDescent="0.3">
      <c r="A117" s="53" t="s">
        <v>96</v>
      </c>
      <c r="B117" s="53">
        <v>782</v>
      </c>
      <c r="C117" s="53">
        <v>14023000</v>
      </c>
      <c r="D117" s="54">
        <v>2.455363402882643</v>
      </c>
      <c r="F117" s="53" t="s">
        <v>96</v>
      </c>
      <c r="G117" s="55">
        <v>782</v>
      </c>
      <c r="H117" s="55">
        <v>14023000</v>
      </c>
    </row>
    <row r="118" spans="1:8" x14ac:dyDescent="0.3">
      <c r="A118" s="53" t="s">
        <v>134</v>
      </c>
      <c r="B118" s="53">
        <v>1086</v>
      </c>
      <c r="C118" s="53">
        <v>26512000</v>
      </c>
      <c r="D118" s="54">
        <v>2.1467822789636108</v>
      </c>
      <c r="F118" s="53" t="s">
        <v>134</v>
      </c>
      <c r="G118" s="55">
        <v>1086</v>
      </c>
      <c r="H118" s="55">
        <v>26512000</v>
      </c>
    </row>
    <row r="119" spans="1:8" x14ac:dyDescent="0.3">
      <c r="A119" s="53" t="s">
        <v>97</v>
      </c>
      <c r="B119" s="53">
        <v>950</v>
      </c>
      <c r="C119" s="53">
        <v>38764000</v>
      </c>
      <c r="D119" s="54">
        <v>1.9326144459190726</v>
      </c>
      <c r="F119" s="53" t="s">
        <v>97</v>
      </c>
      <c r="G119" s="55">
        <v>950</v>
      </c>
      <c r="H119" s="55">
        <v>38764000</v>
      </c>
    </row>
    <row r="120" spans="1:8" x14ac:dyDescent="0.3">
      <c r="A120" s="53" t="s">
        <v>98</v>
      </c>
      <c r="B120" s="53">
        <v>256</v>
      </c>
      <c r="C120" s="53">
        <v>19323000</v>
      </c>
      <c r="D120" s="54">
        <v>1.6661747463683216</v>
      </c>
      <c r="F120" s="53" t="s">
        <v>98</v>
      </c>
      <c r="G120" s="55">
        <v>256</v>
      </c>
      <c r="H120" s="55">
        <v>19323000</v>
      </c>
    </row>
    <row r="121" spans="1:8" x14ac:dyDescent="0.3">
      <c r="A121" s="53" t="s">
        <v>99</v>
      </c>
      <c r="B121" s="53">
        <v>118</v>
      </c>
      <c r="C121" s="53">
        <v>15369000</v>
      </c>
      <c r="D121" s="54">
        <v>1.4714318041880023</v>
      </c>
      <c r="F121" s="53" t="s">
        <v>99</v>
      </c>
      <c r="G121" s="55">
        <v>118</v>
      </c>
      <c r="H121" s="55">
        <v>15369000</v>
      </c>
    </row>
    <row r="122" spans="1:8" x14ac:dyDescent="0.3">
      <c r="A122" s="53" t="s">
        <v>101</v>
      </c>
      <c r="B122" s="53">
        <v>11</v>
      </c>
      <c r="C122" s="53">
        <v>2489000</v>
      </c>
      <c r="D122" s="54">
        <v>1.400929953502325</v>
      </c>
      <c r="F122" s="53" t="s">
        <v>101</v>
      </c>
      <c r="G122" s="55">
        <v>11</v>
      </c>
      <c r="H122" s="55">
        <v>2489000</v>
      </c>
    </row>
    <row r="123" spans="1:8" x14ac:dyDescent="0.3">
      <c r="A123" s="53" t="s">
        <v>135</v>
      </c>
      <c r="B123" s="53">
        <v>3</v>
      </c>
      <c r="C123" s="53">
        <v>1071000</v>
      </c>
      <c r="D123" s="54">
        <v>1.4282857238092064</v>
      </c>
      <c r="F123" s="53" t="s">
        <v>135</v>
      </c>
      <c r="G123" s="55">
        <v>3</v>
      </c>
      <c r="H123" s="55">
        <v>1071000</v>
      </c>
    </row>
    <row r="124" spans="1:8" x14ac:dyDescent="0.3">
      <c r="A124" s="53" t="s">
        <v>136</v>
      </c>
      <c r="B124" s="53">
        <v>1</v>
      </c>
      <c r="C124" s="53">
        <v>643000</v>
      </c>
      <c r="D124" s="54">
        <v>1.286</v>
      </c>
      <c r="F124" s="53" t="s">
        <v>136</v>
      </c>
      <c r="G124" s="55">
        <v>1</v>
      </c>
      <c r="H124" s="55">
        <v>643000</v>
      </c>
    </row>
    <row r="125" spans="1:8" x14ac:dyDescent="0.3">
      <c r="A125" s="51" t="s">
        <v>56</v>
      </c>
      <c r="B125" s="51" t="s">
        <v>82</v>
      </c>
      <c r="C125" s="51" t="s">
        <v>83</v>
      </c>
      <c r="D125" s="52" t="s">
        <v>59</v>
      </c>
      <c r="E125">
        <v>15100</v>
      </c>
      <c r="G125" s="2"/>
      <c r="H125" s="2"/>
    </row>
    <row r="126" spans="1:8" x14ac:dyDescent="0.3">
      <c r="A126" s="53" t="s">
        <v>117</v>
      </c>
      <c r="B126" s="53"/>
      <c r="C126" s="53"/>
      <c r="D126" s="54"/>
      <c r="F126" s="53">
        <v>6510</v>
      </c>
      <c r="G126" s="2">
        <v>1239.7461005243226</v>
      </c>
      <c r="H126" s="2">
        <v>9770861.2505997568</v>
      </c>
    </row>
    <row r="127" spans="1:8" x14ac:dyDescent="0.3">
      <c r="A127" s="53" t="s">
        <v>150</v>
      </c>
      <c r="B127" s="53"/>
      <c r="C127" s="53"/>
      <c r="D127" s="54"/>
      <c r="F127" s="53">
        <v>10010</v>
      </c>
      <c r="G127" s="2">
        <v>402.55618300342775</v>
      </c>
      <c r="H127" s="2">
        <v>5053791.2778141014</v>
      </c>
    </row>
    <row r="128" spans="1:8" x14ac:dyDescent="0.3">
      <c r="A128" s="53" t="s">
        <v>151</v>
      </c>
      <c r="B128" s="53">
        <v>208</v>
      </c>
      <c r="C128" s="53">
        <v>3704000</v>
      </c>
      <c r="D128" s="54">
        <v>2.6792330055310085</v>
      </c>
      <c r="F128" s="53">
        <v>15010</v>
      </c>
      <c r="G128" s="55">
        <v>208</v>
      </c>
      <c r="H128" s="55">
        <v>3704000</v>
      </c>
    </row>
    <row r="129" spans="1:8" x14ac:dyDescent="0.3">
      <c r="A129" s="53" t="s">
        <v>134</v>
      </c>
      <c r="B129" s="53">
        <v>461</v>
      </c>
      <c r="C129" s="53">
        <v>11115000</v>
      </c>
      <c r="D129" s="54">
        <v>2.2451772216358616</v>
      </c>
      <c r="F129" s="53">
        <v>20010</v>
      </c>
      <c r="G129" s="55">
        <v>461</v>
      </c>
      <c r="H129" s="55">
        <v>11115000</v>
      </c>
    </row>
    <row r="130" spans="1:8" x14ac:dyDescent="0.3">
      <c r="A130" s="53" t="s">
        <v>97</v>
      </c>
      <c r="B130" s="53">
        <v>404</v>
      </c>
      <c r="C130" s="53">
        <v>16646000</v>
      </c>
      <c r="D130" s="54">
        <v>2.0362521093306167</v>
      </c>
      <c r="F130" s="53">
        <v>30010</v>
      </c>
      <c r="G130" s="55">
        <v>404</v>
      </c>
      <c r="H130" s="55">
        <v>16646000</v>
      </c>
    </row>
    <row r="131" spans="1:8" x14ac:dyDescent="0.3">
      <c r="A131" s="53" t="s">
        <v>98</v>
      </c>
      <c r="B131" s="53">
        <v>128</v>
      </c>
      <c r="C131" s="53">
        <v>9815000</v>
      </c>
      <c r="D131" s="54">
        <v>1.7273135253471863</v>
      </c>
      <c r="F131" s="53">
        <v>60010</v>
      </c>
      <c r="G131" s="55">
        <v>128</v>
      </c>
      <c r="H131" s="55">
        <v>9815000</v>
      </c>
    </row>
    <row r="132" spans="1:8" x14ac:dyDescent="0.3">
      <c r="A132" s="53" t="s">
        <v>99</v>
      </c>
      <c r="B132" s="53">
        <v>54</v>
      </c>
      <c r="C132" s="53">
        <v>7285000</v>
      </c>
      <c r="D132" s="54">
        <v>1.6024627045492172</v>
      </c>
      <c r="F132" s="53">
        <v>100010</v>
      </c>
      <c r="G132" s="55">
        <v>54</v>
      </c>
      <c r="H132" s="55">
        <v>7285000</v>
      </c>
    </row>
    <row r="133" spans="1:8" x14ac:dyDescent="0.3">
      <c r="A133" s="53" t="s">
        <v>101</v>
      </c>
      <c r="B133" s="53">
        <v>4</v>
      </c>
      <c r="C133" s="53">
        <v>985000</v>
      </c>
      <c r="D133" s="54">
        <v>1.7791967544479919</v>
      </c>
      <c r="F133" s="53">
        <v>200010</v>
      </c>
      <c r="G133" s="55">
        <v>4</v>
      </c>
      <c r="H133" s="55">
        <v>985000</v>
      </c>
    </row>
    <row r="134" spans="1:8" x14ac:dyDescent="0.3">
      <c r="A134" s="53" t="s">
        <v>135</v>
      </c>
      <c r="B134" s="53">
        <v>1</v>
      </c>
      <c r="C134" s="53">
        <v>301000</v>
      </c>
      <c r="D134" s="54">
        <v>1.6732775574147529</v>
      </c>
      <c r="F134" s="53">
        <v>300010</v>
      </c>
      <c r="G134" s="55">
        <v>1</v>
      </c>
      <c r="H134" s="55">
        <v>301000</v>
      </c>
    </row>
    <row r="135" spans="1:8" x14ac:dyDescent="0.3">
      <c r="A135" s="53" t="s">
        <v>136</v>
      </c>
      <c r="B135" s="53">
        <v>2</v>
      </c>
      <c r="C135" s="53">
        <v>1205000</v>
      </c>
      <c r="D135" s="54">
        <v>1.2050000000000001</v>
      </c>
      <c r="F135" s="53">
        <v>500000</v>
      </c>
      <c r="G135" s="55">
        <v>2</v>
      </c>
      <c r="H135" s="55">
        <v>1205000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topLeftCell="B1" workbookViewId="0">
      <selection sqref="A1:D1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3.69921875" customWidth="1"/>
  </cols>
  <sheetData>
    <row r="1" spans="1:15" x14ac:dyDescent="0.3">
      <c r="A1" s="79" t="s">
        <v>225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3" t="s">
        <v>132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3">
      <c r="A4" s="51" t="s">
        <v>56</v>
      </c>
      <c r="B4" s="51" t="s">
        <v>57</v>
      </c>
      <c r="C4" s="51" t="s">
        <v>58</v>
      </c>
      <c r="D4" s="52" t="s">
        <v>59</v>
      </c>
      <c r="E4">
        <v>1410</v>
      </c>
      <c r="I4" s="2">
        <f t="shared" ref="I4:I13" si="0">J4/6.55957</f>
        <v>990.91861204316751</v>
      </c>
      <c r="J4" s="53">
        <v>6500</v>
      </c>
      <c r="K4" s="2">
        <f>G5+G16+G27+G38+G49+G60+G71+G82+G93+G104+G115+G126</f>
        <v>2938005.6785927899</v>
      </c>
      <c r="L4" s="2">
        <f>H5+H16+H27+H38+H49+H60+H71+H82+H93+H104+H115+H126</f>
        <v>23453083548.130795</v>
      </c>
      <c r="M4">
        <f>1-SUM(K4:$K$13)/$K$15</f>
        <v>0.66681616664170029</v>
      </c>
      <c r="N4">
        <f>SUM(L4:$L$13)/(J4*SUM(K4:$K$13))</f>
        <v>2.177298207050065</v>
      </c>
      <c r="O4">
        <f>(G5+G16+G38)/K4</f>
        <v>0.23493419533845208</v>
      </c>
    </row>
    <row r="5" spans="1:15" x14ac:dyDescent="0.3">
      <c r="A5" s="53" t="s">
        <v>117</v>
      </c>
      <c r="B5" s="53">
        <v>501440</v>
      </c>
      <c r="C5" s="53">
        <v>3928205000</v>
      </c>
      <c r="D5" s="54">
        <v>1.622873535155227</v>
      </c>
      <c r="F5" s="53" t="s">
        <v>117</v>
      </c>
      <c r="G5" s="55">
        <v>501440</v>
      </c>
      <c r="H5" s="55">
        <v>3928205000</v>
      </c>
      <c r="I5" s="2">
        <f t="shared" si="0"/>
        <v>1524.4901723741038</v>
      </c>
      <c r="J5" s="53">
        <v>10000</v>
      </c>
      <c r="K5" s="2">
        <f t="shared" ref="K5:L13" si="1">G6+G17+G28+G39+G50+G61+G72+G83+G94+G105+G116+G127</f>
        <v>1890212.889379554</v>
      </c>
      <c r="L5" s="2">
        <f t="shared" si="1"/>
        <v>23025588817.288586</v>
      </c>
      <c r="M5">
        <f>1-SUM(K5:$K$13)/$K$15</f>
        <v>0.81721076922157587</v>
      </c>
      <c r="N5">
        <f>SUM(L5:$L$13)/(J5*SUM(K5:$K$13))</f>
        <v>1.9228788968545485</v>
      </c>
      <c r="O5">
        <f t="shared" ref="O5:O13" si="2">(G6+G17+G39)/K5</f>
        <v>0.12736343157570051</v>
      </c>
    </row>
    <row r="6" spans="1:15" x14ac:dyDescent="0.3">
      <c r="A6" s="53" t="s">
        <v>133</v>
      </c>
      <c r="B6" s="53">
        <v>155934</v>
      </c>
      <c r="C6" s="53">
        <v>1858923000</v>
      </c>
      <c r="D6" s="54">
        <v>1.6366653921406045</v>
      </c>
      <c r="F6" s="53" t="s">
        <v>133</v>
      </c>
      <c r="G6" s="55">
        <v>155934</v>
      </c>
      <c r="H6" s="55">
        <v>1858923000</v>
      </c>
      <c r="I6" s="2">
        <f t="shared" si="0"/>
        <v>2286.7352585611557</v>
      </c>
      <c r="J6" s="53">
        <v>15000</v>
      </c>
      <c r="K6" s="2">
        <f t="shared" si="1"/>
        <v>774769</v>
      </c>
      <c r="L6" s="2">
        <f t="shared" si="1"/>
        <v>13293414000</v>
      </c>
      <c r="M6">
        <f>1-SUM(K6:$K$13)/$K$15</f>
        <v>0.91396953941760772</v>
      </c>
      <c r="N6">
        <f>SUM(L6:$L$13)/(J6*SUM(K6:$K$13))</f>
        <v>1.8103282574650488</v>
      </c>
      <c r="O6">
        <f t="shared" si="2"/>
        <v>8.878130126528036E-2</v>
      </c>
    </row>
    <row r="7" spans="1:15" x14ac:dyDescent="0.3">
      <c r="A7" s="53" t="s">
        <v>96</v>
      </c>
      <c r="B7" s="53">
        <v>41173</v>
      </c>
      <c r="C7" s="53">
        <v>703720000</v>
      </c>
      <c r="D7" s="54">
        <v>1.6749242506799651</v>
      </c>
      <c r="F7" s="53" t="s">
        <v>96</v>
      </c>
      <c r="G7" s="55">
        <v>41173</v>
      </c>
      <c r="H7" s="55">
        <v>703720000</v>
      </c>
      <c r="I7" s="2">
        <f t="shared" si="0"/>
        <v>3048.9803447482077</v>
      </c>
      <c r="J7" s="53">
        <v>20000</v>
      </c>
      <c r="K7" s="2">
        <f t="shared" si="1"/>
        <v>661892</v>
      </c>
      <c r="L7" s="2">
        <f t="shared" si="1"/>
        <v>16957567000</v>
      </c>
      <c r="M7">
        <f>1-SUM(K7:$K$13)/$K$15</f>
        <v>0.95362946134873816</v>
      </c>
      <c r="N7">
        <f>SUM(L7:$L$13)/(J7*SUM(K7:$K$13))</f>
        <v>1.7852600227628239</v>
      </c>
      <c r="O7">
        <f t="shared" si="2"/>
        <v>7.9594556211587383E-2</v>
      </c>
    </row>
    <row r="8" spans="1:15" x14ac:dyDescent="0.3">
      <c r="A8" s="53" t="s">
        <v>134</v>
      </c>
      <c r="B8" s="53">
        <v>29340</v>
      </c>
      <c r="C8" s="53">
        <v>746025000</v>
      </c>
      <c r="D8" s="54">
        <v>1.6891324404687289</v>
      </c>
      <c r="F8" s="53" t="s">
        <v>134</v>
      </c>
      <c r="G8" s="55">
        <v>29340</v>
      </c>
      <c r="H8" s="55">
        <v>746025000</v>
      </c>
      <c r="I8" s="2">
        <f t="shared" si="0"/>
        <v>5488.1646205467741</v>
      </c>
      <c r="J8" s="53">
        <v>36000</v>
      </c>
      <c r="K8" s="2">
        <f t="shared" si="1"/>
        <v>167205</v>
      </c>
      <c r="L8" s="2">
        <f>H9+H20+H31+H42+H53+H64+H75+H86+H97+H108+H119+H130</f>
        <v>7503939000</v>
      </c>
      <c r="M8">
        <f>1-SUM(K8:$K$13)/$K$15</f>
        <v>0.98751128295858537</v>
      </c>
      <c r="N8">
        <f>SUM(L8:$L$13)/(J8*SUM(K8:$K$13))</f>
        <v>1.7518535900669432</v>
      </c>
      <c r="O8">
        <f t="shared" si="2"/>
        <v>7.5213061810352561E-2</v>
      </c>
    </row>
    <row r="9" spans="1:15" x14ac:dyDescent="0.3">
      <c r="A9" s="53">
        <v>36010</v>
      </c>
      <c r="B9" s="53">
        <v>6306</v>
      </c>
      <c r="C9" s="53">
        <v>282136000</v>
      </c>
      <c r="D9" s="54">
        <v>1.7023652309348811</v>
      </c>
      <c r="F9" s="53">
        <v>36010</v>
      </c>
      <c r="G9" s="55">
        <v>6306</v>
      </c>
      <c r="H9" s="55">
        <v>282136000</v>
      </c>
      <c r="I9" s="2">
        <f t="shared" si="0"/>
        <v>9146.9410342446226</v>
      </c>
      <c r="J9" s="53">
        <v>60000</v>
      </c>
      <c r="K9" s="2">
        <f t="shared" si="1"/>
        <v>54122</v>
      </c>
      <c r="L9" s="2">
        <f t="shared" si="1"/>
        <v>4036544000</v>
      </c>
      <c r="M9">
        <f>1-SUM(K9:$K$13)/$K$15</f>
        <v>0.99607039831618827</v>
      </c>
      <c r="N9">
        <f>SUM(L9:$L$13)/(J9*SUM(K9:$K$13))</f>
        <v>1.7113726562974929</v>
      </c>
      <c r="O9">
        <f t="shared" si="2"/>
        <v>7.2318096153135503E-2</v>
      </c>
    </row>
    <row r="10" spans="1:15" x14ac:dyDescent="0.3">
      <c r="A10" s="53" t="s">
        <v>98</v>
      </c>
      <c r="B10" s="53">
        <v>1870</v>
      </c>
      <c r="C10" s="53">
        <v>137839000</v>
      </c>
      <c r="D10" s="54">
        <v>1.684252167669948</v>
      </c>
      <c r="F10" s="53" t="s">
        <v>98</v>
      </c>
      <c r="G10" s="55">
        <v>1870</v>
      </c>
      <c r="H10" s="55">
        <v>137839000</v>
      </c>
      <c r="I10" s="2">
        <f t="shared" si="0"/>
        <v>15244.901723741039</v>
      </c>
      <c r="J10" s="53">
        <v>100000</v>
      </c>
      <c r="K10" s="2">
        <f t="shared" si="1"/>
        <v>18498</v>
      </c>
      <c r="L10" s="2">
        <f t="shared" si="1"/>
        <v>2421855000</v>
      </c>
      <c r="M10">
        <f>1-SUM(K10:$K$13)/$K$15</f>
        <v>0.99884086834629615</v>
      </c>
      <c r="N10">
        <f>SUM(L10:$L$13)/(J10*SUM(K10:$K$13))</f>
        <v>1.698449920508744</v>
      </c>
      <c r="O10">
        <f t="shared" si="2"/>
        <v>7.8278732835982273E-2</v>
      </c>
    </row>
    <row r="11" spans="1:15" x14ac:dyDescent="0.3">
      <c r="A11" s="53" t="s">
        <v>99</v>
      </c>
      <c r="B11" s="53">
        <v>617</v>
      </c>
      <c r="C11" s="53">
        <v>80768000</v>
      </c>
      <c r="D11" s="54">
        <v>1.6873444930639212</v>
      </c>
      <c r="F11" s="53" t="s">
        <v>99</v>
      </c>
      <c r="G11" s="55">
        <v>617</v>
      </c>
      <c r="H11" s="55">
        <v>80768000</v>
      </c>
      <c r="I11" s="2">
        <f t="shared" si="0"/>
        <v>30489.803447482078</v>
      </c>
      <c r="J11" s="53">
        <v>200000</v>
      </c>
      <c r="K11" s="2">
        <f t="shared" si="1"/>
        <v>2555</v>
      </c>
      <c r="L11" s="2">
        <f t="shared" si="1"/>
        <v>612219000</v>
      </c>
      <c r="M11">
        <f>1-SUM(K11:$K$13)/$K$15</f>
        <v>0.9997877689526472</v>
      </c>
      <c r="N11">
        <f>SUM(L11:$L$13)/(J11*SUM(K11:$K$13))</f>
        <v>1.7174565846599132</v>
      </c>
      <c r="O11">
        <f t="shared" si="2"/>
        <v>8.7279843444227012E-2</v>
      </c>
    </row>
    <row r="12" spans="1:15" x14ac:dyDescent="0.3">
      <c r="A12" s="53" t="s">
        <v>101</v>
      </c>
      <c r="B12" s="53">
        <v>82</v>
      </c>
      <c r="C12" s="53">
        <v>19802000</v>
      </c>
      <c r="D12" s="54">
        <v>1.683656824353027</v>
      </c>
      <c r="F12" s="53" t="s">
        <v>101</v>
      </c>
      <c r="G12" s="55">
        <v>82</v>
      </c>
      <c r="H12" s="55">
        <v>19802000</v>
      </c>
      <c r="I12" s="2">
        <f t="shared" si="0"/>
        <v>45734.705171223111</v>
      </c>
      <c r="J12" s="53">
        <v>300000</v>
      </c>
      <c r="K12" s="2">
        <f t="shared" si="1"/>
        <v>1127</v>
      </c>
      <c r="L12" s="2">
        <f t="shared" si="1"/>
        <v>426419000</v>
      </c>
      <c r="M12">
        <f>1-SUM(K12:$K$13)/$K$15</f>
        <v>0.99991855774328553</v>
      </c>
      <c r="N12">
        <f>SUM(L12:$L$13)/(J12*SUM(K12:$K$13))</f>
        <v>1.7010182275298555</v>
      </c>
      <c r="O12">
        <f t="shared" si="2"/>
        <v>0.1064773735581189</v>
      </c>
    </row>
    <row r="13" spans="1:15" x14ac:dyDescent="0.3">
      <c r="A13" s="53" t="s">
        <v>135</v>
      </c>
      <c r="B13" s="53">
        <v>43</v>
      </c>
      <c r="C13" s="53">
        <v>16503000</v>
      </c>
      <c r="D13" s="54">
        <v>1.5792456040938985</v>
      </c>
      <c r="F13" s="53" t="s">
        <v>135</v>
      </c>
      <c r="G13" s="55">
        <v>43</v>
      </c>
      <c r="H13" s="55">
        <v>16503000</v>
      </c>
      <c r="I13" s="2">
        <f t="shared" si="0"/>
        <v>76224.508618705193</v>
      </c>
      <c r="J13" s="53">
        <v>500000</v>
      </c>
      <c r="K13" s="2">
        <f t="shared" si="1"/>
        <v>464</v>
      </c>
      <c r="L13" s="2">
        <f>H14+H25+H36+H47+H58+H69+H80+H91+H102+H113+H124+H135</f>
        <v>385477000</v>
      </c>
      <c r="M13">
        <f>1-SUM(K13:$K$13)/$K$15</f>
        <v>0.99997624814134789</v>
      </c>
      <c r="N13">
        <f>SUM(L13:$L$13)/(J13*SUM(K13:$K$13))</f>
        <v>1.6615387931034482</v>
      </c>
      <c r="O13">
        <f t="shared" si="2"/>
        <v>0.125</v>
      </c>
    </row>
    <row r="14" spans="1:15" x14ac:dyDescent="0.3">
      <c r="A14" s="53" t="s">
        <v>136</v>
      </c>
      <c r="B14" s="53">
        <v>14</v>
      </c>
      <c r="C14" s="53">
        <v>10503000</v>
      </c>
      <c r="D14" s="54">
        <v>1.5004285714285714</v>
      </c>
      <c r="F14" s="53" t="s">
        <v>136</v>
      </c>
      <c r="G14" s="55">
        <v>14</v>
      </c>
      <c r="H14" s="55">
        <v>10503000</v>
      </c>
    </row>
    <row r="15" spans="1:15" x14ac:dyDescent="0.3">
      <c r="A15" s="51" t="s">
        <v>56</v>
      </c>
      <c r="B15" s="51" t="s">
        <v>89</v>
      </c>
      <c r="C15" s="51" t="s">
        <v>90</v>
      </c>
      <c r="D15" s="52" t="s">
        <v>59</v>
      </c>
      <c r="G15" s="2"/>
      <c r="H15" s="2"/>
      <c r="K15" s="5">
        <v>19535313.290464625</v>
      </c>
    </row>
    <row r="16" spans="1:15" x14ac:dyDescent="0.3">
      <c r="A16" s="53" t="s">
        <v>117</v>
      </c>
      <c r="B16" s="53">
        <v>157034</v>
      </c>
      <c r="C16" s="53">
        <v>1247821000</v>
      </c>
      <c r="D16" s="54">
        <v>1.9961289986241799</v>
      </c>
      <c r="F16" s="53" t="s">
        <v>117</v>
      </c>
      <c r="G16" s="55">
        <v>157034</v>
      </c>
      <c r="H16" s="55">
        <v>1247821000</v>
      </c>
      <c r="I16">
        <f>H16/G16</f>
        <v>7946.183629023014</v>
      </c>
    </row>
    <row r="17" spans="1:9" x14ac:dyDescent="0.3">
      <c r="A17" s="53" t="s">
        <v>133</v>
      </c>
      <c r="B17" s="53">
        <v>73643</v>
      </c>
      <c r="C17" s="53">
        <v>888113000</v>
      </c>
      <c r="D17" s="54">
        <v>1.9171639120995922</v>
      </c>
      <c r="F17" s="53" t="s">
        <v>133</v>
      </c>
      <c r="G17" s="55">
        <v>73643</v>
      </c>
      <c r="H17" s="55">
        <v>888113000</v>
      </c>
    </row>
    <row r="18" spans="1:9" x14ac:dyDescent="0.3">
      <c r="A18" s="53" t="s">
        <v>96</v>
      </c>
      <c r="B18" s="53">
        <v>24535</v>
      </c>
      <c r="C18" s="53">
        <v>420039000</v>
      </c>
      <c r="D18" s="54">
        <v>1.9227335704498818</v>
      </c>
      <c r="F18" s="53" t="s">
        <v>96</v>
      </c>
      <c r="G18" s="55">
        <v>24535</v>
      </c>
      <c r="H18" s="55">
        <v>420039000</v>
      </c>
    </row>
    <row r="19" spans="1:9" x14ac:dyDescent="0.3">
      <c r="A19" s="53" t="s">
        <v>134</v>
      </c>
      <c r="B19" s="53">
        <v>21102</v>
      </c>
      <c r="C19" s="53">
        <v>542774000</v>
      </c>
      <c r="D19" s="54">
        <v>1.9257381653074592</v>
      </c>
      <c r="F19" s="53" t="s">
        <v>134</v>
      </c>
      <c r="G19" s="55">
        <v>21102</v>
      </c>
      <c r="H19" s="55">
        <v>542774000</v>
      </c>
    </row>
    <row r="20" spans="1:9" x14ac:dyDescent="0.3">
      <c r="A20" s="53">
        <v>36010</v>
      </c>
      <c r="B20" s="53">
        <v>5767</v>
      </c>
      <c r="C20" s="53">
        <v>259668000</v>
      </c>
      <c r="D20" s="54">
        <v>1.9356925487034222</v>
      </c>
      <c r="F20" s="53">
        <v>36010</v>
      </c>
      <c r="G20" s="55">
        <v>5767</v>
      </c>
      <c r="H20" s="55">
        <v>259668000</v>
      </c>
    </row>
    <row r="21" spans="1:9" x14ac:dyDescent="0.3">
      <c r="A21" s="53" t="s">
        <v>98</v>
      </c>
      <c r="B21" s="53">
        <v>1887</v>
      </c>
      <c r="C21" s="53">
        <v>141342000</v>
      </c>
      <c r="D21" s="54">
        <v>1.977350753431933</v>
      </c>
      <c r="F21" s="53" t="s">
        <v>98</v>
      </c>
      <c r="G21" s="55">
        <v>1887</v>
      </c>
      <c r="H21" s="55">
        <v>141342000</v>
      </c>
    </row>
    <row r="22" spans="1:9" x14ac:dyDescent="0.3">
      <c r="A22" s="53" t="s">
        <v>99</v>
      </c>
      <c r="B22" s="53">
        <v>779</v>
      </c>
      <c r="C22" s="53">
        <v>102198000</v>
      </c>
      <c r="D22" s="54">
        <v>1.9959278581945727</v>
      </c>
      <c r="F22" s="53" t="s">
        <v>99</v>
      </c>
      <c r="G22" s="55">
        <v>779</v>
      </c>
      <c r="H22" s="55">
        <v>102198000</v>
      </c>
    </row>
    <row r="23" spans="1:9" x14ac:dyDescent="0.3">
      <c r="A23" s="53" t="s">
        <v>101</v>
      </c>
      <c r="B23" s="53">
        <v>130</v>
      </c>
      <c r="C23" s="53">
        <v>31853000</v>
      </c>
      <c r="D23" s="54">
        <v>2.1037744793258262</v>
      </c>
      <c r="F23" s="53" t="s">
        <v>101</v>
      </c>
      <c r="G23" s="55">
        <v>130</v>
      </c>
      <c r="H23" s="55">
        <v>31853000</v>
      </c>
    </row>
    <row r="24" spans="1:9" x14ac:dyDescent="0.3">
      <c r="A24" s="53" t="s">
        <v>135</v>
      </c>
      <c r="B24" s="53">
        <v>70</v>
      </c>
      <c r="C24" s="53">
        <v>26011000</v>
      </c>
      <c r="D24" s="54">
        <v>2.0886390874057952</v>
      </c>
      <c r="F24" s="53" t="s">
        <v>135</v>
      </c>
      <c r="G24" s="55">
        <v>70</v>
      </c>
      <c r="H24" s="55">
        <v>26011000</v>
      </c>
    </row>
    <row r="25" spans="1:9" x14ac:dyDescent="0.3">
      <c r="A25" s="53" t="s">
        <v>136</v>
      </c>
      <c r="B25" s="53">
        <v>41</v>
      </c>
      <c r="C25" s="53">
        <v>43543000</v>
      </c>
      <c r="D25" s="54">
        <v>2.1240487804878048</v>
      </c>
      <c r="F25" s="53" t="s">
        <v>136</v>
      </c>
      <c r="G25" s="55">
        <v>41</v>
      </c>
      <c r="H25" s="55">
        <v>43543000</v>
      </c>
    </row>
    <row r="26" spans="1:9" x14ac:dyDescent="0.3">
      <c r="A26" s="51" t="s">
        <v>56</v>
      </c>
      <c r="B26" s="51" t="s">
        <v>64</v>
      </c>
      <c r="C26" s="51" t="s">
        <v>65</v>
      </c>
      <c r="D26" s="52" t="s">
        <v>59</v>
      </c>
      <c r="G26" s="2"/>
      <c r="H26" s="2"/>
    </row>
    <row r="27" spans="1:9" x14ac:dyDescent="0.3">
      <c r="A27" s="53" t="s">
        <v>117</v>
      </c>
      <c r="B27" s="53">
        <v>852692</v>
      </c>
      <c r="C27" s="53">
        <v>683768500</v>
      </c>
      <c r="D27" s="54">
        <v>1.7150160672150758</v>
      </c>
      <c r="F27" s="53" t="s">
        <v>117</v>
      </c>
      <c r="G27" s="55">
        <v>852692</v>
      </c>
      <c r="H27" s="55">
        <v>6837685000</v>
      </c>
      <c r="I27">
        <f>H27/G27</f>
        <v>8018.9388430992667</v>
      </c>
    </row>
    <row r="28" spans="1:9" x14ac:dyDescent="0.3">
      <c r="A28" s="53" t="s">
        <v>133</v>
      </c>
      <c r="B28" s="53">
        <v>625727</v>
      </c>
      <c r="C28" s="53">
        <v>7598844000</v>
      </c>
      <c r="D28" s="54">
        <v>1.8815584047240208</v>
      </c>
      <c r="F28" s="53" t="s">
        <v>133</v>
      </c>
      <c r="G28" s="55">
        <v>625727</v>
      </c>
      <c r="H28" s="55">
        <v>7598844000</v>
      </c>
    </row>
    <row r="29" spans="1:9" x14ac:dyDescent="0.3">
      <c r="A29" s="53" t="s">
        <v>96</v>
      </c>
      <c r="B29" s="53">
        <v>251230</v>
      </c>
      <c r="C29" s="53">
        <v>4309273000</v>
      </c>
      <c r="D29" s="54">
        <v>1.7846329237197809</v>
      </c>
      <c r="F29" s="53" t="s">
        <v>96</v>
      </c>
      <c r="G29" s="55">
        <v>251230</v>
      </c>
      <c r="H29" s="55">
        <v>4309273000</v>
      </c>
    </row>
    <row r="30" spans="1:9" x14ac:dyDescent="0.3">
      <c r="A30" s="53" t="s">
        <v>134</v>
      </c>
      <c r="B30" s="53">
        <v>204031</v>
      </c>
      <c r="C30" s="53">
        <v>5209055000</v>
      </c>
      <c r="D30" s="54">
        <v>1.7783147603404286</v>
      </c>
      <c r="F30" s="53" t="s">
        <v>134</v>
      </c>
      <c r="G30" s="55">
        <v>204031</v>
      </c>
      <c r="H30" s="55">
        <v>5209055000</v>
      </c>
    </row>
    <row r="31" spans="1:9" x14ac:dyDescent="0.3">
      <c r="A31" s="53">
        <v>36010</v>
      </c>
      <c r="B31" s="53">
        <v>48455</v>
      </c>
      <c r="C31" s="53">
        <v>2173204000</v>
      </c>
      <c r="D31" s="54">
        <v>1.7889981986841037</v>
      </c>
      <c r="F31" s="53">
        <v>36010</v>
      </c>
      <c r="G31" s="55">
        <v>48455</v>
      </c>
      <c r="H31" s="55">
        <v>2173204000</v>
      </c>
    </row>
    <row r="32" spans="1:9" x14ac:dyDescent="0.3">
      <c r="A32" s="53" t="s">
        <v>98</v>
      </c>
      <c r="B32" s="53">
        <v>15647</v>
      </c>
      <c r="C32" s="53">
        <v>1168074000</v>
      </c>
      <c r="D32" s="54">
        <v>1.7704967198654389</v>
      </c>
      <c r="F32" s="53" t="s">
        <v>98</v>
      </c>
      <c r="G32" s="55">
        <v>15647</v>
      </c>
      <c r="H32" s="55">
        <v>1168074000</v>
      </c>
    </row>
    <row r="33" spans="1:9" x14ac:dyDescent="0.3">
      <c r="A33" s="53" t="s">
        <v>99</v>
      </c>
      <c r="B33" s="53">
        <v>5600</v>
      </c>
      <c r="C33" s="53">
        <v>739725000</v>
      </c>
      <c r="D33" s="54">
        <v>1.7658430542316481</v>
      </c>
      <c r="F33" s="53" t="s">
        <v>99</v>
      </c>
      <c r="G33" s="55">
        <v>5600</v>
      </c>
      <c r="H33" s="55">
        <v>739725000</v>
      </c>
    </row>
    <row r="34" spans="1:9" x14ac:dyDescent="0.3">
      <c r="A34" s="53" t="s">
        <v>101</v>
      </c>
      <c r="B34" s="53">
        <v>847</v>
      </c>
      <c r="C34" s="53">
        <v>203018000</v>
      </c>
      <c r="D34" s="54">
        <v>1.7562436524284508</v>
      </c>
      <c r="F34" s="53" t="s">
        <v>101</v>
      </c>
      <c r="G34" s="55">
        <v>847</v>
      </c>
      <c r="H34" s="55">
        <v>203018000</v>
      </c>
    </row>
    <row r="35" spans="1:9" x14ac:dyDescent="0.3">
      <c r="A35" s="53" t="s">
        <v>135</v>
      </c>
      <c r="B35" s="53">
        <v>392</v>
      </c>
      <c r="C35" s="53">
        <v>144703000</v>
      </c>
      <c r="D35" s="54">
        <v>1.7139601093756645</v>
      </c>
      <c r="F35" s="53" t="s">
        <v>135</v>
      </c>
      <c r="G35" s="55">
        <v>392</v>
      </c>
      <c r="H35" s="55">
        <v>144703000</v>
      </c>
    </row>
    <row r="36" spans="1:9" x14ac:dyDescent="0.3">
      <c r="A36" s="53" t="s">
        <v>136</v>
      </c>
      <c r="B36" s="53">
        <v>188</v>
      </c>
      <c r="C36" s="53">
        <v>153536000</v>
      </c>
      <c r="D36" s="54">
        <v>1.6333617021276594</v>
      </c>
      <c r="F36" s="53" t="s">
        <v>136</v>
      </c>
      <c r="G36" s="55">
        <v>188</v>
      </c>
      <c r="H36" s="55">
        <v>153536000</v>
      </c>
    </row>
    <row r="37" spans="1:9" x14ac:dyDescent="0.3">
      <c r="A37" s="51" t="s">
        <v>56</v>
      </c>
      <c r="B37" s="51" t="s">
        <v>66</v>
      </c>
      <c r="C37" s="51" t="s">
        <v>67</v>
      </c>
      <c r="D37" s="52" t="s">
        <v>59</v>
      </c>
      <c r="G37" s="2"/>
      <c r="H37" s="2"/>
    </row>
    <row r="38" spans="1:9" x14ac:dyDescent="0.3">
      <c r="A38" s="53" t="s">
        <v>117</v>
      </c>
      <c r="B38" s="53">
        <v>31764</v>
      </c>
      <c r="C38" s="53">
        <v>252346000</v>
      </c>
      <c r="D38" s="54">
        <v>1.7058556448931583</v>
      </c>
      <c r="F38" s="53" t="s">
        <v>117</v>
      </c>
      <c r="G38" s="55">
        <v>31764</v>
      </c>
      <c r="H38" s="55">
        <v>252346000</v>
      </c>
      <c r="I38">
        <f>H38/G38</f>
        <v>7944.4024682029967</v>
      </c>
    </row>
    <row r="39" spans="1:9" x14ac:dyDescent="0.3">
      <c r="A39" s="53" t="s">
        <v>133</v>
      </c>
      <c r="B39" s="53">
        <v>11167</v>
      </c>
      <c r="C39" s="53">
        <v>133154000</v>
      </c>
      <c r="D39" s="54">
        <v>1.6919136154819741</v>
      </c>
      <c r="F39" s="53" t="s">
        <v>133</v>
      </c>
      <c r="G39" s="55">
        <v>11167</v>
      </c>
      <c r="H39" s="55">
        <v>133154000</v>
      </c>
    </row>
    <row r="40" spans="1:9" x14ac:dyDescent="0.3">
      <c r="A40" s="53" t="s">
        <v>96</v>
      </c>
      <c r="B40" s="53">
        <v>3077</v>
      </c>
      <c r="C40" s="53">
        <v>52738000</v>
      </c>
      <c r="D40" s="54">
        <v>1.744564935556101</v>
      </c>
      <c r="F40" s="53" t="s">
        <v>96</v>
      </c>
      <c r="G40" s="55">
        <v>3077</v>
      </c>
      <c r="H40" s="55">
        <v>52738000</v>
      </c>
    </row>
    <row r="41" spans="1:9" x14ac:dyDescent="0.3">
      <c r="A41" s="53" t="s">
        <v>134</v>
      </c>
      <c r="B41" s="53">
        <v>2241</v>
      </c>
      <c r="C41" s="53">
        <v>57020000</v>
      </c>
      <c r="D41" s="54">
        <v>1.7763982837095238</v>
      </c>
      <c r="F41" s="53" t="s">
        <v>134</v>
      </c>
      <c r="G41" s="55">
        <v>2241</v>
      </c>
      <c r="H41" s="55">
        <v>57020000</v>
      </c>
    </row>
    <row r="42" spans="1:9" x14ac:dyDescent="0.3">
      <c r="A42" s="53">
        <v>36010</v>
      </c>
      <c r="B42" s="53">
        <v>503</v>
      </c>
      <c r="C42" s="53">
        <v>22539000</v>
      </c>
      <c r="D42" s="54">
        <v>1.8447581447172665</v>
      </c>
      <c r="F42" s="53">
        <v>36010</v>
      </c>
      <c r="G42" s="55">
        <v>503</v>
      </c>
      <c r="H42" s="55">
        <v>22539000</v>
      </c>
    </row>
    <row r="43" spans="1:9" x14ac:dyDescent="0.3">
      <c r="A43" s="53" t="s">
        <v>98</v>
      </c>
      <c r="B43" s="53">
        <v>157</v>
      </c>
      <c r="C43" s="53">
        <v>11753000</v>
      </c>
      <c r="D43" s="54">
        <v>1.8949015743752853</v>
      </c>
      <c r="F43" s="53" t="s">
        <v>98</v>
      </c>
      <c r="G43" s="55">
        <v>157</v>
      </c>
      <c r="H43" s="55">
        <v>11753000</v>
      </c>
    </row>
    <row r="44" spans="1:9" x14ac:dyDescent="0.3">
      <c r="A44" s="53" t="s">
        <v>99</v>
      </c>
      <c r="B44" s="53">
        <v>52</v>
      </c>
      <c r="C44" s="53">
        <v>6441000</v>
      </c>
      <c r="D44" s="54">
        <v>1.9725424717802194</v>
      </c>
      <c r="F44" s="53" t="s">
        <v>99</v>
      </c>
      <c r="G44" s="55">
        <v>52</v>
      </c>
      <c r="H44" s="55">
        <v>6441000</v>
      </c>
    </row>
    <row r="45" spans="1:9" x14ac:dyDescent="0.3">
      <c r="A45" s="53" t="s">
        <v>101</v>
      </c>
      <c r="B45" s="53">
        <v>11</v>
      </c>
      <c r="C45" s="53">
        <v>2718000</v>
      </c>
      <c r="D45" s="54">
        <v>1.8951433380711917</v>
      </c>
      <c r="F45" s="53" t="s">
        <v>101</v>
      </c>
      <c r="G45" s="55">
        <v>11</v>
      </c>
      <c r="H45" s="55">
        <v>2718000</v>
      </c>
    </row>
    <row r="46" spans="1:9" x14ac:dyDescent="0.3">
      <c r="A46" s="53" t="s">
        <v>135</v>
      </c>
      <c r="B46" s="53">
        <v>7</v>
      </c>
      <c r="C46" s="53">
        <v>2522000</v>
      </c>
      <c r="D46" s="54">
        <v>1.7472750908303056</v>
      </c>
      <c r="F46" s="53" t="s">
        <v>135</v>
      </c>
      <c r="G46" s="55">
        <v>7</v>
      </c>
      <c r="H46" s="55">
        <v>2522000</v>
      </c>
    </row>
    <row r="47" spans="1:9" x14ac:dyDescent="0.3">
      <c r="A47" s="53" t="s">
        <v>136</v>
      </c>
      <c r="B47" s="53">
        <v>3</v>
      </c>
      <c r="C47" s="53">
        <v>2720000</v>
      </c>
      <c r="D47" s="54">
        <v>1.8133333333333332</v>
      </c>
      <c r="F47" s="53" t="s">
        <v>136</v>
      </c>
      <c r="G47" s="55">
        <v>3</v>
      </c>
      <c r="H47" s="55">
        <v>2720000</v>
      </c>
    </row>
    <row r="48" spans="1:9" x14ac:dyDescent="0.3">
      <c r="A48" s="51" t="s">
        <v>56</v>
      </c>
      <c r="B48" s="51" t="s">
        <v>68</v>
      </c>
      <c r="C48" s="51" t="s">
        <v>69</v>
      </c>
      <c r="D48" s="52" t="s">
        <v>59</v>
      </c>
      <c r="G48" s="2"/>
      <c r="H48" s="2"/>
    </row>
    <row r="49" spans="1:9" x14ac:dyDescent="0.3">
      <c r="A49" s="51"/>
      <c r="B49" s="51"/>
      <c r="C49" s="51"/>
      <c r="D49" s="52"/>
      <c r="F49" s="53" t="s">
        <v>117</v>
      </c>
      <c r="G49" s="2">
        <v>666681.79857349931</v>
      </c>
      <c r="H49" s="2">
        <v>5346080570.5683098</v>
      </c>
      <c r="I49">
        <f>H49/G49</f>
        <v>8018.9388430992594</v>
      </c>
    </row>
    <row r="50" spans="1:9" x14ac:dyDescent="0.3">
      <c r="A50" s="53" t="s">
        <v>133</v>
      </c>
      <c r="B50" s="53">
        <v>489228</v>
      </c>
      <c r="C50" s="53">
        <v>5961450000</v>
      </c>
      <c r="D50" s="54">
        <v>1.8147373584167008</v>
      </c>
      <c r="F50" s="53" t="s">
        <v>133</v>
      </c>
      <c r="G50" s="55">
        <v>489228</v>
      </c>
      <c r="H50" s="55">
        <v>5961450000</v>
      </c>
    </row>
    <row r="51" spans="1:9" x14ac:dyDescent="0.3">
      <c r="A51" s="53" t="s">
        <v>96</v>
      </c>
      <c r="B51" s="53">
        <v>206088</v>
      </c>
      <c r="C51" s="53">
        <v>3529821000</v>
      </c>
      <c r="D51" s="54">
        <v>1.6847010889348735</v>
      </c>
      <c r="F51" s="53" t="s">
        <v>96</v>
      </c>
      <c r="G51" s="55">
        <v>206088</v>
      </c>
      <c r="H51" s="55">
        <v>3529821000</v>
      </c>
    </row>
    <row r="52" spans="1:9" x14ac:dyDescent="0.3">
      <c r="A52" s="53" t="s">
        <v>134</v>
      </c>
      <c r="B52" s="53">
        <v>157541</v>
      </c>
      <c r="C52" s="53">
        <v>3997361000</v>
      </c>
      <c r="D52" s="54">
        <v>1.6742606914403275</v>
      </c>
      <c r="F52" s="53" t="s">
        <v>134</v>
      </c>
      <c r="G52" s="55">
        <v>157541</v>
      </c>
      <c r="H52" s="55">
        <v>3997361000</v>
      </c>
    </row>
    <row r="53" spans="1:9" x14ac:dyDescent="0.3">
      <c r="A53" s="53">
        <v>36010</v>
      </c>
      <c r="B53" s="53">
        <v>33459</v>
      </c>
      <c r="C53" s="53">
        <v>1493434000</v>
      </c>
      <c r="D53" s="54">
        <v>1.6842848709294909</v>
      </c>
      <c r="F53" s="53">
        <v>36010</v>
      </c>
      <c r="G53" s="55">
        <v>33459</v>
      </c>
      <c r="H53" s="55">
        <v>1493434000</v>
      </c>
    </row>
    <row r="54" spans="1:9" x14ac:dyDescent="0.3">
      <c r="A54" s="53" t="s">
        <v>98</v>
      </c>
      <c r="B54" s="53">
        <v>9840</v>
      </c>
      <c r="C54" s="53">
        <v>732369000</v>
      </c>
      <c r="D54" s="54">
        <v>1.6620822636497632</v>
      </c>
      <c r="F54" s="53" t="s">
        <v>98</v>
      </c>
      <c r="G54" s="55">
        <v>9840</v>
      </c>
      <c r="H54" s="55">
        <v>732369000</v>
      </c>
    </row>
    <row r="55" spans="1:9" x14ac:dyDescent="0.3">
      <c r="A55" s="53" t="s">
        <v>99</v>
      </c>
      <c r="B55" s="53">
        <v>3212</v>
      </c>
      <c r="C55" s="53">
        <v>418827000</v>
      </c>
      <c r="D55" s="54">
        <v>1.6410558478915611</v>
      </c>
      <c r="F55" s="53" t="s">
        <v>99</v>
      </c>
      <c r="G55" s="55">
        <v>3212</v>
      </c>
      <c r="H55" s="55">
        <v>418827000</v>
      </c>
    </row>
    <row r="56" spans="1:9" x14ac:dyDescent="0.3">
      <c r="A56" s="53" t="s">
        <v>101</v>
      </c>
      <c r="B56" s="53">
        <v>443</v>
      </c>
      <c r="C56" s="53">
        <v>105541000</v>
      </c>
      <c r="D56" s="54">
        <v>1.6449786338689154</v>
      </c>
      <c r="F56" s="53" t="s">
        <v>101</v>
      </c>
      <c r="G56" s="55">
        <v>443</v>
      </c>
      <c r="H56" s="55">
        <v>105541000</v>
      </c>
    </row>
    <row r="57" spans="1:9" x14ac:dyDescent="0.3">
      <c r="A57" s="53" t="s">
        <v>135</v>
      </c>
      <c r="B57" s="53">
        <v>151</v>
      </c>
      <c r="C57" s="53">
        <v>57155000</v>
      </c>
      <c r="D57" s="54">
        <v>1.7229955263173471</v>
      </c>
      <c r="F57" s="53" t="s">
        <v>135</v>
      </c>
      <c r="G57" s="55">
        <v>151</v>
      </c>
      <c r="H57" s="55">
        <v>57155000</v>
      </c>
    </row>
    <row r="58" spans="1:9" x14ac:dyDescent="0.3">
      <c r="A58" s="53" t="s">
        <v>136</v>
      </c>
      <c r="B58" s="53">
        <v>63</v>
      </c>
      <c r="C58" s="53">
        <v>53465000</v>
      </c>
      <c r="D58" s="54">
        <v>1.6973015873015873</v>
      </c>
      <c r="F58" s="53" t="s">
        <v>136</v>
      </c>
      <c r="G58" s="55">
        <v>63</v>
      </c>
      <c r="H58" s="55">
        <v>53465000</v>
      </c>
    </row>
    <row r="59" spans="1:9" x14ac:dyDescent="0.3">
      <c r="A59" s="51" t="s">
        <v>56</v>
      </c>
      <c r="B59" s="51" t="s">
        <v>70</v>
      </c>
      <c r="C59" s="51" t="s">
        <v>71</v>
      </c>
      <c r="D59" s="52" t="s">
        <v>59</v>
      </c>
      <c r="G59" s="2"/>
      <c r="H59" s="2"/>
    </row>
    <row r="60" spans="1:9" x14ac:dyDescent="0.3">
      <c r="A60" s="53" t="s">
        <v>144</v>
      </c>
      <c r="B60" s="53"/>
      <c r="C60" s="53"/>
      <c r="D60" s="54"/>
      <c r="F60" s="53" t="s">
        <v>117</v>
      </c>
      <c r="G60" s="2">
        <v>458765.83968407946</v>
      </c>
      <c r="H60" s="2">
        <v>3678815211.7297201</v>
      </c>
      <c r="I60">
        <f>H60/G60</f>
        <v>8018.9388430992758</v>
      </c>
    </row>
    <row r="61" spans="1:9" x14ac:dyDescent="0.3">
      <c r="A61" s="53" t="s">
        <v>133</v>
      </c>
      <c r="B61" s="53">
        <v>336654</v>
      </c>
      <c r="C61" s="53">
        <v>4094196000</v>
      </c>
      <c r="D61" s="54">
        <v>1.9723236851260655</v>
      </c>
      <c r="F61" s="53" t="s">
        <v>133</v>
      </c>
      <c r="G61" s="55">
        <v>336654</v>
      </c>
      <c r="H61" s="55">
        <v>4094196000</v>
      </c>
    </row>
    <row r="62" spans="1:9" x14ac:dyDescent="0.3">
      <c r="A62" s="53" t="s">
        <v>96</v>
      </c>
      <c r="B62" s="53">
        <v>145633</v>
      </c>
      <c r="C62" s="53">
        <v>2503604000</v>
      </c>
      <c r="D62" s="54">
        <v>1.8267366811274526</v>
      </c>
      <c r="F62" s="53" t="s">
        <v>96</v>
      </c>
      <c r="G62" s="55">
        <v>145633</v>
      </c>
      <c r="H62" s="55">
        <v>2503604000</v>
      </c>
    </row>
    <row r="63" spans="1:9" x14ac:dyDescent="0.3">
      <c r="A63" s="53" t="s">
        <v>134</v>
      </c>
      <c r="B63" s="53">
        <v>135956</v>
      </c>
      <c r="C63" s="53">
        <v>3496866000</v>
      </c>
      <c r="D63" s="54">
        <v>1.7686520163193336</v>
      </c>
      <c r="F63" s="53" t="s">
        <v>134</v>
      </c>
      <c r="G63" s="55">
        <v>135956</v>
      </c>
      <c r="H63" s="55">
        <v>3496866000</v>
      </c>
    </row>
    <row r="64" spans="1:9" x14ac:dyDescent="0.3">
      <c r="A64" s="53">
        <v>36010</v>
      </c>
      <c r="B64" s="53">
        <v>35459</v>
      </c>
      <c r="C64" s="53">
        <v>1589857000</v>
      </c>
      <c r="D64" s="54">
        <v>1.7000018536651287</v>
      </c>
      <c r="F64" s="53">
        <v>36010</v>
      </c>
      <c r="G64" s="55">
        <v>35459</v>
      </c>
      <c r="H64" s="55">
        <v>1589857000</v>
      </c>
    </row>
    <row r="65" spans="1:9" x14ac:dyDescent="0.3">
      <c r="A65" s="53" t="s">
        <v>98</v>
      </c>
      <c r="B65" s="53">
        <v>11212</v>
      </c>
      <c r="C65" s="53">
        <v>835918000</v>
      </c>
      <c r="D65" s="54">
        <v>1.6467109390833601</v>
      </c>
      <c r="F65" s="53" t="s">
        <v>98</v>
      </c>
      <c r="G65" s="55">
        <v>11212</v>
      </c>
      <c r="H65" s="55">
        <v>835918000</v>
      </c>
    </row>
    <row r="66" spans="1:9" x14ac:dyDescent="0.3">
      <c r="A66" s="53" t="s">
        <v>99</v>
      </c>
      <c r="B66" s="53">
        <v>3547</v>
      </c>
      <c r="C66" s="53">
        <v>459986000</v>
      </c>
      <c r="D66" s="54">
        <v>1.6303942214987475</v>
      </c>
      <c r="F66" s="53" t="s">
        <v>99</v>
      </c>
      <c r="G66" s="55">
        <v>3547</v>
      </c>
      <c r="H66" s="55">
        <v>459986000</v>
      </c>
    </row>
    <row r="67" spans="1:9" x14ac:dyDescent="0.3">
      <c r="A67" s="53" t="s">
        <v>101</v>
      </c>
      <c r="B67" s="53">
        <v>432</v>
      </c>
      <c r="C67" s="53">
        <v>103391000</v>
      </c>
      <c r="D67" s="54">
        <v>1.6754612850752812</v>
      </c>
      <c r="F67" s="53" t="s">
        <v>101</v>
      </c>
      <c r="G67" s="55">
        <v>432</v>
      </c>
      <c r="H67" s="55">
        <v>103391000</v>
      </c>
    </row>
    <row r="68" spans="1:9" x14ac:dyDescent="0.3">
      <c r="A68" s="53" t="s">
        <v>135</v>
      </c>
      <c r="B68" s="53">
        <v>187</v>
      </c>
      <c r="C68" s="53">
        <v>70992000</v>
      </c>
      <c r="D68" s="54">
        <v>1.6557260591313623</v>
      </c>
      <c r="F68" s="53" t="s">
        <v>135</v>
      </c>
      <c r="G68" s="55">
        <v>187</v>
      </c>
      <c r="H68" s="55">
        <v>70992000</v>
      </c>
    </row>
    <row r="69" spans="1:9" x14ac:dyDescent="0.3">
      <c r="A69" s="53" t="s">
        <v>136</v>
      </c>
      <c r="B69" s="53">
        <v>69</v>
      </c>
      <c r="C69" s="53">
        <v>56172000</v>
      </c>
      <c r="D69" s="54">
        <v>1.6281739130434782</v>
      </c>
      <c r="F69" s="53" t="s">
        <v>136</v>
      </c>
      <c r="G69" s="55">
        <v>69</v>
      </c>
      <c r="H69" s="55">
        <v>56172000</v>
      </c>
    </row>
    <row r="70" spans="1:9" x14ac:dyDescent="0.3">
      <c r="A70" s="51" t="s">
        <v>56</v>
      </c>
      <c r="B70" s="51" t="s">
        <v>72</v>
      </c>
      <c r="C70" s="51" t="s">
        <v>73</v>
      </c>
      <c r="D70" s="52" t="s">
        <v>59</v>
      </c>
      <c r="G70" s="2"/>
      <c r="H70" s="2"/>
    </row>
    <row r="71" spans="1:9" x14ac:dyDescent="0.3">
      <c r="A71" s="53" t="s">
        <v>145</v>
      </c>
      <c r="B71" s="53"/>
      <c r="C71" s="53"/>
      <c r="D71" s="54"/>
      <c r="F71" s="53" t="s">
        <v>117</v>
      </c>
      <c r="G71" s="2">
        <v>165927.76610886218</v>
      </c>
      <c r="H71" s="2">
        <v>1330564608.7990501</v>
      </c>
      <c r="I71">
        <f>H71/G71</f>
        <v>8018.9388430992976</v>
      </c>
    </row>
    <row r="72" spans="1:9" x14ac:dyDescent="0.3">
      <c r="A72" s="53" t="s">
        <v>133</v>
      </c>
      <c r="B72" s="53">
        <v>121762</v>
      </c>
      <c r="C72" s="53">
        <v>1532893000</v>
      </c>
      <c r="D72" s="54">
        <v>2.2251314002436247</v>
      </c>
      <c r="F72" s="53" t="s">
        <v>133</v>
      </c>
      <c r="G72" s="55">
        <v>121762</v>
      </c>
      <c r="H72" s="55">
        <v>1532893000</v>
      </c>
    </row>
    <row r="73" spans="1:9" x14ac:dyDescent="0.3">
      <c r="A73" s="53" t="s">
        <v>96</v>
      </c>
      <c r="B73" s="53">
        <v>63406</v>
      </c>
      <c r="C73" s="53">
        <v>1091274000</v>
      </c>
      <c r="D73" s="54">
        <v>1.9720726372520496</v>
      </c>
      <c r="F73" s="53" t="s">
        <v>96</v>
      </c>
      <c r="G73" s="55">
        <v>63406</v>
      </c>
      <c r="H73" s="55">
        <v>1091274000</v>
      </c>
    </row>
    <row r="74" spans="1:9" x14ac:dyDescent="0.3">
      <c r="A74" s="53" t="s">
        <v>134</v>
      </c>
      <c r="B74" s="53">
        <v>66817</v>
      </c>
      <c r="C74" s="53">
        <v>1733743000</v>
      </c>
      <c r="D74" s="54">
        <v>1.8818655271185223</v>
      </c>
      <c r="F74" s="53" t="s">
        <v>134</v>
      </c>
      <c r="G74" s="55">
        <v>66817</v>
      </c>
      <c r="H74" s="55">
        <v>1733743000</v>
      </c>
    </row>
    <row r="75" spans="1:9" x14ac:dyDescent="0.3">
      <c r="A75" s="53">
        <v>36010</v>
      </c>
      <c r="B75" s="53">
        <v>20650</v>
      </c>
      <c r="C75" s="53">
        <v>930516000</v>
      </c>
      <c r="D75" s="54">
        <v>1.7531919205138804</v>
      </c>
      <c r="F75" s="53">
        <v>36010</v>
      </c>
      <c r="G75" s="55">
        <v>20650</v>
      </c>
      <c r="H75" s="55">
        <v>930516000</v>
      </c>
    </row>
    <row r="76" spans="1:9" x14ac:dyDescent="0.3">
      <c r="A76" s="53" t="s">
        <v>98</v>
      </c>
      <c r="B76" s="53">
        <v>7181</v>
      </c>
      <c r="C76" s="53">
        <v>535231000</v>
      </c>
      <c r="D76" s="54">
        <v>1.6702906511670736</v>
      </c>
      <c r="F76" s="53" t="s">
        <v>98</v>
      </c>
      <c r="G76" s="55">
        <v>7181</v>
      </c>
      <c r="H76" s="55">
        <v>535231000</v>
      </c>
    </row>
    <row r="77" spans="1:9" x14ac:dyDescent="0.3">
      <c r="A77" s="53" t="s">
        <v>99</v>
      </c>
      <c r="B77" s="53">
        <v>2389</v>
      </c>
      <c r="C77" s="53">
        <v>312546000</v>
      </c>
      <c r="D77" s="54">
        <v>1.6436451592935943</v>
      </c>
      <c r="F77" s="53" t="s">
        <v>99</v>
      </c>
      <c r="G77" s="55">
        <v>2389</v>
      </c>
      <c r="H77" s="55">
        <v>312546000</v>
      </c>
    </row>
    <row r="78" spans="1:9" x14ac:dyDescent="0.3">
      <c r="A78" s="53" t="s">
        <v>101</v>
      </c>
      <c r="B78" s="53">
        <v>309</v>
      </c>
      <c r="C78" s="53">
        <v>73924000</v>
      </c>
      <c r="D78" s="54">
        <v>1.643135056361936</v>
      </c>
      <c r="F78" s="53" t="s">
        <v>101</v>
      </c>
      <c r="G78" s="55">
        <v>309</v>
      </c>
      <c r="H78" s="55">
        <v>73924000</v>
      </c>
    </row>
    <row r="79" spans="1:9" x14ac:dyDescent="0.3">
      <c r="A79" s="53" t="s">
        <v>135</v>
      </c>
      <c r="B79" s="53">
        <v>130</v>
      </c>
      <c r="C79" s="53">
        <v>47215000</v>
      </c>
      <c r="D79" s="54">
        <v>1.6098904710625102</v>
      </c>
      <c r="F79" s="53" t="s">
        <v>135</v>
      </c>
      <c r="G79" s="55">
        <v>130</v>
      </c>
      <c r="H79" s="55">
        <v>47215000</v>
      </c>
    </row>
    <row r="80" spans="1:9" x14ac:dyDescent="0.3">
      <c r="A80" s="53" t="s">
        <v>136</v>
      </c>
      <c r="B80" s="53">
        <v>49</v>
      </c>
      <c r="C80" s="53">
        <v>39239000</v>
      </c>
      <c r="D80" s="54">
        <v>1.601591836734694</v>
      </c>
      <c r="F80" s="53" t="s">
        <v>136</v>
      </c>
      <c r="G80" s="55">
        <v>49</v>
      </c>
      <c r="H80" s="55">
        <v>39239000</v>
      </c>
    </row>
    <row r="81" spans="1:9" x14ac:dyDescent="0.3">
      <c r="A81" s="51" t="s">
        <v>56</v>
      </c>
      <c r="B81" s="51" t="s">
        <v>74</v>
      </c>
      <c r="C81" s="51" t="s">
        <v>75</v>
      </c>
      <c r="D81" s="52" t="s">
        <v>59</v>
      </c>
      <c r="G81" s="2"/>
      <c r="H81" s="2"/>
    </row>
    <row r="82" spans="1:9" x14ac:dyDescent="0.3">
      <c r="A82" s="53" t="s">
        <v>146</v>
      </c>
      <c r="B82" s="53"/>
      <c r="C82" s="53"/>
      <c r="D82" s="54"/>
      <c r="F82" s="53" t="s">
        <v>117</v>
      </c>
      <c r="G82" s="2">
        <v>64985.714534608313</v>
      </c>
      <c r="H82" s="2">
        <v>521116470.52813101</v>
      </c>
      <c r="I82">
        <f t="shared" ref="I82:I83" si="3">H82/G82</f>
        <v>8018.938843099264</v>
      </c>
    </row>
    <row r="83" spans="1:9" x14ac:dyDescent="0.3">
      <c r="A83" s="53" t="s">
        <v>133</v>
      </c>
      <c r="B83" s="53"/>
      <c r="C83" s="53"/>
      <c r="D83" s="54"/>
      <c r="F83" s="53" t="s">
        <v>133</v>
      </c>
      <c r="G83" s="2">
        <v>47688.164306217077</v>
      </c>
      <c r="H83" s="2">
        <v>600358512.90098727</v>
      </c>
      <c r="I83">
        <f t="shared" si="3"/>
        <v>12589.256089748855</v>
      </c>
    </row>
    <row r="84" spans="1:9" x14ac:dyDescent="0.3">
      <c r="A84" s="53" t="s">
        <v>96</v>
      </c>
      <c r="B84" s="53">
        <v>24833</v>
      </c>
      <c r="C84" s="53">
        <v>426884000</v>
      </c>
      <c r="D84" s="54">
        <v>2.0859332231493686</v>
      </c>
      <c r="F84" s="53" t="s">
        <v>96</v>
      </c>
      <c r="G84" s="55">
        <v>24833</v>
      </c>
      <c r="H84" s="55">
        <v>426884000</v>
      </c>
    </row>
    <row r="85" spans="1:9" x14ac:dyDescent="0.3">
      <c r="A85" s="53" t="s">
        <v>134</v>
      </c>
      <c r="B85" s="53">
        <v>27255</v>
      </c>
      <c r="C85" s="53">
        <v>712680000</v>
      </c>
      <c r="D85" s="54">
        <v>1.9820422264813102</v>
      </c>
      <c r="F85" s="53" t="s">
        <v>134</v>
      </c>
      <c r="G85" s="55">
        <v>27255</v>
      </c>
      <c r="H85" s="55">
        <v>712680000</v>
      </c>
    </row>
    <row r="86" spans="1:9" x14ac:dyDescent="0.3">
      <c r="A86" s="53">
        <v>36010</v>
      </c>
      <c r="B86" s="53">
        <v>9632</v>
      </c>
      <c r="C86" s="53">
        <v>435723000</v>
      </c>
      <c r="D86" s="54">
        <v>1.7955298094850725</v>
      </c>
      <c r="F86" s="53">
        <v>36010</v>
      </c>
      <c r="G86" s="55">
        <v>9632</v>
      </c>
      <c r="H86" s="55">
        <v>435723000</v>
      </c>
    </row>
    <row r="87" spans="1:9" x14ac:dyDescent="0.3">
      <c r="A87" s="53" t="s">
        <v>98</v>
      </c>
      <c r="B87" s="53">
        <v>3599</v>
      </c>
      <c r="C87" s="53">
        <v>269837000</v>
      </c>
      <c r="D87" s="54">
        <v>1.6885018281439796</v>
      </c>
      <c r="F87" s="53" t="s">
        <v>98</v>
      </c>
      <c r="G87" s="55">
        <v>3599</v>
      </c>
      <c r="H87" s="55">
        <v>269837000</v>
      </c>
    </row>
    <row r="88" spans="1:9" x14ac:dyDescent="0.3">
      <c r="A88" s="53" t="s">
        <v>99</v>
      </c>
      <c r="B88" s="53">
        <v>1232</v>
      </c>
      <c r="C88" s="53">
        <v>161370000</v>
      </c>
      <c r="D88" s="54">
        <v>1.6445226316249866</v>
      </c>
      <c r="F88" s="53" t="s">
        <v>99</v>
      </c>
      <c r="G88" s="55">
        <v>1232</v>
      </c>
      <c r="H88" s="55">
        <v>161370000</v>
      </c>
    </row>
    <row r="89" spans="1:9" x14ac:dyDescent="0.3">
      <c r="A89" s="53" t="s">
        <v>101</v>
      </c>
      <c r="B89" s="53">
        <v>169</v>
      </c>
      <c r="C89" s="53">
        <v>40769000</v>
      </c>
      <c r="D89" s="54">
        <v>1.5862540206323019</v>
      </c>
      <c r="F89" s="53" t="s">
        <v>101</v>
      </c>
      <c r="G89" s="55">
        <v>169</v>
      </c>
      <c r="H89" s="55">
        <v>40769000</v>
      </c>
    </row>
    <row r="90" spans="1:9" x14ac:dyDescent="0.3">
      <c r="A90" s="53" t="s">
        <v>135</v>
      </c>
      <c r="B90" s="53">
        <v>80</v>
      </c>
      <c r="C90" s="53">
        <v>29610000</v>
      </c>
      <c r="D90" s="54">
        <v>1.4815677761236341</v>
      </c>
      <c r="F90" s="53" t="s">
        <v>135</v>
      </c>
      <c r="G90" s="55">
        <v>80</v>
      </c>
      <c r="H90" s="55">
        <v>29610000</v>
      </c>
    </row>
    <row r="91" spans="1:9" x14ac:dyDescent="0.3">
      <c r="A91" s="53" t="s">
        <v>136</v>
      </c>
      <c r="B91" s="53">
        <v>21</v>
      </c>
      <c r="C91" s="53">
        <v>15283000</v>
      </c>
      <c r="D91" s="54">
        <v>1.4555238095238094</v>
      </c>
      <c r="F91" s="53" t="s">
        <v>136</v>
      </c>
      <c r="G91" s="55">
        <v>21</v>
      </c>
      <c r="H91" s="55">
        <v>15283000</v>
      </c>
    </row>
    <row r="92" spans="1:9" x14ac:dyDescent="0.3">
      <c r="A92" s="51" t="s">
        <v>56</v>
      </c>
      <c r="B92" s="51" t="s">
        <v>76</v>
      </c>
      <c r="C92" s="51" t="s">
        <v>77</v>
      </c>
      <c r="D92" s="52" t="s">
        <v>59</v>
      </c>
      <c r="G92" s="2"/>
      <c r="H92" s="2"/>
    </row>
    <row r="93" spans="1:9" x14ac:dyDescent="0.3">
      <c r="A93" s="53" t="s">
        <v>117</v>
      </c>
      <c r="B93" s="53"/>
      <c r="C93" s="53"/>
      <c r="D93" s="54"/>
      <c r="F93" s="53" t="s">
        <v>117</v>
      </c>
      <c r="G93" s="2">
        <v>26080.120446659948</v>
      </c>
      <c r="H93" s="2">
        <v>209134890.882429</v>
      </c>
      <c r="I93">
        <f t="shared" ref="I93:I94" si="4">H93/G93</f>
        <v>8018.9388430992722</v>
      </c>
    </row>
    <row r="94" spans="1:9" x14ac:dyDescent="0.3">
      <c r="A94" s="53" t="s">
        <v>147</v>
      </c>
      <c r="B94" s="53"/>
      <c r="C94" s="53"/>
      <c r="D94" s="54"/>
      <c r="F94" s="53" t="s">
        <v>133</v>
      </c>
      <c r="G94" s="2">
        <v>19138.253351417847</v>
      </c>
      <c r="H94" s="2">
        <v>240936372.55149356</v>
      </c>
      <c r="I94">
        <f t="shared" si="4"/>
        <v>12589.256089748855</v>
      </c>
    </row>
    <row r="95" spans="1:9" x14ac:dyDescent="0.3">
      <c r="A95" s="53" t="s">
        <v>96</v>
      </c>
      <c r="B95" s="53">
        <v>9966</v>
      </c>
      <c r="C95" s="53">
        <v>171011000</v>
      </c>
      <c r="D95" s="54">
        <v>2.1429292618189861</v>
      </c>
      <c r="F95" s="53" t="s">
        <v>96</v>
      </c>
      <c r="G95" s="55">
        <v>9966</v>
      </c>
      <c r="H95" s="55">
        <v>171011000</v>
      </c>
    </row>
    <row r="96" spans="1:9" x14ac:dyDescent="0.3">
      <c r="A96" s="53" t="s">
        <v>134</v>
      </c>
      <c r="B96" s="53">
        <v>10718</v>
      </c>
      <c r="C96" s="53">
        <v>281042000</v>
      </c>
      <c r="D96" s="54">
        <v>2.0408240736410179</v>
      </c>
      <c r="F96" s="53" t="s">
        <v>134</v>
      </c>
      <c r="G96" s="55">
        <v>10718</v>
      </c>
      <c r="H96" s="55">
        <v>281042000</v>
      </c>
    </row>
    <row r="97" spans="1:9" x14ac:dyDescent="0.3">
      <c r="A97" s="53">
        <v>36010</v>
      </c>
      <c r="B97" s="53">
        <v>4195</v>
      </c>
      <c r="C97" s="53">
        <v>190771000</v>
      </c>
      <c r="D97" s="54">
        <v>1.800421553653397</v>
      </c>
      <c r="F97" s="53">
        <v>36010</v>
      </c>
      <c r="G97" s="55">
        <v>4195</v>
      </c>
      <c r="H97" s="55">
        <v>190771000</v>
      </c>
    </row>
    <row r="98" spans="1:9" x14ac:dyDescent="0.3">
      <c r="A98" s="53" t="s">
        <v>98</v>
      </c>
      <c r="B98" s="53">
        <v>1598</v>
      </c>
      <c r="C98" s="53">
        <v>119581000</v>
      </c>
      <c r="D98" s="54">
        <v>1.6603890778883617</v>
      </c>
      <c r="F98" s="53" t="s">
        <v>98</v>
      </c>
      <c r="G98" s="55">
        <v>1598</v>
      </c>
      <c r="H98" s="55">
        <v>119581000</v>
      </c>
    </row>
    <row r="99" spans="1:9" x14ac:dyDescent="0.3">
      <c r="A99" s="53" t="s">
        <v>99</v>
      </c>
      <c r="B99" s="53">
        <v>615</v>
      </c>
      <c r="C99" s="53">
        <v>80001000</v>
      </c>
      <c r="D99" s="54">
        <v>1.5356151459683964</v>
      </c>
      <c r="F99" s="53" t="s">
        <v>99</v>
      </c>
      <c r="G99" s="55">
        <v>615</v>
      </c>
      <c r="H99" s="55">
        <v>80001000</v>
      </c>
    </row>
    <row r="100" spans="1:9" x14ac:dyDescent="0.3">
      <c r="A100" s="53" t="s">
        <v>101</v>
      </c>
      <c r="B100" s="53">
        <v>73</v>
      </c>
      <c r="C100" s="53">
        <v>17291000</v>
      </c>
      <c r="D100" s="54">
        <v>1.3698481742579536</v>
      </c>
      <c r="F100" s="53" t="s">
        <v>101</v>
      </c>
      <c r="G100" s="55">
        <v>73</v>
      </c>
      <c r="H100" s="55">
        <v>17291000</v>
      </c>
    </row>
    <row r="101" spans="1:9" x14ac:dyDescent="0.3">
      <c r="A101" s="53" t="s">
        <v>135</v>
      </c>
      <c r="B101" s="53">
        <v>37</v>
      </c>
      <c r="C101" s="53">
        <v>7884000</v>
      </c>
      <c r="D101" s="54">
        <v>1.105424145436287</v>
      </c>
      <c r="F101" s="53" t="s">
        <v>135</v>
      </c>
      <c r="G101" s="55">
        <v>37</v>
      </c>
      <c r="H101" s="55">
        <v>7884000</v>
      </c>
    </row>
    <row r="102" spans="1:9" x14ac:dyDescent="0.3">
      <c r="A102" s="53" t="s">
        <v>136</v>
      </c>
      <c r="B102" s="53">
        <v>10</v>
      </c>
      <c r="C102" s="53">
        <v>7703000</v>
      </c>
      <c r="D102" s="54">
        <v>1.5406</v>
      </c>
      <c r="F102" s="53" t="s">
        <v>136</v>
      </c>
      <c r="G102" s="55">
        <v>10</v>
      </c>
      <c r="H102" s="55">
        <v>7703000</v>
      </c>
    </row>
    <row r="103" spans="1:9" x14ac:dyDescent="0.3">
      <c r="A103" s="51" t="s">
        <v>56</v>
      </c>
      <c r="B103" s="51" t="s">
        <v>78</v>
      </c>
      <c r="C103" s="51" t="s">
        <v>79</v>
      </c>
      <c r="D103" s="52" t="s">
        <v>59</v>
      </c>
      <c r="G103" s="2"/>
      <c r="H103" s="2"/>
    </row>
    <row r="104" spans="1:9" x14ac:dyDescent="0.3">
      <c r="A104" s="53" t="s">
        <v>117</v>
      </c>
      <c r="B104" s="53"/>
      <c r="C104" s="53"/>
      <c r="D104" s="54"/>
      <c r="F104" s="53" t="s">
        <v>117</v>
      </c>
      <c r="G104" s="2">
        <v>9138.2481035256405</v>
      </c>
      <c r="H104" s="2">
        <v>73279052.675239995</v>
      </c>
      <c r="I104">
        <f t="shared" ref="I104" si="5">H104/G104</f>
        <v>8018.9388430992694</v>
      </c>
    </row>
    <row r="105" spans="1:9" x14ac:dyDescent="0.3">
      <c r="A105" s="53" t="s">
        <v>148</v>
      </c>
      <c r="B105" s="53"/>
      <c r="C105" s="53"/>
      <c r="D105" s="54"/>
      <c r="F105" s="53" t="s">
        <v>133</v>
      </c>
      <c r="G105" s="2">
        <v>6705.8780557045075</v>
      </c>
      <c r="H105" s="2">
        <v>84422016.149891183</v>
      </c>
    </row>
    <row r="106" spans="1:9" x14ac:dyDescent="0.3">
      <c r="A106" s="53" t="s">
        <v>96</v>
      </c>
      <c r="B106" s="53">
        <v>3492</v>
      </c>
      <c r="C106" s="53">
        <v>60979000</v>
      </c>
      <c r="D106" s="54">
        <v>2.2512345637814346</v>
      </c>
      <c r="F106" s="53" t="s">
        <v>96</v>
      </c>
      <c r="G106" s="55">
        <v>3492</v>
      </c>
      <c r="H106" s="55">
        <v>60979000</v>
      </c>
    </row>
    <row r="107" spans="1:9" x14ac:dyDescent="0.3">
      <c r="A107" s="53" t="s">
        <v>134</v>
      </c>
      <c r="B107" s="53">
        <v>4382</v>
      </c>
      <c r="C107" s="53">
        <v>114911000</v>
      </c>
      <c r="D107" s="54">
        <v>2.0850820938119061</v>
      </c>
      <c r="F107" s="53" t="s">
        <v>134</v>
      </c>
      <c r="G107" s="55">
        <v>4382</v>
      </c>
      <c r="H107" s="55">
        <v>114911000</v>
      </c>
    </row>
    <row r="108" spans="1:9" x14ac:dyDescent="0.3">
      <c r="A108" s="53">
        <v>36010</v>
      </c>
      <c r="B108" s="53">
        <v>1760</v>
      </c>
      <c r="C108" s="53">
        <v>79637000</v>
      </c>
      <c r="D108" s="54">
        <v>1.8305487916658547</v>
      </c>
      <c r="F108" s="53">
        <v>36010</v>
      </c>
      <c r="G108" s="55">
        <v>1760</v>
      </c>
      <c r="H108" s="55">
        <v>79637000</v>
      </c>
    </row>
    <row r="109" spans="1:9" x14ac:dyDescent="0.3">
      <c r="A109" s="53" t="s">
        <v>98</v>
      </c>
      <c r="B109" s="53">
        <v>712</v>
      </c>
      <c r="C109" s="53">
        <v>53093000</v>
      </c>
      <c r="D109" s="54">
        <v>1.6774504472113609</v>
      </c>
      <c r="F109" s="53" t="s">
        <v>98</v>
      </c>
      <c r="G109" s="55">
        <v>712</v>
      </c>
      <c r="H109" s="55">
        <v>53093000</v>
      </c>
    </row>
    <row r="110" spans="1:9" x14ac:dyDescent="0.3">
      <c r="A110" s="53" t="s">
        <v>99</v>
      </c>
      <c r="B110" s="53">
        <v>277</v>
      </c>
      <c r="C110" s="53">
        <v>36505000</v>
      </c>
      <c r="D110" s="54">
        <v>1.5610976215811256</v>
      </c>
      <c r="F110" s="53" t="s">
        <v>99</v>
      </c>
      <c r="G110" s="55">
        <v>277</v>
      </c>
      <c r="H110" s="55">
        <v>36505000</v>
      </c>
    </row>
    <row r="111" spans="1:9" x14ac:dyDescent="0.3">
      <c r="A111" s="53" t="s">
        <v>101</v>
      </c>
      <c r="B111" s="53">
        <v>40</v>
      </c>
      <c r="C111" s="53">
        <v>9552000</v>
      </c>
      <c r="D111" s="54">
        <v>1.3617422577147003</v>
      </c>
      <c r="F111" s="53" t="s">
        <v>101</v>
      </c>
      <c r="G111" s="55">
        <v>40</v>
      </c>
      <c r="H111" s="55">
        <v>9552000</v>
      </c>
    </row>
    <row r="112" spans="1:9" x14ac:dyDescent="0.3">
      <c r="A112" s="53" t="s">
        <v>135</v>
      </c>
      <c r="B112" s="53">
        <v>15</v>
      </c>
      <c r="C112" s="53">
        <v>4514000</v>
      </c>
      <c r="D112" s="54">
        <v>1.1564429333837021</v>
      </c>
      <c r="F112" s="53" t="s">
        <v>135</v>
      </c>
      <c r="G112" s="55">
        <v>15</v>
      </c>
      <c r="H112" s="55">
        <v>4514000</v>
      </c>
    </row>
    <row r="113" spans="1:9" x14ac:dyDescent="0.3">
      <c r="A113" s="53" t="s">
        <v>136</v>
      </c>
      <c r="B113" s="53">
        <v>3</v>
      </c>
      <c r="C113" s="53">
        <v>1731000</v>
      </c>
      <c r="D113" s="54">
        <v>1.1539999999999999</v>
      </c>
      <c r="F113" s="53" t="s">
        <v>136</v>
      </c>
      <c r="G113" s="55">
        <v>3</v>
      </c>
      <c r="H113" s="55">
        <v>1731000</v>
      </c>
    </row>
    <row r="114" spans="1:9" x14ac:dyDescent="0.3">
      <c r="A114" s="51" t="s">
        <v>56</v>
      </c>
      <c r="B114" s="51" t="s">
        <v>80</v>
      </c>
      <c r="C114" s="51" t="s">
        <v>81</v>
      </c>
      <c r="D114" s="52" t="s">
        <v>59</v>
      </c>
      <c r="G114" s="2"/>
      <c r="H114" s="2"/>
    </row>
    <row r="115" spans="1:9" x14ac:dyDescent="0.3">
      <c r="A115" s="53" t="s">
        <v>117</v>
      </c>
      <c r="B115" s="53"/>
      <c r="C115" s="53"/>
      <c r="D115" s="54"/>
      <c r="F115" s="53" t="s">
        <v>117</v>
      </c>
      <c r="G115" s="2">
        <v>2687.5660945935947</v>
      </c>
      <c r="H115" s="2">
        <v>21551428.149333201</v>
      </c>
      <c r="I115">
        <f t="shared" ref="I115" si="6">H115/G115</f>
        <v>8018.9388430992767</v>
      </c>
    </row>
    <row r="116" spans="1:9" x14ac:dyDescent="0.3">
      <c r="A116" s="53" t="s">
        <v>149</v>
      </c>
      <c r="B116" s="53"/>
      <c r="C116" s="53"/>
      <c r="D116" s="54"/>
      <c r="F116" s="53" t="s">
        <v>133</v>
      </c>
      <c r="G116" s="2">
        <v>1972.2041131754092</v>
      </c>
      <c r="H116" s="2">
        <v>24828582.642021261</v>
      </c>
    </row>
    <row r="117" spans="1:9" x14ac:dyDescent="0.3">
      <c r="A117" s="53" t="s">
        <v>96</v>
      </c>
      <c r="B117" s="53">
        <v>1027</v>
      </c>
      <c r="C117" s="53">
        <v>18525000</v>
      </c>
      <c r="D117" s="54">
        <v>2.6110564631166477</v>
      </c>
      <c r="F117" s="53" t="s">
        <v>96</v>
      </c>
      <c r="G117" s="55">
        <v>1027</v>
      </c>
      <c r="H117" s="55">
        <v>18525000</v>
      </c>
    </row>
    <row r="118" spans="1:9" x14ac:dyDescent="0.3">
      <c r="A118" s="53" t="s">
        <v>134</v>
      </c>
      <c r="B118" s="53">
        <v>1783</v>
      </c>
      <c r="C118" s="53">
        <v>47218000</v>
      </c>
      <c r="D118" s="54">
        <v>2.3295492670473781</v>
      </c>
      <c r="F118" s="53" t="s">
        <v>134</v>
      </c>
      <c r="G118" s="55">
        <v>1783</v>
      </c>
      <c r="H118" s="55">
        <v>47218000</v>
      </c>
    </row>
    <row r="119" spans="1:9" x14ac:dyDescent="0.3">
      <c r="A119" s="53">
        <v>36010</v>
      </c>
      <c r="B119" s="53">
        <v>699</v>
      </c>
      <c r="C119" s="53">
        <v>31809000</v>
      </c>
      <c r="D119" s="54">
        <v>2.1658222366358997</v>
      </c>
      <c r="F119" s="53">
        <v>36010</v>
      </c>
      <c r="G119" s="55">
        <v>699</v>
      </c>
      <c r="H119" s="55">
        <v>31809000</v>
      </c>
    </row>
    <row r="120" spans="1:9" x14ac:dyDescent="0.3">
      <c r="A120" s="53" t="s">
        <v>98</v>
      </c>
      <c r="B120" s="53">
        <v>296</v>
      </c>
      <c r="C120" s="53">
        <v>22270000</v>
      </c>
      <c r="D120" s="54">
        <v>2.149941301917845</v>
      </c>
      <c r="F120" s="53" t="s">
        <v>98</v>
      </c>
      <c r="G120" s="55">
        <v>296</v>
      </c>
      <c r="H120" s="55">
        <v>22270000</v>
      </c>
    </row>
    <row r="121" spans="1:9" x14ac:dyDescent="0.3">
      <c r="A121" s="53" t="s">
        <v>99</v>
      </c>
      <c r="B121" s="53">
        <v>128</v>
      </c>
      <c r="C121" s="53">
        <v>17057000</v>
      </c>
      <c r="D121" s="54">
        <v>2.3583547685499906</v>
      </c>
      <c r="F121" s="53" t="s">
        <v>99</v>
      </c>
      <c r="G121" s="55">
        <v>128</v>
      </c>
      <c r="H121" s="55">
        <v>17057000</v>
      </c>
    </row>
    <row r="122" spans="1:9" x14ac:dyDescent="0.3">
      <c r="A122" s="53" t="s">
        <v>101</v>
      </c>
      <c r="B122" s="53">
        <v>11</v>
      </c>
      <c r="C122" s="53">
        <v>2627000</v>
      </c>
      <c r="D122" s="54">
        <v>4.3059751774316046</v>
      </c>
      <c r="F122" s="53" t="s">
        <v>101</v>
      </c>
      <c r="G122" s="55">
        <v>11</v>
      </c>
      <c r="H122" s="55">
        <v>2627000</v>
      </c>
    </row>
    <row r="123" spans="1:9" x14ac:dyDescent="0.3">
      <c r="A123" s="53" t="s">
        <v>135</v>
      </c>
      <c r="B123" s="53">
        <v>7</v>
      </c>
      <c r="C123" s="53">
        <v>13877000</v>
      </c>
      <c r="D123" s="54">
        <v>5.1528282390586977</v>
      </c>
      <c r="F123" s="53" t="s">
        <v>135</v>
      </c>
      <c r="G123" s="55">
        <v>7</v>
      </c>
      <c r="H123" s="55">
        <v>13877000</v>
      </c>
    </row>
    <row r="124" spans="1:9" x14ac:dyDescent="0.3">
      <c r="A124" s="53" t="s">
        <v>136</v>
      </c>
      <c r="B124" s="53">
        <v>3</v>
      </c>
      <c r="C124" s="53">
        <v>1582000</v>
      </c>
      <c r="D124" s="54">
        <v>1.0546666666666666</v>
      </c>
      <c r="F124" s="53" t="s">
        <v>136</v>
      </c>
      <c r="G124" s="55">
        <v>3</v>
      </c>
      <c r="H124" s="55">
        <v>1582000</v>
      </c>
    </row>
    <row r="125" spans="1:9" x14ac:dyDescent="0.3">
      <c r="A125" s="51" t="s">
        <v>56</v>
      </c>
      <c r="B125" s="51" t="s">
        <v>82</v>
      </c>
      <c r="C125" s="51" t="s">
        <v>83</v>
      </c>
      <c r="D125" s="52" t="s">
        <v>59</v>
      </c>
      <c r="G125" s="2"/>
      <c r="H125" s="2"/>
    </row>
    <row r="126" spans="1:9" x14ac:dyDescent="0.3">
      <c r="A126" s="53" t="s">
        <v>117</v>
      </c>
      <c r="B126" s="53"/>
      <c r="C126" s="53"/>
      <c r="D126" s="54"/>
      <c r="F126" s="53" t="s">
        <v>117</v>
      </c>
      <c r="G126" s="2">
        <v>808.62504696146118</v>
      </c>
      <c r="H126" s="2">
        <v>6484314.7985822298</v>
      </c>
      <c r="I126">
        <f t="shared" ref="I126" si="7">H126/G126</f>
        <v>8018.9388430992667</v>
      </c>
    </row>
    <row r="127" spans="1:9" x14ac:dyDescent="0.3">
      <c r="A127" s="53" t="s">
        <v>150</v>
      </c>
      <c r="B127" s="53"/>
      <c r="C127" s="53"/>
      <c r="D127" s="54"/>
      <c r="F127" s="53" t="s">
        <v>133</v>
      </c>
      <c r="G127" s="2">
        <v>593.38955303914452</v>
      </c>
      <c r="H127" s="2">
        <v>7470333.0441914015</v>
      </c>
    </row>
    <row r="128" spans="1:9" x14ac:dyDescent="0.3">
      <c r="A128" s="53" t="s">
        <v>151</v>
      </c>
      <c r="B128" s="53">
        <v>309</v>
      </c>
      <c r="C128" s="53">
        <v>5546000</v>
      </c>
      <c r="D128" s="54">
        <v>2.6548828192018665</v>
      </c>
      <c r="F128" s="53" t="s">
        <v>96</v>
      </c>
      <c r="G128" s="55">
        <v>309</v>
      </c>
      <c r="H128" s="55">
        <v>5546000</v>
      </c>
    </row>
    <row r="129" spans="1:8" x14ac:dyDescent="0.3">
      <c r="A129" s="53" t="s">
        <v>134</v>
      </c>
      <c r="B129" s="53">
        <v>726</v>
      </c>
      <c r="C129" s="53">
        <v>18872000</v>
      </c>
      <c r="D129" s="54">
        <v>2.2802768656157753</v>
      </c>
      <c r="F129" s="53" t="s">
        <v>134</v>
      </c>
      <c r="G129" s="55">
        <v>726</v>
      </c>
      <c r="H129" s="55">
        <v>18872000</v>
      </c>
    </row>
    <row r="130" spans="1:8" x14ac:dyDescent="0.3">
      <c r="A130" s="53">
        <v>36010</v>
      </c>
      <c r="B130" s="53">
        <v>320</v>
      </c>
      <c r="C130" s="53">
        <v>14645000</v>
      </c>
      <c r="D130" s="54">
        <v>2.0447823650819545</v>
      </c>
      <c r="F130" s="53">
        <v>36010</v>
      </c>
      <c r="G130" s="55">
        <v>320</v>
      </c>
      <c r="H130" s="55">
        <v>14645000</v>
      </c>
    </row>
    <row r="131" spans="1:8" x14ac:dyDescent="0.3">
      <c r="A131" s="53" t="s">
        <v>98</v>
      </c>
      <c r="B131" s="53">
        <v>123</v>
      </c>
      <c r="C131" s="53">
        <v>9237000</v>
      </c>
      <c r="D131" s="54">
        <v>2.0132447061292256</v>
      </c>
      <c r="F131" s="53" t="s">
        <v>98</v>
      </c>
      <c r="G131" s="55">
        <v>123</v>
      </c>
      <c r="H131" s="55">
        <v>9237000</v>
      </c>
    </row>
    <row r="132" spans="1:8" x14ac:dyDescent="0.3">
      <c r="A132" s="53" t="s">
        <v>99</v>
      </c>
      <c r="B132" s="53">
        <v>50</v>
      </c>
      <c r="C132" s="53">
        <v>6431000</v>
      </c>
      <c r="D132" s="54">
        <v>2.0599455205994555</v>
      </c>
      <c r="F132" s="53" t="s">
        <v>99</v>
      </c>
      <c r="G132" s="55">
        <v>50</v>
      </c>
      <c r="H132" s="55">
        <v>6431000</v>
      </c>
    </row>
    <row r="133" spans="1:8" x14ac:dyDescent="0.3">
      <c r="A133" s="53" t="s">
        <v>101</v>
      </c>
      <c r="B133" s="53">
        <v>8</v>
      </c>
      <c r="C133" s="53">
        <v>1733000</v>
      </c>
      <c r="D133" s="54">
        <v>2.2392630368481576</v>
      </c>
      <c r="F133" s="53" t="s">
        <v>101</v>
      </c>
      <c r="G133" s="55">
        <v>8</v>
      </c>
      <c r="H133" s="55">
        <v>1733000</v>
      </c>
    </row>
    <row r="134" spans="1:8" x14ac:dyDescent="0.3">
      <c r="A134" s="53" t="s">
        <v>135</v>
      </c>
      <c r="B134" s="53">
        <v>8</v>
      </c>
      <c r="C134" s="53">
        <v>5433000</v>
      </c>
      <c r="D134" s="54">
        <v>2.2636745441818604</v>
      </c>
      <c r="F134" s="53" t="s">
        <v>135</v>
      </c>
      <c r="G134" s="55">
        <v>8</v>
      </c>
      <c r="H134" s="55">
        <v>5433000</v>
      </c>
    </row>
    <row r="135" spans="1:8" x14ac:dyDescent="0.3">
      <c r="A135" s="53" t="s">
        <v>136</v>
      </c>
      <c r="B135" s="53"/>
      <c r="C135" s="53"/>
      <c r="D135" s="54"/>
      <c r="F135" s="53" t="s">
        <v>136</v>
      </c>
      <c r="G135" s="55">
        <v>0</v>
      </c>
      <c r="H135" s="55">
        <v>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workbookViewId="0">
      <selection sqref="A1:D1"/>
    </sheetView>
  </sheetViews>
  <sheetFormatPr baseColWidth="10" defaultRowHeight="15.6" x14ac:dyDescent="0.3"/>
  <cols>
    <col min="7" max="7" width="11" bestFit="1" customWidth="1"/>
    <col min="8" max="9" width="11.296875" bestFit="1" customWidth="1"/>
    <col min="12" max="12" width="13.796875" customWidth="1"/>
  </cols>
  <sheetData>
    <row r="1" spans="1:15" x14ac:dyDescent="0.3">
      <c r="A1" s="79" t="s">
        <v>226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3" t="s">
        <v>152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3">
      <c r="A4" s="51" t="s">
        <v>56</v>
      </c>
      <c r="B4" s="51" t="s">
        <v>57</v>
      </c>
      <c r="C4" s="51" t="s">
        <v>58</v>
      </c>
      <c r="D4" s="52" t="s">
        <v>59</v>
      </c>
      <c r="E4">
        <v>2410</v>
      </c>
      <c r="I4" s="2">
        <f>J4/6.55957</f>
        <v>990.91861204316751</v>
      </c>
      <c r="J4" s="53">
        <v>6500</v>
      </c>
      <c r="K4" s="2">
        <f>G5+G17+G29+G41+G53+G65+G77+G89+G101+G113+G125+G137</f>
        <v>3242011.515079001</v>
      </c>
      <c r="L4" s="2">
        <f>H5+H17+H29+H41+H53+H65+H77+H89+H101+H113+H125+H137</f>
        <v>26206252356.705688</v>
      </c>
      <c r="M4">
        <f>1-SUM(K4:$K$14)/$K$16</f>
        <v>0.62332498762484878</v>
      </c>
      <c r="N4">
        <f>SUM(L4:$L$14)/(J4*SUM(K4:$K$14))</f>
        <v>2.2495848273209673</v>
      </c>
      <c r="O4">
        <f>(G5+G17+G41)/K4</f>
        <v>0.2682680169255372</v>
      </c>
    </row>
    <row r="5" spans="1:15" x14ac:dyDescent="0.3">
      <c r="A5" s="53" t="s">
        <v>117</v>
      </c>
      <c r="B5" s="53">
        <v>648160</v>
      </c>
      <c r="C5" s="53">
        <v>5083611000</v>
      </c>
      <c r="D5" s="54">
        <v>1.6241414491684436</v>
      </c>
      <c r="F5" s="53" t="s">
        <v>117</v>
      </c>
      <c r="G5" s="55">
        <v>648160</v>
      </c>
      <c r="H5" s="55">
        <v>5083611000</v>
      </c>
      <c r="I5" s="2">
        <f t="shared" ref="I5:I14" si="0">J5/6.55957</f>
        <v>1524.4901723741038</v>
      </c>
      <c r="J5" s="53">
        <v>10000</v>
      </c>
      <c r="K5" s="2">
        <f t="shared" ref="K5:L14" si="1">G6+G18+G30+G42+G54+G66+G78+G90+G102+G114+G126+G138</f>
        <v>2157566.1591144628</v>
      </c>
      <c r="L5" s="2">
        <f t="shared" si="1"/>
        <v>26356042704.322613</v>
      </c>
      <c r="M5">
        <f>1-SUM(K5:$K$14)/$K$16</f>
        <v>0.78703385340619769</v>
      </c>
      <c r="N5">
        <f>SUM(L5:$L$14)/(J5*SUM(K5:$K$14))</f>
        <v>1.9648862792167192</v>
      </c>
      <c r="O5">
        <f t="shared" ref="O5:O14" si="2">(G6+G18+G42)/K5</f>
        <v>0.14106867532855705</v>
      </c>
    </row>
    <row r="6" spans="1:15" x14ac:dyDescent="0.3">
      <c r="A6" s="53" t="s">
        <v>133</v>
      </c>
      <c r="B6" s="53">
        <v>201672</v>
      </c>
      <c r="C6" s="53">
        <v>2408700000</v>
      </c>
      <c r="D6" s="54">
        <v>1.6348806051790608</v>
      </c>
      <c r="F6" s="53" t="s">
        <v>133</v>
      </c>
      <c r="G6" s="55">
        <v>201672</v>
      </c>
      <c r="H6" s="55">
        <v>2408700000</v>
      </c>
      <c r="I6" s="2">
        <f t="shared" si="0"/>
        <v>2286.7352585611557</v>
      </c>
      <c r="J6" s="53">
        <v>15000</v>
      </c>
      <c r="K6" s="2">
        <f t="shared" si="1"/>
        <v>939385.81665014871</v>
      </c>
      <c r="L6" s="2">
        <f t="shared" si="1"/>
        <v>16125106019.326065</v>
      </c>
      <c r="M6">
        <f>1-SUM(K6:$K$14)/$K$16</f>
        <v>0.89598248209366949</v>
      </c>
      <c r="N6">
        <f>SUM(L6:$L$14)/(J6*SUM(K6:$K$14))</f>
        <v>1.8289648818318265</v>
      </c>
      <c r="O6">
        <f t="shared" si="2"/>
        <v>9.5113209520892181E-2</v>
      </c>
    </row>
    <row r="7" spans="1:15" x14ac:dyDescent="0.3">
      <c r="A7" s="53" t="s">
        <v>96</v>
      </c>
      <c r="B7" s="53">
        <v>54285</v>
      </c>
      <c r="C7" s="53">
        <v>926152000</v>
      </c>
      <c r="D7" s="54">
        <v>1.6624142694220188</v>
      </c>
      <c r="F7" s="53" t="s">
        <v>96</v>
      </c>
      <c r="G7" s="55">
        <v>54285</v>
      </c>
      <c r="H7" s="55">
        <v>926152000</v>
      </c>
      <c r="I7" s="2">
        <f t="shared" si="0"/>
        <v>3048.9803447482077</v>
      </c>
      <c r="J7" s="53">
        <v>20000</v>
      </c>
      <c r="K7" s="2">
        <f t="shared" si="1"/>
        <v>792939</v>
      </c>
      <c r="L7" s="2">
        <f t="shared" si="1"/>
        <v>20136414000</v>
      </c>
      <c r="M7">
        <f>1-SUM(K7:$K$14)/$K$16</f>
        <v>0.94341778140078336</v>
      </c>
      <c r="N7">
        <f>SUM(L7:$L$14)/(J7*SUM(K7:$K$14))</f>
        <v>1.8021661682404797</v>
      </c>
      <c r="O7">
        <f t="shared" si="2"/>
        <v>8.1852450188476034E-2</v>
      </c>
    </row>
    <row r="8" spans="1:15" x14ac:dyDescent="0.3">
      <c r="A8" s="53" t="s">
        <v>134</v>
      </c>
      <c r="B8" s="53">
        <v>37259</v>
      </c>
      <c r="C8" s="53">
        <v>936656000</v>
      </c>
      <c r="D8" s="54">
        <v>1.6791146294498918</v>
      </c>
      <c r="F8" s="53" t="s">
        <v>134</v>
      </c>
      <c r="G8" s="55">
        <v>37259</v>
      </c>
      <c r="H8" s="55">
        <v>936656000</v>
      </c>
      <c r="I8" s="2">
        <f t="shared" si="0"/>
        <v>5335.7156033093634</v>
      </c>
      <c r="J8" s="53">
        <v>35000</v>
      </c>
      <c r="K8" s="2">
        <f t="shared" si="1"/>
        <v>140326</v>
      </c>
      <c r="L8" s="2">
        <f t="shared" si="1"/>
        <v>5529293000</v>
      </c>
      <c r="M8">
        <f>1-SUM(K8:$K$14)/$K$16</f>
        <v>0.9834580908568199</v>
      </c>
      <c r="N8">
        <f>SUM(L8:$L$14)/(J8*SUM(K8:$K$14))</f>
        <v>1.7662519471321991</v>
      </c>
      <c r="O8">
        <f t="shared" si="2"/>
        <v>7.6707096332824992E-2</v>
      </c>
    </row>
    <row r="9" spans="1:15" x14ac:dyDescent="0.3">
      <c r="A9" s="53" t="s">
        <v>153</v>
      </c>
      <c r="B9" s="53">
        <v>5553</v>
      </c>
      <c r="C9" s="53">
        <v>218496000</v>
      </c>
      <c r="D9" s="54">
        <v>1.692286453550758</v>
      </c>
      <c r="F9" s="53" t="s">
        <v>153</v>
      </c>
      <c r="G9" s="55">
        <v>5553</v>
      </c>
      <c r="H9" s="55">
        <v>218496000</v>
      </c>
      <c r="I9" s="2">
        <f t="shared" si="0"/>
        <v>6860.2057756834674</v>
      </c>
      <c r="J9" s="53">
        <v>45000</v>
      </c>
      <c r="K9" s="2">
        <f t="shared" si="1"/>
        <v>118084</v>
      </c>
      <c r="L9" s="2">
        <f t="shared" si="1"/>
        <v>6467951000</v>
      </c>
      <c r="M9">
        <f>1-SUM(K9:$K$14)/$K$16</f>
        <v>0.99054400347396676</v>
      </c>
      <c r="N9">
        <f>SUM(L9:$L$14)/(J9*SUM(K9:$K$14))</f>
        <v>1.7470246677560495</v>
      </c>
      <c r="O9">
        <f t="shared" si="2"/>
        <v>7.5005927983469389E-2</v>
      </c>
    </row>
    <row r="10" spans="1:15" x14ac:dyDescent="0.3">
      <c r="A10" s="53" t="s">
        <v>154</v>
      </c>
      <c r="B10" s="53">
        <v>4493</v>
      </c>
      <c r="C10" s="53">
        <v>244804000</v>
      </c>
      <c r="D10" s="54">
        <v>1.6807209599687527</v>
      </c>
      <c r="F10" s="53" t="s">
        <v>154</v>
      </c>
      <c r="G10" s="55">
        <v>4493</v>
      </c>
      <c r="H10" s="55">
        <v>244804000</v>
      </c>
      <c r="I10" s="2">
        <f t="shared" si="0"/>
        <v>10671.431206618727</v>
      </c>
      <c r="J10" s="53">
        <v>70000</v>
      </c>
      <c r="K10" s="2">
        <f t="shared" si="1"/>
        <v>40072</v>
      </c>
      <c r="L10" s="2">
        <f t="shared" si="1"/>
        <v>3293841000</v>
      </c>
      <c r="M10">
        <f>1-SUM(K10:$K$14)/$K$16</f>
        <v>0.9965067823280862</v>
      </c>
      <c r="N10">
        <f>SUM(L10:$L$14)/(J10*SUM(K10:$K$14))</f>
        <v>1.7044764437909659</v>
      </c>
      <c r="O10">
        <f t="shared" si="2"/>
        <v>6.8801157915751643E-2</v>
      </c>
    </row>
    <row r="11" spans="1:15" x14ac:dyDescent="0.3">
      <c r="A11" s="53" t="s">
        <v>155</v>
      </c>
      <c r="B11" s="53">
        <v>1325</v>
      </c>
      <c r="C11" s="53">
        <v>108475000</v>
      </c>
      <c r="D11" s="54">
        <v>1.6858108632813087</v>
      </c>
      <c r="F11" s="53" t="s">
        <v>155</v>
      </c>
      <c r="G11" s="55">
        <v>1325</v>
      </c>
      <c r="H11" s="55">
        <v>108475000</v>
      </c>
      <c r="I11" s="2">
        <f t="shared" si="0"/>
        <v>15244.901723741039</v>
      </c>
      <c r="J11" s="53">
        <v>100000</v>
      </c>
      <c r="K11" s="2">
        <f t="shared" si="1"/>
        <v>24022</v>
      </c>
      <c r="L11" s="2">
        <f t="shared" si="1"/>
        <v>3144723000</v>
      </c>
      <c r="M11">
        <f>1-SUM(K11:$K$14)/$K$16</f>
        <v>0.99853026115876831</v>
      </c>
      <c r="N11">
        <f>SUM(L11:$L$14)/(J11*SUM(K11:$K$14))</f>
        <v>1.7041221741221741</v>
      </c>
      <c r="O11">
        <f t="shared" si="2"/>
        <v>7.2891516110232285E-2</v>
      </c>
    </row>
    <row r="12" spans="1:15" x14ac:dyDescent="0.3">
      <c r="A12" s="53" t="s">
        <v>99</v>
      </c>
      <c r="B12" s="53">
        <v>724</v>
      </c>
      <c r="C12" s="53">
        <v>93725000</v>
      </c>
      <c r="D12" s="54">
        <v>1.7013532596685925</v>
      </c>
      <c r="F12" s="53" t="s">
        <v>99</v>
      </c>
      <c r="G12" s="55">
        <v>724</v>
      </c>
      <c r="H12" s="55">
        <v>93725000</v>
      </c>
      <c r="I12" s="2">
        <f t="shared" si="0"/>
        <v>30489.803447482078</v>
      </c>
      <c r="J12" s="53">
        <v>200000</v>
      </c>
      <c r="K12" s="2">
        <f t="shared" si="1"/>
        <v>3079</v>
      </c>
      <c r="L12" s="2">
        <f t="shared" si="1"/>
        <v>805950000</v>
      </c>
      <c r="M12">
        <f>1-SUM(K12:$K$14)/$K$16</f>
        <v>0.99974327794032769</v>
      </c>
      <c r="N12">
        <f>SUM(L12:$L$14)/(J12*SUM(K12:$K$14))</f>
        <v>1.7853019276160504</v>
      </c>
      <c r="O12">
        <f t="shared" si="2"/>
        <v>0.10100682039623254</v>
      </c>
    </row>
    <row r="13" spans="1:15" x14ac:dyDescent="0.3">
      <c r="A13" s="53" t="s">
        <v>101</v>
      </c>
      <c r="B13" s="53">
        <v>118</v>
      </c>
      <c r="C13" s="53">
        <v>28001000</v>
      </c>
      <c r="D13" s="54">
        <v>1.6062017411949916</v>
      </c>
      <c r="F13" s="53" t="s">
        <v>101</v>
      </c>
      <c r="G13" s="55">
        <v>118</v>
      </c>
      <c r="H13" s="55">
        <v>28001000</v>
      </c>
      <c r="I13" s="2">
        <f t="shared" si="0"/>
        <v>45734.705171223111</v>
      </c>
      <c r="J13" s="53">
        <v>300000</v>
      </c>
      <c r="K13" s="2">
        <f t="shared" si="1"/>
        <v>1420</v>
      </c>
      <c r="L13" s="2">
        <f t="shared" si="1"/>
        <v>530499000</v>
      </c>
      <c r="M13">
        <f>1-SUM(K13:$K$14)/$K$16</f>
        <v>0.99989875536395689</v>
      </c>
      <c r="N13">
        <f>SUM(L13:$L$14)/(J13*SUM(K13:$K$14))</f>
        <v>1.6780465502909394</v>
      </c>
      <c r="O13">
        <f t="shared" si="2"/>
        <v>0.10633802816901408</v>
      </c>
    </row>
    <row r="14" spans="1:15" x14ac:dyDescent="0.3">
      <c r="A14" s="53" t="s">
        <v>135</v>
      </c>
      <c r="B14" s="53">
        <v>59</v>
      </c>
      <c r="C14" s="53">
        <v>21866000</v>
      </c>
      <c r="D14" s="54">
        <v>1.4996902700645909</v>
      </c>
      <c r="F14" s="53" t="s">
        <v>135</v>
      </c>
      <c r="G14" s="55">
        <v>59</v>
      </c>
      <c r="H14" s="55">
        <v>21866000</v>
      </c>
      <c r="I14" s="2">
        <f t="shared" si="0"/>
        <v>76224.508618705193</v>
      </c>
      <c r="J14" s="53">
        <v>500000</v>
      </c>
      <c r="K14" s="2">
        <f t="shared" si="1"/>
        <v>585</v>
      </c>
      <c r="L14" s="2">
        <f>H15+H27+H39+H51+H63+H75+H87+H99+H111+H123+H135+H147</f>
        <v>478846000</v>
      </c>
      <c r="M14">
        <f>1-SUM(K14:$K$14)/$K$16</f>
        <v>0.99997045979447119</v>
      </c>
      <c r="N14">
        <f>SUM(L14:$L$14)/(J14*SUM(K14:$K$14))</f>
        <v>1.6370803418803419</v>
      </c>
      <c r="O14">
        <f t="shared" si="2"/>
        <v>0.12478632478632479</v>
      </c>
    </row>
    <row r="15" spans="1:15" x14ac:dyDescent="0.3">
      <c r="A15" s="53" t="s">
        <v>136</v>
      </c>
      <c r="B15" s="53">
        <v>18</v>
      </c>
      <c r="C15" s="53">
        <v>12778000</v>
      </c>
      <c r="D15" s="54">
        <v>1.4197777777777778</v>
      </c>
      <c r="F15" s="53" t="s">
        <v>136</v>
      </c>
      <c r="G15" s="55">
        <v>18</v>
      </c>
      <c r="H15" s="55">
        <v>12778000</v>
      </c>
    </row>
    <row r="16" spans="1:15" x14ac:dyDescent="0.3">
      <c r="A16" s="51" t="s">
        <v>56</v>
      </c>
      <c r="B16" s="51" t="s">
        <v>89</v>
      </c>
      <c r="C16" s="51" t="s">
        <v>90</v>
      </c>
      <c r="D16" s="52" t="s">
        <v>59</v>
      </c>
      <c r="G16" s="2"/>
      <c r="H16" s="2"/>
      <c r="K16" s="5">
        <v>19803518.273769379</v>
      </c>
    </row>
    <row r="17" spans="1:8" x14ac:dyDescent="0.3">
      <c r="A17" s="53" t="s">
        <v>117</v>
      </c>
      <c r="B17" s="53">
        <v>185781</v>
      </c>
      <c r="C17" s="53">
        <v>1477956000</v>
      </c>
      <c r="D17" s="54">
        <v>2.0127961396143874</v>
      </c>
      <c r="F17" s="53" t="s">
        <v>117</v>
      </c>
      <c r="G17" s="55">
        <v>185781</v>
      </c>
      <c r="H17" s="55">
        <v>1477956000</v>
      </c>
    </row>
    <row r="18" spans="1:8" x14ac:dyDescent="0.3">
      <c r="A18" s="53" t="s">
        <v>133</v>
      </c>
      <c r="B18" s="53">
        <v>88425</v>
      </c>
      <c r="C18" s="53">
        <v>1069380000</v>
      </c>
      <c r="D18" s="54">
        <v>1.9226191572219447</v>
      </c>
      <c r="F18" s="53" t="s">
        <v>133</v>
      </c>
      <c r="G18" s="55">
        <v>88425</v>
      </c>
      <c r="H18" s="55">
        <v>1069380000</v>
      </c>
    </row>
    <row r="19" spans="1:8" x14ac:dyDescent="0.3">
      <c r="A19" s="53" t="s">
        <v>96</v>
      </c>
      <c r="B19" s="53">
        <v>31195</v>
      </c>
      <c r="C19" s="53">
        <v>533369000</v>
      </c>
      <c r="D19" s="54">
        <v>1.9083401187496958</v>
      </c>
      <c r="F19" s="53" t="s">
        <v>96</v>
      </c>
      <c r="G19" s="55">
        <v>31195</v>
      </c>
      <c r="H19" s="55">
        <v>533369000</v>
      </c>
    </row>
    <row r="20" spans="1:8" x14ac:dyDescent="0.3">
      <c r="A20" s="53" t="s">
        <v>134</v>
      </c>
      <c r="B20" s="53">
        <v>24824</v>
      </c>
      <c r="C20" s="53">
        <v>631652000</v>
      </c>
      <c r="D20" s="54">
        <v>1.9302554319958336</v>
      </c>
      <c r="F20" s="53" t="s">
        <v>134</v>
      </c>
      <c r="G20" s="55">
        <v>24824</v>
      </c>
      <c r="H20" s="55">
        <v>631652000</v>
      </c>
    </row>
    <row r="21" spans="1:8" x14ac:dyDescent="0.3">
      <c r="A21" s="53" t="s">
        <v>153</v>
      </c>
      <c r="B21" s="53">
        <v>4728</v>
      </c>
      <c r="C21" s="53">
        <v>186392000</v>
      </c>
      <c r="D21" s="54">
        <v>1.9327058947373865</v>
      </c>
      <c r="F21" s="53" t="s">
        <v>153</v>
      </c>
      <c r="G21" s="55">
        <v>4728</v>
      </c>
      <c r="H21" s="55">
        <v>186392000</v>
      </c>
    </row>
    <row r="22" spans="1:8" x14ac:dyDescent="0.3">
      <c r="A22" s="53" t="s">
        <v>154</v>
      </c>
      <c r="B22" s="53">
        <v>3987</v>
      </c>
      <c r="C22" s="53">
        <v>218198000</v>
      </c>
      <c r="D22" s="54">
        <v>1.9570478508939484</v>
      </c>
      <c r="F22" s="53" t="s">
        <v>154</v>
      </c>
      <c r="G22" s="55">
        <v>3987</v>
      </c>
      <c r="H22" s="55">
        <v>218198000</v>
      </c>
    </row>
    <row r="23" spans="1:8" x14ac:dyDescent="0.3">
      <c r="A23" s="53" t="s">
        <v>155</v>
      </c>
      <c r="B23" s="53">
        <v>1304</v>
      </c>
      <c r="C23" s="53">
        <v>107834000</v>
      </c>
      <c r="D23" s="54">
        <v>2.0029226938571973</v>
      </c>
      <c r="F23" s="53" t="s">
        <v>155</v>
      </c>
      <c r="G23" s="55">
        <v>1304</v>
      </c>
      <c r="H23" s="55">
        <v>107834000</v>
      </c>
    </row>
    <row r="24" spans="1:8" x14ac:dyDescent="0.3">
      <c r="A24" s="53" t="s">
        <v>99</v>
      </c>
      <c r="B24" s="53">
        <v>936</v>
      </c>
      <c r="C24" s="53">
        <v>123388000</v>
      </c>
      <c r="D24" s="54">
        <v>2.0036408548399369</v>
      </c>
      <c r="F24" s="53" t="s">
        <v>99</v>
      </c>
      <c r="G24" s="55">
        <v>936</v>
      </c>
      <c r="H24" s="55">
        <v>123388000</v>
      </c>
    </row>
    <row r="25" spans="1:8" x14ac:dyDescent="0.3">
      <c r="A25" s="53" t="s">
        <v>101</v>
      </c>
      <c r="B25" s="53">
        <v>179</v>
      </c>
      <c r="C25" s="53">
        <v>43233000</v>
      </c>
      <c r="D25" s="54">
        <v>2.0335156875596736</v>
      </c>
      <c r="F25" s="53" t="s">
        <v>101</v>
      </c>
      <c r="G25" s="55">
        <v>179</v>
      </c>
      <c r="H25" s="55">
        <v>43233000</v>
      </c>
    </row>
    <row r="26" spans="1:8" x14ac:dyDescent="0.3">
      <c r="A26" s="53" t="s">
        <v>135</v>
      </c>
      <c r="B26" s="53">
        <v>83</v>
      </c>
      <c r="C26" s="53">
        <v>32018000</v>
      </c>
      <c r="D26" s="54">
        <v>2.1024046673191701</v>
      </c>
      <c r="F26" s="53" t="s">
        <v>135</v>
      </c>
      <c r="G26" s="55">
        <v>83</v>
      </c>
      <c r="H26" s="55">
        <v>32018000</v>
      </c>
    </row>
    <row r="27" spans="1:8" x14ac:dyDescent="0.3">
      <c r="A27" s="53" t="s">
        <v>136</v>
      </c>
      <c r="B27" s="53">
        <v>49</v>
      </c>
      <c r="C27" s="53">
        <v>51240000</v>
      </c>
      <c r="D27" s="54">
        <v>2.0914285714285712</v>
      </c>
      <c r="F27" s="53" t="s">
        <v>136</v>
      </c>
      <c r="G27" s="55">
        <v>49</v>
      </c>
      <c r="H27" s="55">
        <v>51240000</v>
      </c>
    </row>
    <row r="28" spans="1:8" x14ac:dyDescent="0.3">
      <c r="A28" s="51" t="s">
        <v>56</v>
      </c>
      <c r="B28" s="51" t="s">
        <v>64</v>
      </c>
      <c r="C28" s="51" t="s">
        <v>65</v>
      </c>
      <c r="D28" s="52" t="s">
        <v>59</v>
      </c>
      <c r="G28" s="2"/>
      <c r="H28" s="2"/>
    </row>
    <row r="29" spans="1:8" x14ac:dyDescent="0.3">
      <c r="A29" s="53" t="s">
        <v>117</v>
      </c>
      <c r="B29" s="53">
        <v>910497</v>
      </c>
      <c r="C29" s="53">
        <v>7430098000</v>
      </c>
      <c r="D29" s="54">
        <v>2.2596469388170868</v>
      </c>
      <c r="F29" s="53" t="s">
        <v>117</v>
      </c>
      <c r="G29" s="55">
        <v>910497</v>
      </c>
      <c r="H29" s="55">
        <v>7430098000</v>
      </c>
    </row>
    <row r="30" spans="1:8" x14ac:dyDescent="0.3">
      <c r="A30" s="53" t="s">
        <v>133</v>
      </c>
      <c r="B30" s="53">
        <v>711270</v>
      </c>
      <c r="C30" s="53">
        <v>8654842000</v>
      </c>
      <c r="D30" s="54">
        <v>1.911183168929464</v>
      </c>
      <c r="F30" s="53" t="s">
        <v>133</v>
      </c>
      <c r="G30" s="55">
        <v>711270</v>
      </c>
      <c r="H30" s="55">
        <v>8654842000</v>
      </c>
    </row>
    <row r="31" spans="1:8" x14ac:dyDescent="0.3">
      <c r="A31" s="53" t="s">
        <v>96</v>
      </c>
      <c r="B31" s="53">
        <v>301151</v>
      </c>
      <c r="C31" s="53">
        <v>5167458000</v>
      </c>
      <c r="D31" s="54">
        <v>1.7918894519683244</v>
      </c>
      <c r="F31" s="53" t="s">
        <v>96</v>
      </c>
      <c r="G31" s="55">
        <v>301151</v>
      </c>
      <c r="H31" s="55">
        <v>5167458000</v>
      </c>
    </row>
    <row r="32" spans="1:8" x14ac:dyDescent="0.3">
      <c r="A32" s="53" t="s">
        <v>134</v>
      </c>
      <c r="B32" s="53">
        <v>243472</v>
      </c>
      <c r="C32" s="53">
        <v>6157765000</v>
      </c>
      <c r="D32" s="54">
        <v>1.7794969590255896</v>
      </c>
      <c r="F32" s="53" t="s">
        <v>134</v>
      </c>
      <c r="G32" s="55">
        <v>243472</v>
      </c>
      <c r="H32" s="55">
        <v>6157765000</v>
      </c>
    </row>
    <row r="33" spans="1:8" x14ac:dyDescent="0.3">
      <c r="A33" s="53" t="s">
        <v>153</v>
      </c>
      <c r="B33" s="53">
        <v>40442</v>
      </c>
      <c r="C33" s="53">
        <v>1593248000</v>
      </c>
      <c r="D33" s="54">
        <v>1.7873517088872881</v>
      </c>
      <c r="F33" s="53" t="s">
        <v>153</v>
      </c>
      <c r="G33" s="55">
        <v>40442</v>
      </c>
      <c r="H33" s="55">
        <v>1593248000</v>
      </c>
    </row>
    <row r="34" spans="1:8" x14ac:dyDescent="0.3">
      <c r="A34" s="53" t="s">
        <v>154</v>
      </c>
      <c r="B34" s="53">
        <v>33005</v>
      </c>
      <c r="C34" s="53">
        <v>1807531000</v>
      </c>
      <c r="D34" s="54">
        <v>1.7854700186872337</v>
      </c>
      <c r="F34" s="53" t="s">
        <v>154</v>
      </c>
      <c r="G34" s="55">
        <v>33005</v>
      </c>
      <c r="H34" s="55">
        <v>1807531000</v>
      </c>
    </row>
    <row r="35" spans="1:8" x14ac:dyDescent="0.3">
      <c r="A35" s="53" t="s">
        <v>155</v>
      </c>
      <c r="B35" s="53">
        <v>11105</v>
      </c>
      <c r="C35" s="53">
        <v>912979000</v>
      </c>
      <c r="D35" s="54">
        <v>1.760732622770613</v>
      </c>
      <c r="F35" s="53" t="s">
        <v>155</v>
      </c>
      <c r="G35" s="55">
        <v>11105</v>
      </c>
      <c r="H35" s="55">
        <v>912979000</v>
      </c>
    </row>
    <row r="36" spans="1:8" x14ac:dyDescent="0.3">
      <c r="A36" s="53" t="s">
        <v>99</v>
      </c>
      <c r="B36" s="53">
        <v>6786</v>
      </c>
      <c r="C36" s="53">
        <v>897064000</v>
      </c>
      <c r="D36" s="54">
        <v>1.7634570536191985</v>
      </c>
      <c r="F36" s="53" t="s">
        <v>99</v>
      </c>
      <c r="G36" s="55">
        <v>6786</v>
      </c>
      <c r="H36" s="55">
        <v>897064000</v>
      </c>
    </row>
    <row r="37" spans="1:8" x14ac:dyDescent="0.3">
      <c r="A37" s="53" t="s">
        <v>101</v>
      </c>
      <c r="B37" s="53">
        <v>1102</v>
      </c>
      <c r="C37" s="53">
        <v>263488000</v>
      </c>
      <c r="D37" s="54">
        <v>1.7138732180548109</v>
      </c>
      <c r="F37" s="53" t="s">
        <v>101</v>
      </c>
      <c r="G37" s="55">
        <v>1102</v>
      </c>
      <c r="H37" s="55">
        <v>263488000</v>
      </c>
    </row>
    <row r="38" spans="1:8" x14ac:dyDescent="0.3">
      <c r="A38" s="53" t="s">
        <v>135</v>
      </c>
      <c r="B38" s="53">
        <v>483</v>
      </c>
      <c r="C38" s="53">
        <v>180838000</v>
      </c>
      <c r="D38" s="54">
        <v>1.6874973981553978</v>
      </c>
      <c r="F38" s="53" t="s">
        <v>135</v>
      </c>
      <c r="G38" s="55">
        <v>483</v>
      </c>
      <c r="H38" s="55">
        <v>180838000</v>
      </c>
    </row>
    <row r="39" spans="1:8" x14ac:dyDescent="0.3">
      <c r="A39" s="53" t="s">
        <v>136</v>
      </c>
      <c r="B39" s="53">
        <v>216</v>
      </c>
      <c r="C39" s="53">
        <v>173042000</v>
      </c>
      <c r="D39" s="54">
        <v>1.6022407407407406</v>
      </c>
      <c r="F39" s="53" t="s">
        <v>136</v>
      </c>
      <c r="G39" s="55">
        <v>216</v>
      </c>
      <c r="H39" s="55">
        <v>173042000</v>
      </c>
    </row>
    <row r="40" spans="1:8" x14ac:dyDescent="0.3">
      <c r="A40" s="51" t="s">
        <v>56</v>
      </c>
      <c r="B40" s="51" t="s">
        <v>66</v>
      </c>
      <c r="C40" s="51" t="s">
        <v>67</v>
      </c>
      <c r="D40" s="52" t="s">
        <v>59</v>
      </c>
      <c r="G40" s="2"/>
      <c r="H40" s="2"/>
    </row>
    <row r="41" spans="1:8" x14ac:dyDescent="0.3">
      <c r="A41" s="53" t="s">
        <v>117</v>
      </c>
      <c r="B41" s="53">
        <v>35787</v>
      </c>
      <c r="C41" s="53">
        <v>285699000</v>
      </c>
      <c r="D41" s="54">
        <v>1.7720837099763973</v>
      </c>
      <c r="F41" s="53" t="s">
        <v>117</v>
      </c>
      <c r="G41" s="55">
        <v>35787</v>
      </c>
      <c r="H41" s="55">
        <v>285699000</v>
      </c>
    </row>
    <row r="42" spans="1:8" x14ac:dyDescent="0.3">
      <c r="A42" s="53" t="s">
        <v>133</v>
      </c>
      <c r="B42" s="53">
        <v>14268</v>
      </c>
      <c r="C42" s="53">
        <v>170529000</v>
      </c>
      <c r="D42" s="54">
        <v>1.7281472210092197</v>
      </c>
      <c r="F42" s="53" t="s">
        <v>133</v>
      </c>
      <c r="G42" s="55">
        <v>14268</v>
      </c>
      <c r="H42" s="55">
        <v>170529000</v>
      </c>
    </row>
    <row r="43" spans="1:8" x14ac:dyDescent="0.3">
      <c r="A43" s="53" t="s">
        <v>96</v>
      </c>
      <c r="B43" s="53">
        <v>3868</v>
      </c>
      <c r="C43" s="53">
        <v>66031000</v>
      </c>
      <c r="D43" s="54">
        <v>1.804346245335823</v>
      </c>
      <c r="F43" s="53" t="s">
        <v>96</v>
      </c>
      <c r="G43" s="55">
        <v>3868</v>
      </c>
      <c r="H43" s="55">
        <v>66031000</v>
      </c>
    </row>
    <row r="44" spans="1:8" x14ac:dyDescent="0.3">
      <c r="A44" s="53" t="s">
        <v>134</v>
      </c>
      <c r="B44" s="53">
        <v>2821</v>
      </c>
      <c r="C44" s="53">
        <v>71128000</v>
      </c>
      <c r="D44" s="54">
        <v>1.846073654442822</v>
      </c>
      <c r="F44" s="53" t="s">
        <v>134</v>
      </c>
      <c r="G44" s="55">
        <v>2821</v>
      </c>
      <c r="H44" s="55">
        <v>71128000</v>
      </c>
    </row>
    <row r="45" spans="1:8" x14ac:dyDescent="0.3">
      <c r="A45" s="53" t="s">
        <v>153</v>
      </c>
      <c r="B45" s="53">
        <v>483</v>
      </c>
      <c r="C45" s="53">
        <v>19118000</v>
      </c>
      <c r="D45" s="54">
        <v>1.9078870709451763</v>
      </c>
      <c r="F45" s="53" t="s">
        <v>153</v>
      </c>
      <c r="G45" s="55">
        <v>483</v>
      </c>
      <c r="H45" s="55">
        <v>19118000</v>
      </c>
    </row>
    <row r="46" spans="1:8" x14ac:dyDescent="0.3">
      <c r="A46" s="53" t="s">
        <v>154</v>
      </c>
      <c r="B46" s="53">
        <v>377</v>
      </c>
      <c r="C46" s="53">
        <v>20472000</v>
      </c>
      <c r="D46" s="54">
        <v>1.9512463896911798</v>
      </c>
      <c r="F46" s="53" t="s">
        <v>154</v>
      </c>
      <c r="G46" s="55">
        <v>377</v>
      </c>
      <c r="H46" s="55">
        <v>20472000</v>
      </c>
    </row>
    <row r="47" spans="1:8" x14ac:dyDescent="0.3">
      <c r="A47" s="53" t="s">
        <v>155</v>
      </c>
      <c r="B47" s="53">
        <v>128</v>
      </c>
      <c r="C47" s="53">
        <v>10399000</v>
      </c>
      <c r="D47" s="54">
        <v>1.9823780934520874</v>
      </c>
      <c r="F47" s="53" t="s">
        <v>155</v>
      </c>
      <c r="G47" s="55">
        <v>128</v>
      </c>
      <c r="H47" s="55">
        <v>10399000</v>
      </c>
    </row>
    <row r="48" spans="1:8" x14ac:dyDescent="0.3">
      <c r="A48" s="53" t="s">
        <v>99</v>
      </c>
      <c r="B48" s="53">
        <v>91</v>
      </c>
      <c r="C48" s="53">
        <v>12097000</v>
      </c>
      <c r="D48" s="54">
        <v>2.0014665200146653</v>
      </c>
      <c r="F48" s="53" t="s">
        <v>99</v>
      </c>
      <c r="G48" s="55">
        <v>91</v>
      </c>
      <c r="H48" s="55">
        <v>12097000</v>
      </c>
    </row>
    <row r="49" spans="1:8" x14ac:dyDescent="0.3">
      <c r="A49" s="53" t="s">
        <v>101</v>
      </c>
      <c r="B49" s="53">
        <v>14</v>
      </c>
      <c r="C49" s="53">
        <v>3315000</v>
      </c>
      <c r="D49" s="54">
        <v>2.0555868758286224</v>
      </c>
      <c r="F49" s="53" t="s">
        <v>101</v>
      </c>
      <c r="G49" s="55">
        <v>14</v>
      </c>
      <c r="H49" s="55">
        <v>3315000</v>
      </c>
    </row>
    <row r="50" spans="1:8" x14ac:dyDescent="0.3">
      <c r="A50" s="53" t="s">
        <v>135</v>
      </c>
      <c r="B50" s="53">
        <v>9</v>
      </c>
      <c r="C50" s="53">
        <v>3585000</v>
      </c>
      <c r="D50" s="54">
        <v>1.9128251280512871</v>
      </c>
      <c r="F50" s="53" t="s">
        <v>135</v>
      </c>
      <c r="G50" s="55">
        <v>9</v>
      </c>
      <c r="H50" s="55">
        <v>3585000</v>
      </c>
    </row>
    <row r="51" spans="1:8" x14ac:dyDescent="0.3">
      <c r="A51" s="53" t="s">
        <v>136</v>
      </c>
      <c r="B51" s="53">
        <v>6</v>
      </c>
      <c r="C51" s="53">
        <v>5023000</v>
      </c>
      <c r="D51" s="54">
        <v>1.6743333333333332</v>
      </c>
      <c r="F51" s="53" t="s">
        <v>136</v>
      </c>
      <c r="G51" s="55">
        <v>6</v>
      </c>
      <c r="H51" s="55">
        <v>5023000</v>
      </c>
    </row>
    <row r="52" spans="1:8" x14ac:dyDescent="0.3">
      <c r="A52" s="51" t="s">
        <v>56</v>
      </c>
      <c r="B52" s="51" t="s">
        <v>68</v>
      </c>
      <c r="C52" s="51" t="s">
        <v>69</v>
      </c>
      <c r="D52" s="52" t="s">
        <v>59</v>
      </c>
      <c r="E52">
        <v>6800</v>
      </c>
      <c r="G52" s="2"/>
      <c r="H52" s="2"/>
    </row>
    <row r="53" spans="1:8" x14ac:dyDescent="0.3">
      <c r="A53" s="53" t="s">
        <v>156</v>
      </c>
      <c r="B53" s="53"/>
      <c r="C53" s="53"/>
      <c r="D53" s="54"/>
      <c r="F53" s="53" t="s">
        <v>117</v>
      </c>
      <c r="G53" s="2">
        <v>702210.58644818421</v>
      </c>
      <c r="H53" s="2">
        <v>5730379643.1481714</v>
      </c>
    </row>
    <row r="54" spans="1:8" x14ac:dyDescent="0.3">
      <c r="A54" s="53" t="s">
        <v>133</v>
      </c>
      <c r="B54" s="53">
        <v>548559</v>
      </c>
      <c r="C54" s="53">
        <v>6703500000</v>
      </c>
      <c r="D54" s="54">
        <v>1.8638177118413271</v>
      </c>
      <c r="F54" s="53" t="s">
        <v>133</v>
      </c>
      <c r="G54" s="55">
        <v>548559</v>
      </c>
      <c r="H54" s="55">
        <v>6703500000</v>
      </c>
    </row>
    <row r="55" spans="1:8" x14ac:dyDescent="0.3">
      <c r="A55" s="53" t="s">
        <v>96</v>
      </c>
      <c r="B55" s="53">
        <v>251743</v>
      </c>
      <c r="C55" s="53">
        <v>4317712000</v>
      </c>
      <c r="D55" s="54">
        <v>1.7044403730780753</v>
      </c>
      <c r="F55" s="53" t="s">
        <v>96</v>
      </c>
      <c r="G55" s="55">
        <v>251743</v>
      </c>
      <c r="H55" s="55">
        <v>4317712000</v>
      </c>
    </row>
    <row r="56" spans="1:8" x14ac:dyDescent="0.3">
      <c r="A56" s="53" t="s">
        <v>134</v>
      </c>
      <c r="B56" s="53">
        <v>193225</v>
      </c>
      <c r="C56" s="53">
        <v>4865931000</v>
      </c>
      <c r="D56" s="54">
        <v>1.6897411508049398</v>
      </c>
      <c r="F56" s="53" t="s">
        <v>134</v>
      </c>
      <c r="G56" s="55">
        <v>193225</v>
      </c>
      <c r="H56" s="55">
        <v>4865931000</v>
      </c>
    </row>
    <row r="57" spans="1:8" x14ac:dyDescent="0.3">
      <c r="A57" s="53" t="s">
        <v>153</v>
      </c>
      <c r="B57" s="53">
        <v>29424</v>
      </c>
      <c r="C57" s="53">
        <v>1157480000</v>
      </c>
      <c r="D57" s="54">
        <v>1.701073146515742</v>
      </c>
      <c r="F57" s="53" t="s">
        <v>153</v>
      </c>
      <c r="G57" s="55">
        <v>29424</v>
      </c>
      <c r="H57" s="55">
        <v>1157480000</v>
      </c>
    </row>
    <row r="58" spans="1:8" x14ac:dyDescent="0.3">
      <c r="A58" s="53" t="s">
        <v>154</v>
      </c>
      <c r="B58" s="53">
        <v>22935</v>
      </c>
      <c r="C58" s="53">
        <v>1252240000</v>
      </c>
      <c r="D58" s="54">
        <v>1.6970561138721816</v>
      </c>
      <c r="F58" s="53" t="s">
        <v>154</v>
      </c>
      <c r="G58" s="55">
        <v>22935</v>
      </c>
      <c r="H58" s="55">
        <v>1252240000</v>
      </c>
    </row>
    <row r="59" spans="1:8" x14ac:dyDescent="0.3">
      <c r="A59" s="53" t="s">
        <v>155</v>
      </c>
      <c r="B59" s="53">
        <v>7262</v>
      </c>
      <c r="C59" s="53">
        <v>595157000</v>
      </c>
      <c r="D59" s="54">
        <v>1.6661255137835149</v>
      </c>
      <c r="F59" s="53" t="s">
        <v>155</v>
      </c>
      <c r="G59" s="55">
        <v>7262</v>
      </c>
      <c r="H59" s="55">
        <v>595157000</v>
      </c>
    </row>
    <row r="60" spans="1:8" x14ac:dyDescent="0.3">
      <c r="A60" s="53" t="s">
        <v>99</v>
      </c>
      <c r="B60" s="53">
        <v>4290</v>
      </c>
      <c r="C60" s="53">
        <v>560378000</v>
      </c>
      <c r="D60" s="54">
        <v>1.6556483434795604</v>
      </c>
      <c r="F60" s="53" t="s">
        <v>99</v>
      </c>
      <c r="G60" s="55">
        <v>4290</v>
      </c>
      <c r="H60" s="55">
        <v>560378000</v>
      </c>
    </row>
    <row r="61" spans="1:8" x14ac:dyDescent="0.3">
      <c r="A61" s="53" t="s">
        <v>101</v>
      </c>
      <c r="B61" s="53">
        <v>556</v>
      </c>
      <c r="C61" s="53">
        <v>132808000</v>
      </c>
      <c r="D61" s="54">
        <v>1.7017505768068242</v>
      </c>
      <c r="F61" s="53" t="s">
        <v>101</v>
      </c>
      <c r="G61" s="55">
        <v>556</v>
      </c>
      <c r="H61" s="55">
        <v>132808000</v>
      </c>
    </row>
    <row r="62" spans="1:8" x14ac:dyDescent="0.3">
      <c r="A62" s="53" t="s">
        <v>135</v>
      </c>
      <c r="B62" s="53">
        <v>202</v>
      </c>
      <c r="C62" s="53">
        <v>76405000</v>
      </c>
      <c r="D62" s="54">
        <v>1.7574138257201581</v>
      </c>
      <c r="F62" s="53" t="s">
        <v>135</v>
      </c>
      <c r="G62" s="55">
        <v>202</v>
      </c>
      <c r="H62" s="55">
        <v>76405000</v>
      </c>
    </row>
    <row r="63" spans="1:8" x14ac:dyDescent="0.3">
      <c r="A63" s="53" t="s">
        <v>136</v>
      </c>
      <c r="B63" s="53">
        <v>100</v>
      </c>
      <c r="C63" s="53">
        <v>82822000</v>
      </c>
      <c r="D63" s="54">
        <v>1.6564399999999999</v>
      </c>
      <c r="F63" s="53" t="s">
        <v>136</v>
      </c>
      <c r="G63" s="55">
        <v>100</v>
      </c>
      <c r="H63" s="55">
        <v>82822000</v>
      </c>
    </row>
    <row r="64" spans="1:8" x14ac:dyDescent="0.3">
      <c r="A64" s="51" t="s">
        <v>56</v>
      </c>
      <c r="B64" s="51" t="s">
        <v>70</v>
      </c>
      <c r="C64" s="51" t="s">
        <v>71</v>
      </c>
      <c r="D64" s="52" t="s">
        <v>59</v>
      </c>
      <c r="E64">
        <v>8000</v>
      </c>
      <c r="G64" s="2"/>
      <c r="H64" s="2"/>
    </row>
    <row r="65" spans="1:8" x14ac:dyDescent="0.3">
      <c r="A65" s="53" t="s">
        <v>157</v>
      </c>
      <c r="B65" s="53"/>
      <c r="C65" s="53"/>
      <c r="D65" s="54"/>
      <c r="F65" s="53" t="s">
        <v>117</v>
      </c>
      <c r="G65" s="2">
        <v>491877.29238263948</v>
      </c>
      <c r="H65" s="2">
        <v>4013957746.5688133</v>
      </c>
    </row>
    <row r="66" spans="1:8" x14ac:dyDescent="0.3">
      <c r="A66" s="53" t="s">
        <v>133</v>
      </c>
      <c r="B66" s="53">
        <v>384249</v>
      </c>
      <c r="C66" s="53">
        <v>4679622000</v>
      </c>
      <c r="D66" s="54">
        <v>2.0274180193136893</v>
      </c>
      <c r="F66" s="53" t="s">
        <v>133</v>
      </c>
      <c r="G66" s="55">
        <v>384249</v>
      </c>
      <c r="H66" s="55">
        <v>4679622000</v>
      </c>
    </row>
    <row r="67" spans="1:8" x14ac:dyDescent="0.3">
      <c r="A67" s="53" t="s">
        <v>96</v>
      </c>
      <c r="B67" s="53">
        <v>174442</v>
      </c>
      <c r="C67" s="53">
        <v>3001839000</v>
      </c>
      <c r="D67" s="54">
        <v>1.8626170887103279</v>
      </c>
      <c r="F67" s="53" t="s">
        <v>96</v>
      </c>
      <c r="G67" s="55">
        <v>174442</v>
      </c>
      <c r="H67" s="55">
        <v>3001839000</v>
      </c>
    </row>
    <row r="68" spans="1:8" x14ac:dyDescent="0.3">
      <c r="A68" s="53" t="s">
        <v>134</v>
      </c>
      <c r="B68" s="53">
        <v>162842</v>
      </c>
      <c r="C68" s="53">
        <v>4156314000</v>
      </c>
      <c r="D68" s="54">
        <v>1.8002762514979354</v>
      </c>
      <c r="F68" s="53" t="s">
        <v>134</v>
      </c>
      <c r="G68" s="55">
        <v>162842</v>
      </c>
      <c r="H68" s="55">
        <v>4156314000</v>
      </c>
    </row>
    <row r="69" spans="1:8" x14ac:dyDescent="0.3">
      <c r="A69" s="53" t="s">
        <v>153</v>
      </c>
      <c r="B69" s="53">
        <v>30154</v>
      </c>
      <c r="C69" s="53">
        <v>1188179000</v>
      </c>
      <c r="D69" s="54">
        <v>1.7301558893162861</v>
      </c>
      <c r="F69" s="53" t="s">
        <v>153</v>
      </c>
      <c r="G69" s="55">
        <v>30154</v>
      </c>
      <c r="H69" s="55">
        <v>1188179000</v>
      </c>
    </row>
    <row r="70" spans="1:8" x14ac:dyDescent="0.3">
      <c r="A70" s="53" t="s">
        <v>154</v>
      </c>
      <c r="B70" s="53">
        <v>25449</v>
      </c>
      <c r="C70" s="53">
        <v>1392147000</v>
      </c>
      <c r="D70" s="54">
        <v>1.7048457167203621</v>
      </c>
      <c r="F70" s="53" t="s">
        <v>154</v>
      </c>
      <c r="G70" s="55">
        <v>25449</v>
      </c>
      <c r="H70" s="55">
        <v>1392147000</v>
      </c>
    </row>
    <row r="71" spans="1:8" x14ac:dyDescent="0.3">
      <c r="A71" s="53" t="s">
        <v>155</v>
      </c>
      <c r="B71" s="53">
        <v>8527</v>
      </c>
      <c r="C71" s="53">
        <v>700757000</v>
      </c>
      <c r="D71" s="54">
        <v>1.6662313227440526</v>
      </c>
      <c r="F71" s="53" t="s">
        <v>155</v>
      </c>
      <c r="G71" s="55">
        <v>8527</v>
      </c>
      <c r="H71" s="55">
        <v>700757000</v>
      </c>
    </row>
    <row r="72" spans="1:8" x14ac:dyDescent="0.3">
      <c r="A72" s="53" t="s">
        <v>99</v>
      </c>
      <c r="B72" s="53">
        <v>4895</v>
      </c>
      <c r="C72" s="53">
        <v>635418000</v>
      </c>
      <c r="D72" s="54">
        <v>1.6989585694447407</v>
      </c>
      <c r="F72" s="53" t="s">
        <v>99</v>
      </c>
      <c r="G72" s="55">
        <v>4895</v>
      </c>
      <c r="H72" s="55">
        <v>635418000</v>
      </c>
    </row>
    <row r="73" spans="1:8" x14ac:dyDescent="0.3">
      <c r="A73" s="53" t="s">
        <v>101</v>
      </c>
      <c r="B73" s="53">
        <v>289</v>
      </c>
      <c r="C73" s="53">
        <v>139506000</v>
      </c>
      <c r="D73" s="54">
        <v>2.4224029183156226</v>
      </c>
      <c r="F73" s="53" t="s">
        <v>101</v>
      </c>
      <c r="G73" s="55">
        <v>289</v>
      </c>
      <c r="H73" s="55">
        <v>139506000</v>
      </c>
    </row>
    <row r="74" spans="1:8" x14ac:dyDescent="0.3">
      <c r="A74" s="53" t="s">
        <v>135</v>
      </c>
      <c r="B74" s="53">
        <v>241</v>
      </c>
      <c r="C74" s="53">
        <v>88429000</v>
      </c>
      <c r="D74" s="54">
        <v>1.6200952505563246</v>
      </c>
      <c r="F74" s="53" t="s">
        <v>135</v>
      </c>
      <c r="G74" s="55">
        <v>241</v>
      </c>
      <c r="H74" s="55">
        <v>88429000</v>
      </c>
    </row>
    <row r="75" spans="1:8" x14ac:dyDescent="0.3">
      <c r="A75" s="53" t="s">
        <v>136</v>
      </c>
      <c r="B75" s="53">
        <v>94</v>
      </c>
      <c r="C75" s="53">
        <v>74396000</v>
      </c>
      <c r="D75" s="54">
        <v>1.5828936170212766</v>
      </c>
      <c r="F75" s="53" t="s">
        <v>136</v>
      </c>
      <c r="G75" s="55">
        <v>94</v>
      </c>
      <c r="H75" s="55">
        <v>74396000</v>
      </c>
    </row>
    <row r="76" spans="1:8" x14ac:dyDescent="0.3">
      <c r="A76" s="51" t="s">
        <v>56</v>
      </c>
      <c r="B76" s="51" t="s">
        <v>72</v>
      </c>
      <c r="C76" s="51" t="s">
        <v>73</v>
      </c>
      <c r="D76" s="52" t="s">
        <v>59</v>
      </c>
      <c r="E76">
        <v>9200</v>
      </c>
      <c r="G76" s="2"/>
      <c r="H76" s="2"/>
    </row>
    <row r="77" spans="1:8" x14ac:dyDescent="0.3">
      <c r="A77" s="53" t="s">
        <v>158</v>
      </c>
      <c r="B77" s="53"/>
      <c r="C77" s="53"/>
      <c r="D77" s="54"/>
      <c r="F77" s="53" t="s">
        <v>117</v>
      </c>
      <c r="G77" s="2">
        <v>164940.93445527015</v>
      </c>
      <c r="H77" s="2">
        <v>1345998182.5467122</v>
      </c>
    </row>
    <row r="78" spans="1:8" x14ac:dyDescent="0.3">
      <c r="A78" s="53" t="s">
        <v>133</v>
      </c>
      <c r="B78" s="53">
        <v>128850</v>
      </c>
      <c r="C78" s="53">
        <v>1644778000</v>
      </c>
      <c r="D78" s="54">
        <v>2.3302442411827635</v>
      </c>
      <c r="F78" s="53" t="s">
        <v>133</v>
      </c>
      <c r="G78" s="55">
        <v>128850</v>
      </c>
      <c r="H78" s="55">
        <v>1644778000</v>
      </c>
    </row>
    <row r="79" spans="1:8" x14ac:dyDescent="0.3">
      <c r="A79" s="53" t="s">
        <v>96</v>
      </c>
      <c r="B79" s="53">
        <v>75602</v>
      </c>
      <c r="C79" s="53">
        <v>1300599000</v>
      </c>
      <c r="D79" s="54">
        <v>2.0186628354802716</v>
      </c>
      <c r="F79" s="53" t="s">
        <v>96</v>
      </c>
      <c r="G79" s="55">
        <v>75602</v>
      </c>
      <c r="H79" s="55">
        <v>1300599000</v>
      </c>
    </row>
    <row r="80" spans="1:8" x14ac:dyDescent="0.3">
      <c r="A80" s="53" t="s">
        <v>134</v>
      </c>
      <c r="B80" s="53">
        <v>77640</v>
      </c>
      <c r="C80" s="53">
        <v>1999937000</v>
      </c>
      <c r="D80" s="54">
        <v>1.9283177061890799</v>
      </c>
      <c r="F80" s="53" t="s">
        <v>134</v>
      </c>
      <c r="G80" s="55">
        <v>77640</v>
      </c>
      <c r="H80" s="55">
        <v>1999937000</v>
      </c>
    </row>
    <row r="81" spans="1:8" x14ac:dyDescent="0.3">
      <c r="A81" s="53" t="s">
        <v>153</v>
      </c>
      <c r="B81" s="53">
        <v>16915</v>
      </c>
      <c r="C81" s="53">
        <v>667473000</v>
      </c>
      <c r="D81" s="54">
        <v>1.7815887879595211</v>
      </c>
      <c r="F81" s="53" t="s">
        <v>153</v>
      </c>
      <c r="G81" s="55">
        <v>16915</v>
      </c>
      <c r="H81" s="55">
        <v>667473000</v>
      </c>
    </row>
    <row r="82" spans="1:8" x14ac:dyDescent="0.3">
      <c r="A82" s="53" t="s">
        <v>154</v>
      </c>
      <c r="B82" s="53">
        <v>15387</v>
      </c>
      <c r="C82" s="53">
        <v>846493000</v>
      </c>
      <c r="D82" s="54">
        <v>1.7309054082859581</v>
      </c>
      <c r="F82" s="53" t="s">
        <v>154</v>
      </c>
      <c r="G82" s="55">
        <v>15387</v>
      </c>
      <c r="H82" s="55">
        <v>846493000</v>
      </c>
    </row>
    <row r="83" spans="1:8" x14ac:dyDescent="0.3">
      <c r="A83" s="53" t="s">
        <v>155</v>
      </c>
      <c r="B83" s="53">
        <v>5642</v>
      </c>
      <c r="C83" s="53">
        <v>464314000</v>
      </c>
      <c r="D83" s="54">
        <v>1.6390448419819668</v>
      </c>
      <c r="F83" s="53" t="s">
        <v>155</v>
      </c>
      <c r="G83" s="55">
        <v>5642</v>
      </c>
      <c r="H83" s="55">
        <v>464314000</v>
      </c>
    </row>
    <row r="84" spans="1:8" x14ac:dyDescent="0.3">
      <c r="A84" s="53" t="s">
        <v>99</v>
      </c>
      <c r="B84" s="53">
        <v>3275</v>
      </c>
      <c r="C84" s="53">
        <v>426600000</v>
      </c>
      <c r="D84" s="54">
        <v>1.614432944460656</v>
      </c>
      <c r="F84" s="53" t="s">
        <v>99</v>
      </c>
      <c r="G84" s="55">
        <v>3275</v>
      </c>
      <c r="H84" s="55">
        <v>426600000</v>
      </c>
    </row>
    <row r="85" spans="1:8" x14ac:dyDescent="0.3">
      <c r="A85" s="53" t="s">
        <v>101</v>
      </c>
      <c r="B85" s="53">
        <v>427</v>
      </c>
      <c r="C85" s="53">
        <v>101384000</v>
      </c>
      <c r="D85" s="54">
        <v>1.5993076315176489</v>
      </c>
      <c r="F85" s="53" t="s">
        <v>101</v>
      </c>
      <c r="G85" s="55">
        <v>427</v>
      </c>
      <c r="H85" s="55">
        <v>101384000</v>
      </c>
    </row>
    <row r="86" spans="1:8" x14ac:dyDescent="0.3">
      <c r="A86" s="53" t="s">
        <v>135</v>
      </c>
      <c r="B86" s="53">
        <v>166</v>
      </c>
      <c r="C86" s="53">
        <v>61624000</v>
      </c>
      <c r="D86" s="54">
        <v>1.6044878014769539</v>
      </c>
      <c r="F86" s="53" t="s">
        <v>135</v>
      </c>
      <c r="G86" s="55">
        <v>166</v>
      </c>
      <c r="H86" s="55">
        <v>61624000</v>
      </c>
    </row>
    <row r="87" spans="1:8" x14ac:dyDescent="0.3">
      <c r="A87" s="53" t="s">
        <v>136</v>
      </c>
      <c r="B87" s="53">
        <v>52</v>
      </c>
      <c r="C87" s="53">
        <v>43313000</v>
      </c>
      <c r="D87" s="54">
        <v>1.6658846153846154</v>
      </c>
      <c r="F87" s="53" t="s">
        <v>136</v>
      </c>
      <c r="G87" s="55">
        <v>52</v>
      </c>
      <c r="H87" s="55">
        <v>43313000</v>
      </c>
    </row>
    <row r="88" spans="1:8" x14ac:dyDescent="0.3">
      <c r="A88" s="51" t="s">
        <v>56</v>
      </c>
      <c r="B88" s="51" t="s">
        <v>74</v>
      </c>
      <c r="C88" s="51" t="s">
        <v>75</v>
      </c>
      <c r="D88" s="52" t="s">
        <v>59</v>
      </c>
      <c r="E88">
        <v>10400</v>
      </c>
      <c r="G88" s="2"/>
      <c r="H88" s="2"/>
    </row>
    <row r="89" spans="1:8" x14ac:dyDescent="0.3">
      <c r="A89" s="53" t="s">
        <v>159</v>
      </c>
      <c r="B89" s="53"/>
      <c r="C89" s="53"/>
      <c r="D89" s="54"/>
      <c r="F89" s="53" t="s">
        <v>117</v>
      </c>
      <c r="G89" s="2">
        <v>64589.248492741892</v>
      </c>
      <c r="H89" s="2">
        <v>527079656.5473851</v>
      </c>
    </row>
    <row r="90" spans="1:8" x14ac:dyDescent="0.3">
      <c r="A90" s="53" t="s">
        <v>133</v>
      </c>
      <c r="B90" s="53"/>
      <c r="C90" s="53"/>
      <c r="D90" s="54"/>
      <c r="F90" s="53" t="s">
        <v>133</v>
      </c>
      <c r="G90" s="2">
        <v>50456.393349382291</v>
      </c>
      <c r="H90" s="2">
        <v>644078895.92867923</v>
      </c>
    </row>
    <row r="91" spans="1:8" x14ac:dyDescent="0.3">
      <c r="A91" s="53" t="s">
        <v>96</v>
      </c>
      <c r="B91" s="53">
        <v>29605</v>
      </c>
      <c r="C91" s="53">
        <v>508141000</v>
      </c>
      <c r="D91" s="54">
        <v>2.1227955307575499</v>
      </c>
      <c r="F91" s="53" t="s">
        <v>96</v>
      </c>
      <c r="G91" s="55">
        <v>29605</v>
      </c>
      <c r="H91" s="55">
        <v>508141000</v>
      </c>
    </row>
    <row r="92" spans="1:8" x14ac:dyDescent="0.3">
      <c r="A92" s="53" t="s">
        <v>134</v>
      </c>
      <c r="B92" s="53">
        <v>31087</v>
      </c>
      <c r="C92" s="53">
        <v>804515000</v>
      </c>
      <c r="D92" s="54">
        <v>2.0229120457885923</v>
      </c>
      <c r="F92" s="53" t="s">
        <v>134</v>
      </c>
      <c r="G92" s="55">
        <v>31087</v>
      </c>
      <c r="H92" s="55">
        <v>804515000</v>
      </c>
    </row>
    <row r="93" spans="1:8" x14ac:dyDescent="0.3">
      <c r="A93" s="53" t="s">
        <v>153</v>
      </c>
      <c r="B93" s="53">
        <v>7513</v>
      </c>
      <c r="C93" s="53">
        <v>296968000</v>
      </c>
      <c r="D93" s="54">
        <v>1.8235743541384033</v>
      </c>
      <c r="F93" s="53" t="s">
        <v>153</v>
      </c>
      <c r="G93" s="55">
        <v>7513</v>
      </c>
      <c r="H93" s="55">
        <v>296968000</v>
      </c>
    </row>
    <row r="94" spans="1:8" x14ac:dyDescent="0.3">
      <c r="A94" s="53" t="s">
        <v>154</v>
      </c>
      <c r="B94" s="53">
        <v>7170</v>
      </c>
      <c r="C94" s="53">
        <v>395044000</v>
      </c>
      <c r="D94" s="54">
        <v>1.7591870506821765</v>
      </c>
      <c r="F94" s="53" t="s">
        <v>154</v>
      </c>
      <c r="G94" s="55">
        <v>7170</v>
      </c>
      <c r="H94" s="55">
        <v>395044000</v>
      </c>
    </row>
    <row r="95" spans="1:8" x14ac:dyDescent="0.3">
      <c r="A95" s="53" t="s">
        <v>155</v>
      </c>
      <c r="B95" s="53">
        <v>2735</v>
      </c>
      <c r="C95" s="53">
        <v>225419000</v>
      </c>
      <c r="D95" s="54">
        <v>1.6512571606292059</v>
      </c>
      <c r="F95" s="53" t="s">
        <v>155</v>
      </c>
      <c r="G95" s="55">
        <v>2735</v>
      </c>
      <c r="H95" s="55">
        <v>225419000</v>
      </c>
    </row>
    <row r="96" spans="1:8" x14ac:dyDescent="0.3">
      <c r="A96" s="53" t="s">
        <v>99</v>
      </c>
      <c r="B96" s="53">
        <v>1698</v>
      </c>
      <c r="C96" s="53">
        <v>222134000</v>
      </c>
      <c r="D96" s="54">
        <v>1.6083237139895181</v>
      </c>
      <c r="F96" s="53" t="s">
        <v>99</v>
      </c>
      <c r="G96" s="55">
        <v>1698</v>
      </c>
      <c r="H96" s="55">
        <v>222134000</v>
      </c>
    </row>
    <row r="97" spans="1:8" x14ac:dyDescent="0.3">
      <c r="A97" s="53" t="s">
        <v>101</v>
      </c>
      <c r="B97" s="53">
        <v>195</v>
      </c>
      <c r="C97" s="53">
        <v>46964000</v>
      </c>
      <c r="D97" s="54">
        <v>1.6318664586251208</v>
      </c>
      <c r="F97" s="53" t="s">
        <v>101</v>
      </c>
      <c r="G97" s="55">
        <v>195</v>
      </c>
      <c r="H97" s="55">
        <v>46964000</v>
      </c>
    </row>
    <row r="98" spans="1:8" x14ac:dyDescent="0.3">
      <c r="A98" s="53" t="s">
        <v>135</v>
      </c>
      <c r="B98" s="53">
        <v>82</v>
      </c>
      <c r="C98" s="53">
        <v>30584000</v>
      </c>
      <c r="D98" s="54">
        <v>1.5800063301724752</v>
      </c>
      <c r="F98" s="53" t="s">
        <v>135</v>
      </c>
      <c r="G98" s="55">
        <v>82</v>
      </c>
      <c r="H98" s="55">
        <v>30584000</v>
      </c>
    </row>
    <row r="99" spans="1:8" x14ac:dyDescent="0.3">
      <c r="A99" s="53" t="s">
        <v>136</v>
      </c>
      <c r="B99" s="53">
        <v>31</v>
      </c>
      <c r="C99" s="53">
        <v>22980000</v>
      </c>
      <c r="D99" s="54">
        <v>1.4825806451612904</v>
      </c>
      <c r="F99" s="53" t="s">
        <v>136</v>
      </c>
      <c r="G99" s="55">
        <v>31</v>
      </c>
      <c r="H99" s="55">
        <v>22980000</v>
      </c>
    </row>
    <row r="100" spans="1:8" x14ac:dyDescent="0.3">
      <c r="A100" s="51" t="s">
        <v>56</v>
      </c>
      <c r="B100" s="51" t="s">
        <v>76</v>
      </c>
      <c r="C100" s="51" t="s">
        <v>77</v>
      </c>
      <c r="D100" s="52" t="s">
        <v>59</v>
      </c>
      <c r="E100">
        <v>11600</v>
      </c>
      <c r="G100" s="2"/>
      <c r="H100" s="2"/>
    </row>
    <row r="101" spans="1:8" x14ac:dyDescent="0.3">
      <c r="A101" s="53" t="s">
        <v>117</v>
      </c>
      <c r="B101" s="53"/>
      <c r="C101" s="53"/>
      <c r="D101" s="54"/>
      <c r="F101" s="53" t="s">
        <v>117</v>
      </c>
      <c r="G101" s="2">
        <v>26394.214769977756</v>
      </c>
      <c r="H101" s="2">
        <v>215389619.48691997</v>
      </c>
    </row>
    <row r="102" spans="1:8" x14ac:dyDescent="0.3">
      <c r="A102" s="53" t="s">
        <v>160</v>
      </c>
      <c r="B102" s="53"/>
      <c r="C102" s="53"/>
      <c r="D102" s="54"/>
      <c r="F102" s="53" t="s">
        <v>133</v>
      </c>
      <c r="G102" s="2">
        <v>20618.863257585777</v>
      </c>
      <c r="H102" s="2">
        <v>263201029.65530014</v>
      </c>
    </row>
    <row r="103" spans="1:8" x14ac:dyDescent="0.3">
      <c r="A103" s="53" t="s">
        <v>96</v>
      </c>
      <c r="B103" s="53">
        <v>12098</v>
      </c>
      <c r="C103" s="53">
        <v>207774000</v>
      </c>
      <c r="D103" s="54">
        <v>2.1893443260391203</v>
      </c>
      <c r="F103" s="53" t="s">
        <v>96</v>
      </c>
      <c r="G103" s="55">
        <v>12098</v>
      </c>
      <c r="H103" s="55">
        <v>207774000</v>
      </c>
    </row>
    <row r="104" spans="1:8" x14ac:dyDescent="0.3">
      <c r="A104" s="53" t="s">
        <v>134</v>
      </c>
      <c r="B104" s="53">
        <v>11975</v>
      </c>
      <c r="C104" s="53">
        <v>311381000</v>
      </c>
      <c r="D104" s="54">
        <v>2.1086870018963766</v>
      </c>
      <c r="F104" s="53" t="s">
        <v>134</v>
      </c>
      <c r="G104" s="55">
        <v>11975</v>
      </c>
      <c r="H104" s="55">
        <v>311381000</v>
      </c>
    </row>
    <row r="105" spans="1:8" x14ac:dyDescent="0.3">
      <c r="A105" s="53" t="s">
        <v>153</v>
      </c>
      <c r="B105" s="53">
        <v>3036</v>
      </c>
      <c r="C105" s="53">
        <v>119754000</v>
      </c>
      <c r="D105" s="54">
        <v>1.8676400519939611</v>
      </c>
      <c r="F105" s="53" t="s">
        <v>153</v>
      </c>
      <c r="G105" s="55">
        <v>3036</v>
      </c>
      <c r="H105" s="55">
        <v>119754000</v>
      </c>
    </row>
    <row r="106" spans="1:8" x14ac:dyDescent="0.3">
      <c r="A106" s="53" t="s">
        <v>154</v>
      </c>
      <c r="B106" s="53">
        <v>3171</v>
      </c>
      <c r="C106" s="53">
        <v>174751000</v>
      </c>
      <c r="D106" s="54">
        <v>1.7813005560579653</v>
      </c>
      <c r="F106" s="53" t="s">
        <v>154</v>
      </c>
      <c r="G106" s="55">
        <v>3171</v>
      </c>
      <c r="H106" s="55">
        <v>174751000</v>
      </c>
    </row>
    <row r="107" spans="1:8" x14ac:dyDescent="0.3">
      <c r="A107" s="53" t="s">
        <v>155</v>
      </c>
      <c r="B107" s="53">
        <v>1224</v>
      </c>
      <c r="C107" s="53">
        <v>101142000</v>
      </c>
      <c r="D107" s="54">
        <v>1.6723171394668781</v>
      </c>
      <c r="F107" s="53" t="s">
        <v>155</v>
      </c>
      <c r="G107" s="55">
        <v>1224</v>
      </c>
      <c r="H107" s="55">
        <v>101142000</v>
      </c>
    </row>
    <row r="108" spans="1:8" x14ac:dyDescent="0.3">
      <c r="A108" s="53" t="s">
        <v>99</v>
      </c>
      <c r="B108" s="53">
        <v>764</v>
      </c>
      <c r="C108" s="53">
        <v>100362000</v>
      </c>
      <c r="D108" s="54">
        <v>1.6239881388205266</v>
      </c>
      <c r="F108" s="53" t="s">
        <v>99</v>
      </c>
      <c r="G108" s="55">
        <v>764</v>
      </c>
      <c r="H108" s="55">
        <v>100362000</v>
      </c>
    </row>
    <row r="109" spans="1:8" x14ac:dyDescent="0.3">
      <c r="A109" s="53" t="s">
        <v>101</v>
      </c>
      <c r="B109" s="53">
        <v>108</v>
      </c>
      <c r="C109" s="53">
        <v>25716000</v>
      </c>
      <c r="D109" s="54">
        <v>1.5265501785151707</v>
      </c>
      <c r="F109" s="53" t="s">
        <v>101</v>
      </c>
      <c r="G109" s="55">
        <v>108</v>
      </c>
      <c r="H109" s="55">
        <v>25716000</v>
      </c>
    </row>
    <row r="110" spans="1:8" x14ac:dyDescent="0.3">
      <c r="A110" s="53" t="s">
        <v>135</v>
      </c>
      <c r="B110" s="53">
        <v>50</v>
      </c>
      <c r="C110" s="53">
        <v>18493000</v>
      </c>
      <c r="D110" s="54">
        <v>1.4348946989123352</v>
      </c>
      <c r="F110" s="53" t="s">
        <v>135</v>
      </c>
      <c r="G110" s="55">
        <v>50</v>
      </c>
      <c r="H110" s="55">
        <v>18493000</v>
      </c>
    </row>
    <row r="111" spans="1:8" x14ac:dyDescent="0.3">
      <c r="A111" s="53" t="s">
        <v>136</v>
      </c>
      <c r="B111" s="53">
        <v>8</v>
      </c>
      <c r="C111" s="53">
        <v>6475000</v>
      </c>
      <c r="D111" s="54">
        <v>1.6187499999999999</v>
      </c>
      <c r="F111" s="53" t="s">
        <v>136</v>
      </c>
      <c r="G111" s="55">
        <v>8</v>
      </c>
      <c r="H111" s="55">
        <v>6475000</v>
      </c>
    </row>
    <row r="112" spans="1:8" x14ac:dyDescent="0.3">
      <c r="A112" s="51" t="s">
        <v>56</v>
      </c>
      <c r="B112" s="51" t="s">
        <v>78</v>
      </c>
      <c r="C112" s="51" t="s">
        <v>79</v>
      </c>
      <c r="D112" s="52" t="s">
        <v>59</v>
      </c>
      <c r="E112">
        <v>12800</v>
      </c>
      <c r="G112" s="2"/>
      <c r="H112" s="2"/>
    </row>
    <row r="113" spans="1:8" x14ac:dyDescent="0.3">
      <c r="A113" s="53" t="s">
        <v>117</v>
      </c>
      <c r="B113" s="53"/>
      <c r="C113" s="53"/>
      <c r="D113" s="54"/>
      <c r="F113" s="53" t="s">
        <v>117</v>
      </c>
      <c r="G113" s="2">
        <v>8399.5475999681221</v>
      </c>
      <c r="H113" s="2">
        <v>68544390.397143468</v>
      </c>
    </row>
    <row r="114" spans="1:8" x14ac:dyDescent="0.3">
      <c r="A114" s="53" t="s">
        <v>161</v>
      </c>
      <c r="B114" s="53"/>
      <c r="C114" s="53"/>
      <c r="D114" s="54"/>
      <c r="F114" s="53" t="s">
        <v>133</v>
      </c>
      <c r="G114" s="2">
        <v>6561.6319674082688</v>
      </c>
      <c r="H114" s="2">
        <v>83759626.729451612</v>
      </c>
    </row>
    <row r="115" spans="1:8" x14ac:dyDescent="0.3">
      <c r="A115" s="53" t="s">
        <v>96</v>
      </c>
      <c r="B115" s="53">
        <v>3850</v>
      </c>
      <c r="C115" s="53">
        <v>68023000</v>
      </c>
      <c r="D115" s="54">
        <v>2.3543009114031941</v>
      </c>
      <c r="F115" s="53" t="s">
        <v>96</v>
      </c>
      <c r="G115" s="55">
        <v>3850</v>
      </c>
      <c r="H115" s="55">
        <v>68023000</v>
      </c>
    </row>
    <row r="116" spans="1:8" x14ac:dyDescent="0.3">
      <c r="A116" s="53" t="s">
        <v>134</v>
      </c>
      <c r="B116" s="53">
        <v>4893</v>
      </c>
      <c r="C116" s="53">
        <v>126629000</v>
      </c>
      <c r="D116" s="54">
        <v>2.1659875944380751</v>
      </c>
      <c r="F116" s="53" t="s">
        <v>134</v>
      </c>
      <c r="G116" s="55">
        <v>4893</v>
      </c>
      <c r="H116" s="55">
        <v>126629000</v>
      </c>
    </row>
    <row r="117" spans="1:8" x14ac:dyDescent="0.3">
      <c r="A117" s="53" t="s">
        <v>153</v>
      </c>
      <c r="B117" s="53">
        <v>1322</v>
      </c>
      <c r="C117" s="53">
        <v>52387000</v>
      </c>
      <c r="D117" s="54">
        <v>1.9145624914328012</v>
      </c>
      <c r="F117" s="53" t="s">
        <v>153</v>
      </c>
      <c r="G117" s="55">
        <v>1322</v>
      </c>
      <c r="H117" s="55">
        <v>52387000</v>
      </c>
    </row>
    <row r="118" spans="1:8" x14ac:dyDescent="0.3">
      <c r="A118" s="53" t="s">
        <v>154</v>
      </c>
      <c r="B118" s="53">
        <v>1349</v>
      </c>
      <c r="C118" s="53">
        <v>74234000</v>
      </c>
      <c r="D118" s="54">
        <v>1.8414191448824646</v>
      </c>
      <c r="F118" s="53" t="s">
        <v>154</v>
      </c>
      <c r="G118" s="55">
        <v>1349</v>
      </c>
      <c r="H118" s="55">
        <v>74234000</v>
      </c>
    </row>
    <row r="119" spans="1:8" x14ac:dyDescent="0.3">
      <c r="A119" s="53" t="s">
        <v>155</v>
      </c>
      <c r="B119" s="53">
        <v>482</v>
      </c>
      <c r="C119" s="53">
        <v>39521000</v>
      </c>
      <c r="D119" s="54">
        <v>1.7572581206347813</v>
      </c>
      <c r="F119" s="53" t="s">
        <v>155</v>
      </c>
      <c r="G119" s="55">
        <v>482</v>
      </c>
      <c r="H119" s="55">
        <v>39521000</v>
      </c>
    </row>
    <row r="120" spans="1:8" x14ac:dyDescent="0.3">
      <c r="A120" s="53" t="s">
        <v>99</v>
      </c>
      <c r="B120" s="53">
        <v>367</v>
      </c>
      <c r="C120" s="53">
        <v>48178000</v>
      </c>
      <c r="D120" s="54">
        <v>1.6657144858201405</v>
      </c>
      <c r="F120" s="53" t="s">
        <v>99</v>
      </c>
      <c r="G120" s="55">
        <v>367</v>
      </c>
      <c r="H120" s="55">
        <v>48178000</v>
      </c>
    </row>
    <row r="121" spans="1:8" x14ac:dyDescent="0.3">
      <c r="A121" s="53" t="s">
        <v>101</v>
      </c>
      <c r="B121" s="53">
        <v>52</v>
      </c>
      <c r="C121" s="53">
        <v>12498000</v>
      </c>
      <c r="D121" s="54">
        <v>1.5776797367028199</v>
      </c>
      <c r="F121" s="53" t="s">
        <v>101</v>
      </c>
      <c r="G121" s="55">
        <v>52</v>
      </c>
      <c r="H121" s="55">
        <v>12498000</v>
      </c>
    </row>
    <row r="122" spans="1:8" x14ac:dyDescent="0.3">
      <c r="A122" s="53" t="s">
        <v>135</v>
      </c>
      <c r="B122" s="53">
        <v>27</v>
      </c>
      <c r="C122" s="53">
        <v>9860000</v>
      </c>
      <c r="D122" s="54">
        <v>1.4242382396777249</v>
      </c>
      <c r="F122" s="53" t="s">
        <v>135</v>
      </c>
      <c r="G122" s="55">
        <v>27</v>
      </c>
      <c r="H122" s="55">
        <v>9860000</v>
      </c>
    </row>
    <row r="123" spans="1:8" x14ac:dyDescent="0.3">
      <c r="A123" s="53" t="s">
        <v>136</v>
      </c>
      <c r="B123" s="53">
        <v>8</v>
      </c>
      <c r="C123" s="53">
        <v>5095000</v>
      </c>
      <c r="D123" s="54">
        <v>1.2737499999999999</v>
      </c>
      <c r="F123" s="53" t="s">
        <v>136</v>
      </c>
      <c r="G123" s="55">
        <v>8</v>
      </c>
      <c r="H123" s="55">
        <v>5095000</v>
      </c>
    </row>
    <row r="124" spans="1:8" x14ac:dyDescent="0.3">
      <c r="A124" s="51" t="s">
        <v>56</v>
      </c>
      <c r="B124" s="51" t="s">
        <v>80</v>
      </c>
      <c r="C124" s="51" t="s">
        <v>81</v>
      </c>
      <c r="D124" s="52" t="s">
        <v>59</v>
      </c>
      <c r="E124">
        <v>14000</v>
      </c>
      <c r="G124" s="2"/>
      <c r="H124" s="2"/>
    </row>
    <row r="125" spans="1:8" x14ac:dyDescent="0.3">
      <c r="A125" s="53" t="s">
        <v>117</v>
      </c>
      <c r="B125" s="53"/>
      <c r="C125" s="53"/>
      <c r="D125" s="54"/>
      <c r="F125" s="53" t="s">
        <v>117</v>
      </c>
      <c r="G125" s="2">
        <v>2347.5099266404413</v>
      </c>
      <c r="H125" s="2">
        <v>19156821.83566919</v>
      </c>
    </row>
    <row r="126" spans="1:8" x14ac:dyDescent="0.3">
      <c r="A126" s="53" t="s">
        <v>162</v>
      </c>
      <c r="B126" s="53"/>
      <c r="C126" s="53"/>
      <c r="D126" s="54"/>
      <c r="F126" s="53" t="s">
        <v>133</v>
      </c>
      <c r="G126" s="2">
        <v>1833.848310891246</v>
      </c>
      <c r="H126" s="2">
        <v>23409183.989841539</v>
      </c>
    </row>
    <row r="127" spans="1:8" x14ac:dyDescent="0.3">
      <c r="A127" s="53" t="s">
        <v>96</v>
      </c>
      <c r="B127" s="53">
        <v>1076</v>
      </c>
      <c r="C127" s="53">
        <v>19483000</v>
      </c>
      <c r="D127" s="54">
        <v>2.5057040340747916</v>
      </c>
      <c r="F127" s="53" t="s">
        <v>96</v>
      </c>
      <c r="G127" s="55">
        <v>1076</v>
      </c>
      <c r="H127" s="55">
        <v>19483000</v>
      </c>
    </row>
    <row r="128" spans="1:8" x14ac:dyDescent="0.3">
      <c r="A128" s="53" t="s">
        <v>134</v>
      </c>
      <c r="B128" s="53">
        <v>2018</v>
      </c>
      <c r="C128" s="53">
        <v>51920000</v>
      </c>
      <c r="D128" s="54">
        <v>2.1759394391529865</v>
      </c>
      <c r="F128" s="53" t="s">
        <v>134</v>
      </c>
      <c r="G128" s="55">
        <v>2018</v>
      </c>
      <c r="H128" s="55">
        <v>51920000</v>
      </c>
    </row>
    <row r="129" spans="1:8" x14ac:dyDescent="0.3">
      <c r="A129" s="53" t="s">
        <v>153</v>
      </c>
      <c r="B129" s="53">
        <v>534</v>
      </c>
      <c r="C129" s="53">
        <v>21033000</v>
      </c>
      <c r="D129" s="54">
        <v>1.9186778793924006</v>
      </c>
      <c r="F129" s="53" t="s">
        <v>153</v>
      </c>
      <c r="G129" s="55">
        <v>534</v>
      </c>
      <c r="H129" s="55">
        <v>21033000</v>
      </c>
    </row>
    <row r="130" spans="1:8" x14ac:dyDescent="0.3">
      <c r="A130" s="53" t="s">
        <v>154</v>
      </c>
      <c r="B130" s="53">
        <v>554</v>
      </c>
      <c r="C130" s="53">
        <v>30545000</v>
      </c>
      <c r="D130" s="54">
        <v>1.8263868864444623</v>
      </c>
      <c r="F130" s="53" t="s">
        <v>154</v>
      </c>
      <c r="G130" s="55">
        <v>554</v>
      </c>
      <c r="H130" s="55">
        <v>30545000</v>
      </c>
    </row>
    <row r="131" spans="1:8" x14ac:dyDescent="0.3">
      <c r="A131" s="53" t="s">
        <v>155</v>
      </c>
      <c r="B131" s="53">
        <v>246</v>
      </c>
      <c r="C131" s="53">
        <v>20202000</v>
      </c>
      <c r="D131" s="54">
        <v>1.6689136787783203</v>
      </c>
      <c r="F131" s="53" t="s">
        <v>155</v>
      </c>
      <c r="G131" s="55">
        <v>246</v>
      </c>
      <c r="H131" s="55">
        <v>20202000</v>
      </c>
    </row>
    <row r="132" spans="1:8" x14ac:dyDescent="0.3">
      <c r="A132" s="53" t="s">
        <v>99</v>
      </c>
      <c r="B132" s="53">
        <v>148</v>
      </c>
      <c r="C132" s="53">
        <v>18980000</v>
      </c>
      <c r="D132" s="54">
        <v>1.6249711927203001</v>
      </c>
      <c r="F132" s="53" t="s">
        <v>99</v>
      </c>
      <c r="G132" s="55">
        <v>148</v>
      </c>
      <c r="H132" s="55">
        <v>18980000</v>
      </c>
    </row>
    <row r="133" spans="1:8" x14ac:dyDescent="0.3">
      <c r="A133" s="53" t="s">
        <v>101</v>
      </c>
      <c r="B133" s="53">
        <v>25</v>
      </c>
      <c r="C133" s="53">
        <v>5813000</v>
      </c>
      <c r="D133" s="54">
        <v>1.4627473754517402</v>
      </c>
      <c r="F133" s="53" t="s">
        <v>101</v>
      </c>
      <c r="G133" s="55">
        <v>25</v>
      </c>
      <c r="H133" s="55">
        <v>5813000</v>
      </c>
    </row>
    <row r="134" spans="1:8" x14ac:dyDescent="0.3">
      <c r="A134" s="53" t="s">
        <v>135</v>
      </c>
      <c r="B134" s="53">
        <v>12</v>
      </c>
      <c r="C134" s="53">
        <v>4493000</v>
      </c>
      <c r="D134" s="54">
        <v>1.3325746284647655</v>
      </c>
      <c r="F134" s="53" t="s">
        <v>135</v>
      </c>
      <c r="G134" s="55">
        <v>12</v>
      </c>
      <c r="H134" s="55">
        <v>4493000</v>
      </c>
    </row>
    <row r="135" spans="1:8" x14ac:dyDescent="0.3">
      <c r="A135" s="53" t="s">
        <v>136</v>
      </c>
      <c r="B135" s="53">
        <v>2</v>
      </c>
      <c r="C135" s="53">
        <v>1104000</v>
      </c>
      <c r="D135" s="54">
        <v>1.1040000000000001</v>
      </c>
      <c r="F135" s="53" t="s">
        <v>136</v>
      </c>
      <c r="G135" s="55">
        <v>2</v>
      </c>
      <c r="H135" s="55">
        <v>1104000</v>
      </c>
    </row>
    <row r="136" spans="1:8" x14ac:dyDescent="0.3">
      <c r="A136" s="51" t="s">
        <v>56</v>
      </c>
      <c r="B136" s="51" t="s">
        <v>82</v>
      </c>
      <c r="C136" s="51" t="s">
        <v>83</v>
      </c>
      <c r="D136" s="52" t="s">
        <v>59</v>
      </c>
      <c r="E136">
        <v>6510</v>
      </c>
      <c r="G136" s="2"/>
      <c r="H136" s="2"/>
    </row>
    <row r="137" spans="1:8" x14ac:dyDescent="0.3">
      <c r="A137" s="53" t="s">
        <v>117</v>
      </c>
      <c r="B137" s="53"/>
      <c r="C137" s="53"/>
      <c r="D137" s="54"/>
      <c r="F137" s="53" t="s">
        <v>117</v>
      </c>
      <c r="G137" s="2">
        <v>1027.181003579539</v>
      </c>
      <c r="H137" s="2">
        <v>8382296.1748740813</v>
      </c>
    </row>
    <row r="138" spans="1:8" x14ac:dyDescent="0.3">
      <c r="A138" s="53" t="s">
        <v>133</v>
      </c>
      <c r="B138" s="53"/>
      <c r="C138" s="53"/>
      <c r="D138" s="54"/>
      <c r="F138" s="53" t="s">
        <v>133</v>
      </c>
      <c r="G138" s="2">
        <v>802.42222919572362</v>
      </c>
      <c r="H138" s="2">
        <v>10242968.01934097</v>
      </c>
    </row>
    <row r="139" spans="1:8" x14ac:dyDescent="0.3">
      <c r="A139" s="53" t="s">
        <v>163</v>
      </c>
      <c r="B139" s="53"/>
      <c r="C139" s="53"/>
      <c r="D139" s="54"/>
      <c r="F139" s="53" t="s">
        <v>96</v>
      </c>
      <c r="G139" s="2">
        <v>470.81665014866206</v>
      </c>
      <c r="H139" s="2">
        <v>8525019.3260654118</v>
      </c>
    </row>
    <row r="140" spans="1:8" x14ac:dyDescent="0.3">
      <c r="A140" s="53" t="s">
        <v>134</v>
      </c>
      <c r="B140" s="53">
        <v>883</v>
      </c>
      <c r="C140" s="53">
        <v>22586000</v>
      </c>
      <c r="D140" s="54">
        <v>2.137084885934494</v>
      </c>
      <c r="F140" s="53" t="s">
        <v>134</v>
      </c>
      <c r="G140" s="55">
        <v>883</v>
      </c>
      <c r="H140" s="55">
        <v>22586000</v>
      </c>
    </row>
    <row r="141" spans="1:8" x14ac:dyDescent="0.3">
      <c r="A141" s="53" t="s">
        <v>153</v>
      </c>
      <c r="B141" s="53">
        <v>222</v>
      </c>
      <c r="C141" s="53">
        <v>8765000</v>
      </c>
      <c r="D141" s="54">
        <v>1.9560512976921847</v>
      </c>
      <c r="F141" s="53" t="s">
        <v>153</v>
      </c>
      <c r="G141" s="55">
        <v>222</v>
      </c>
      <c r="H141" s="55">
        <v>8765000</v>
      </c>
    </row>
    <row r="142" spans="1:8" x14ac:dyDescent="0.3">
      <c r="A142" s="53" t="s">
        <v>154</v>
      </c>
      <c r="B142" s="53">
        <v>207</v>
      </c>
      <c r="C142" s="53">
        <v>11492000</v>
      </c>
      <c r="D142" s="54">
        <v>1.9101431565932208</v>
      </c>
      <c r="F142" s="53" t="s">
        <v>154</v>
      </c>
      <c r="G142" s="55">
        <v>207</v>
      </c>
      <c r="H142" s="55">
        <v>11492000</v>
      </c>
    </row>
    <row r="143" spans="1:8" x14ac:dyDescent="0.3">
      <c r="A143" s="53" t="s">
        <v>155</v>
      </c>
      <c r="B143" s="53">
        <v>92</v>
      </c>
      <c r="C143" s="53">
        <v>7642000</v>
      </c>
      <c r="D143" s="54">
        <v>1.7874110264638325</v>
      </c>
      <c r="F143" s="53" t="s">
        <v>155</v>
      </c>
      <c r="G143" s="55">
        <v>92</v>
      </c>
      <c r="H143" s="55">
        <v>7642000</v>
      </c>
    </row>
    <row r="144" spans="1:8" x14ac:dyDescent="0.3">
      <c r="A144" s="53" t="s">
        <v>99</v>
      </c>
      <c r="B144" s="53">
        <v>48</v>
      </c>
      <c r="C144" s="53">
        <v>6399000</v>
      </c>
      <c r="D144" s="54">
        <v>1.8121376268170284</v>
      </c>
      <c r="F144" s="53" t="s">
        <v>99</v>
      </c>
      <c r="G144" s="55">
        <v>48</v>
      </c>
      <c r="H144" s="55">
        <v>6399000</v>
      </c>
    </row>
    <row r="145" spans="1:8" x14ac:dyDescent="0.3">
      <c r="A145" s="53" t="s">
        <v>101</v>
      </c>
      <c r="B145" s="53">
        <v>14</v>
      </c>
      <c r="C145" s="53">
        <v>3224000</v>
      </c>
      <c r="D145" s="54">
        <v>1.4537368369676753</v>
      </c>
      <c r="F145" s="53" t="s">
        <v>101</v>
      </c>
      <c r="G145" s="55">
        <v>14</v>
      </c>
      <c r="H145" s="55">
        <v>3224000</v>
      </c>
    </row>
    <row r="146" spans="1:8" x14ac:dyDescent="0.3">
      <c r="A146" s="53" t="s">
        <v>135</v>
      </c>
      <c r="B146" s="53">
        <v>6</v>
      </c>
      <c r="C146" s="53">
        <v>2304000</v>
      </c>
      <c r="D146" s="54">
        <v>1.3723352078740234</v>
      </c>
      <c r="F146" s="53" t="s">
        <v>135</v>
      </c>
      <c r="G146" s="55">
        <v>6</v>
      </c>
      <c r="H146" s="55">
        <v>2304000</v>
      </c>
    </row>
    <row r="147" spans="1:8" x14ac:dyDescent="0.3">
      <c r="A147" s="53" t="s">
        <v>136</v>
      </c>
      <c r="B147" s="53">
        <v>1</v>
      </c>
      <c r="C147" s="53">
        <v>578000</v>
      </c>
      <c r="D147" s="54">
        <v>1.1559999999999999</v>
      </c>
      <c r="F147" s="53" t="s">
        <v>136</v>
      </c>
      <c r="G147" s="55">
        <v>1</v>
      </c>
      <c r="H147" s="55">
        <v>578000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workbookViewId="0">
      <selection sqref="A1:D1"/>
    </sheetView>
  </sheetViews>
  <sheetFormatPr baseColWidth="10" defaultRowHeight="15.6" x14ac:dyDescent="0.3"/>
  <cols>
    <col min="12" max="12" width="14.296875" customWidth="1"/>
  </cols>
  <sheetData>
    <row r="1" spans="1:15" x14ac:dyDescent="0.3">
      <c r="A1" s="79" t="s">
        <v>227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3" t="s">
        <v>164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3">
      <c r="A4" s="51" t="s">
        <v>56</v>
      </c>
      <c r="B4" s="51" t="s">
        <v>57</v>
      </c>
      <c r="C4" s="51" t="s">
        <v>58</v>
      </c>
      <c r="D4" s="52" t="s">
        <v>59</v>
      </c>
      <c r="E4">
        <v>3210</v>
      </c>
      <c r="I4" s="2">
        <f>J4/6.55957</f>
        <v>2286.7352585611557</v>
      </c>
      <c r="J4" s="53">
        <v>15000</v>
      </c>
      <c r="K4" s="2">
        <f>G5+G15+G25+G35+G45+G55+G65+G75+G85+G95+G105+G115</f>
        <v>1079957.3219056099</v>
      </c>
      <c r="L4" s="2">
        <f>H5+H15+H25+H35+H45+H55+H65+H75+H85+H95+H105+H115</f>
        <v>18557506082.368656</v>
      </c>
      <c r="M4">
        <f>1-SUM(K4:$K$12)/$K$14</f>
        <v>0.87902612960958848</v>
      </c>
      <c r="N4">
        <f>SUM(L4:$L$12)/(J4*SUM(K4:$K$12))</f>
        <v>1.8568416329275594</v>
      </c>
      <c r="O4">
        <f>(G5+G15+G35)/K4</f>
        <v>0.10345038431969138</v>
      </c>
    </row>
    <row r="5" spans="1:15" x14ac:dyDescent="0.3">
      <c r="A5" s="53" t="s">
        <v>96</v>
      </c>
      <c r="B5" s="53">
        <v>67156</v>
      </c>
      <c r="C5" s="53">
        <v>1145741000</v>
      </c>
      <c r="D5" s="54">
        <v>1.6556455998327064</v>
      </c>
      <c r="F5" s="53" t="s">
        <v>96</v>
      </c>
      <c r="G5" s="53">
        <v>67156</v>
      </c>
      <c r="H5" s="53">
        <v>1145741000</v>
      </c>
      <c r="I5" s="2">
        <f t="shared" ref="I5:I12" si="0">J5/6.55957</f>
        <v>3048.9803447482077</v>
      </c>
      <c r="J5" s="53">
        <v>20000</v>
      </c>
      <c r="K5" s="2">
        <f t="shared" ref="K5:L12" si="1">G6+G16+G26+G36+G46+G56+G66+G76+G86+G96+G106+G116</f>
        <v>946245</v>
      </c>
      <c r="L5" s="2">
        <f t="shared" si="1"/>
        <v>24505290000</v>
      </c>
      <c r="M5">
        <f>1-SUM(K5:$K$12)/$K$14</f>
        <v>0.93297630161064982</v>
      </c>
      <c r="N5">
        <f>SUM(L5:$L$12)/(J5*SUM(K5:$K$12))</f>
        <v>1.8220301879985898</v>
      </c>
      <c r="O5">
        <f t="shared" ref="O5:O12" si="2">(G6+G16+G36)/K5</f>
        <v>8.2598058642317798E-2</v>
      </c>
    </row>
    <row r="6" spans="1:15" x14ac:dyDescent="0.3">
      <c r="A6" s="53" t="s">
        <v>134</v>
      </c>
      <c r="B6" s="53">
        <v>44504</v>
      </c>
      <c r="C6" s="53">
        <v>1118529000</v>
      </c>
      <c r="D6" s="54">
        <v>1.6826181549373636</v>
      </c>
      <c r="F6" s="53" t="s">
        <v>134</v>
      </c>
      <c r="G6" s="53">
        <v>44504</v>
      </c>
      <c r="H6" s="53">
        <v>1118529000</v>
      </c>
      <c r="I6" s="2">
        <f t="shared" si="0"/>
        <v>5335.7156033093634</v>
      </c>
      <c r="J6" s="53">
        <v>35000</v>
      </c>
      <c r="K6" s="2">
        <f t="shared" si="1"/>
        <v>217456</v>
      </c>
      <c r="L6" s="2">
        <f t="shared" si="1"/>
        <v>8952317000</v>
      </c>
      <c r="M6">
        <f>1-SUM(K6:$K$12)/$K$14</f>
        <v>0.98024676264615185</v>
      </c>
      <c r="N6">
        <f>SUM(L6:$L$12)/(J6*SUM(K6:$K$12))</f>
        <v>1.7620283695425192</v>
      </c>
      <c r="O6">
        <f t="shared" si="2"/>
        <v>7.6916709587226836E-2</v>
      </c>
    </row>
    <row r="7" spans="1:15" x14ac:dyDescent="0.3">
      <c r="A7" s="53" t="s">
        <v>153</v>
      </c>
      <c r="B7" s="53">
        <v>8625</v>
      </c>
      <c r="C7" s="53">
        <v>354408000</v>
      </c>
      <c r="D7" s="54">
        <v>1.6935748214468256</v>
      </c>
      <c r="F7" s="53" t="s">
        <v>153</v>
      </c>
      <c r="G7" s="53">
        <v>8625</v>
      </c>
      <c r="H7" s="53">
        <v>354408000</v>
      </c>
      <c r="I7" s="2">
        <f t="shared" si="0"/>
        <v>6860.2057756834674</v>
      </c>
      <c r="J7" s="53">
        <v>45000</v>
      </c>
      <c r="K7" s="2">
        <f>G8+G18+G28+G38+G48+G58+G68+G78+G88+G98+G108+G118</f>
        <v>94523</v>
      </c>
      <c r="L7" s="2">
        <f>H8+H18+H28+H38+H48+H58+H68+H78+H88+H98+H108+H118</f>
        <v>5516697000</v>
      </c>
      <c r="M7">
        <f>1-SUM(K7:$K$12)/$K$14</f>
        <v>0.99110995914910427</v>
      </c>
      <c r="N7">
        <f>SUM(L7:$L$12)/(J7*SUM(K7:$K$12))</f>
        <v>1.9272034225304098</v>
      </c>
      <c r="O7">
        <f t="shared" si="2"/>
        <v>7.2818255874231672E-2</v>
      </c>
    </row>
    <row r="8" spans="1:15" x14ac:dyDescent="0.3">
      <c r="A8" s="53" t="s">
        <v>154</v>
      </c>
      <c r="B8" s="53">
        <v>3412</v>
      </c>
      <c r="C8" s="53">
        <v>199185000</v>
      </c>
      <c r="D8" s="54">
        <v>1.8797664737979889</v>
      </c>
      <c r="F8" s="53" t="s">
        <v>154</v>
      </c>
      <c r="G8" s="53">
        <v>3412</v>
      </c>
      <c r="H8" s="53">
        <v>199185000</v>
      </c>
      <c r="I8" s="2">
        <f t="shared" si="0"/>
        <v>10671.431206618727</v>
      </c>
      <c r="J8" s="53">
        <v>70000</v>
      </c>
      <c r="K8" s="2">
        <f t="shared" si="1"/>
        <v>48052</v>
      </c>
      <c r="L8" s="2">
        <f t="shared" si="1"/>
        <v>3944889000</v>
      </c>
      <c r="M8">
        <f>1-SUM(K8:$K$12)/$K$14</f>
        <v>0.99583193473519316</v>
      </c>
      <c r="N8">
        <f>SUM(L8:$L$12)/(J8*SUM(K8:$K$12))</f>
        <v>1.6979102637639223</v>
      </c>
      <c r="O8">
        <f t="shared" si="2"/>
        <v>7.1068842087738282E-2</v>
      </c>
    </row>
    <row r="9" spans="1:15" x14ac:dyDescent="0.3">
      <c r="A9" s="53" t="s">
        <v>155</v>
      </c>
      <c r="B9" s="53">
        <v>1647</v>
      </c>
      <c r="C9" s="53">
        <v>134913000</v>
      </c>
      <c r="D9" s="54">
        <v>1.6668775843065804</v>
      </c>
      <c r="F9" s="53" t="s">
        <v>155</v>
      </c>
      <c r="G9" s="53">
        <v>1647</v>
      </c>
      <c r="H9" s="53">
        <v>134913000</v>
      </c>
      <c r="I9" s="2">
        <f t="shared" si="0"/>
        <v>15244.901723741039</v>
      </c>
      <c r="J9" s="53">
        <v>100000</v>
      </c>
      <c r="K9" s="2">
        <f t="shared" si="1"/>
        <v>29055</v>
      </c>
      <c r="L9" s="2">
        <f t="shared" si="1"/>
        <v>3814708000</v>
      </c>
      <c r="M9">
        <f>1-SUM(K9:$K$12)/$K$14</f>
        <v>0.99823241261743079</v>
      </c>
      <c r="N9">
        <f>SUM(L9:$L$12)/(J9*SUM(K9:$K$12))</f>
        <v>1.6877232004069751</v>
      </c>
      <c r="O9">
        <f t="shared" si="2"/>
        <v>7.2345551540182407E-2</v>
      </c>
    </row>
    <row r="10" spans="1:15" x14ac:dyDescent="0.3">
      <c r="A10" s="53" t="s">
        <v>99</v>
      </c>
      <c r="B10" s="53">
        <v>928</v>
      </c>
      <c r="C10" s="53">
        <v>122222000</v>
      </c>
      <c r="D10" s="54">
        <v>1.6684671287687345</v>
      </c>
      <c r="F10" s="53" t="s">
        <v>99</v>
      </c>
      <c r="G10" s="53">
        <v>928</v>
      </c>
      <c r="H10" s="53">
        <v>122222000</v>
      </c>
      <c r="I10" s="2">
        <f t="shared" si="0"/>
        <v>30489.803447482078</v>
      </c>
      <c r="J10" s="53">
        <v>200000</v>
      </c>
      <c r="K10" s="2">
        <f t="shared" si="1"/>
        <v>3914</v>
      </c>
      <c r="L10" s="2">
        <f t="shared" si="1"/>
        <v>933866000</v>
      </c>
      <c r="M10">
        <f>1-SUM(K10:$K$12)/$K$14</f>
        <v>0.99968387946310666</v>
      </c>
      <c r="N10">
        <f>SUM(L10:$L$12)/(J10*SUM(K10:$K$12))</f>
        <v>1.7043007269279393</v>
      </c>
      <c r="O10">
        <f t="shared" si="2"/>
        <v>8.8145120081757788E-2</v>
      </c>
    </row>
    <row r="11" spans="1:15" x14ac:dyDescent="0.3">
      <c r="A11" s="53" t="s">
        <v>101</v>
      </c>
      <c r="B11" s="53">
        <v>140</v>
      </c>
      <c r="C11" s="53">
        <v>34041000</v>
      </c>
      <c r="D11" s="54">
        <v>1.5965556862343799</v>
      </c>
      <c r="F11" s="53" t="s">
        <v>101</v>
      </c>
      <c r="G11" s="53">
        <v>140</v>
      </c>
      <c r="H11" s="53">
        <v>34041000</v>
      </c>
      <c r="I11" s="2">
        <f t="shared" si="0"/>
        <v>45734.705171223111</v>
      </c>
      <c r="J11" s="53">
        <v>300000</v>
      </c>
      <c r="K11" s="2">
        <f t="shared" si="1"/>
        <v>1721</v>
      </c>
      <c r="L11" s="2">
        <f t="shared" si="1"/>
        <v>640346000</v>
      </c>
      <c r="M11">
        <f>1-SUM(K11:$K$12)/$K$14</f>
        <v>0.99987940660934571</v>
      </c>
      <c r="N11">
        <f>SUM(L11:$L$12)/(J11*SUM(K11:$K$12))</f>
        <v>1.6888939519469759</v>
      </c>
      <c r="O11">
        <f t="shared" si="2"/>
        <v>9.6455549099360841E-2</v>
      </c>
    </row>
    <row r="12" spans="1:15" x14ac:dyDescent="0.3">
      <c r="A12" s="53" t="s">
        <v>135</v>
      </c>
      <c r="B12" s="53">
        <v>57</v>
      </c>
      <c r="C12" s="53">
        <v>21704000</v>
      </c>
      <c r="D12" s="54">
        <v>1.544768327542235</v>
      </c>
      <c r="F12" s="53" t="s">
        <v>135</v>
      </c>
      <c r="G12" s="53">
        <v>57</v>
      </c>
      <c r="H12" s="53">
        <v>21704000</v>
      </c>
      <c r="I12" s="2">
        <f t="shared" si="0"/>
        <v>76224.508618705193</v>
      </c>
      <c r="J12" s="53">
        <v>500000</v>
      </c>
      <c r="K12" s="2">
        <f t="shared" si="1"/>
        <v>693</v>
      </c>
      <c r="L12" s="2">
        <f>H13+H23+H33+H43+H53+H63+H73+H83+H93+H103+H113+H123</f>
        <v>582751000</v>
      </c>
      <c r="M12">
        <f>1-SUM(K12:$K$12)/$K$14</f>
        <v>0.99996538060491991</v>
      </c>
      <c r="N12">
        <f>SUM(L12:$L$12)/(J12*SUM(K12:$K$12))</f>
        <v>1.6818210678210679</v>
      </c>
      <c r="O12">
        <f t="shared" si="2"/>
        <v>0.13131313131313133</v>
      </c>
    </row>
    <row r="13" spans="1:15" x14ac:dyDescent="0.3">
      <c r="A13" s="53" t="s">
        <v>136</v>
      </c>
      <c r="B13" s="53">
        <v>17</v>
      </c>
      <c r="C13" s="53">
        <v>12591000</v>
      </c>
      <c r="D13" s="54">
        <v>1.4812941176470589</v>
      </c>
      <c r="F13" s="53" t="s">
        <v>136</v>
      </c>
      <c r="G13" s="53">
        <v>17</v>
      </c>
      <c r="H13" s="53">
        <v>12591000</v>
      </c>
      <c r="K13" s="2"/>
      <c r="L13" s="2"/>
    </row>
    <row r="14" spans="1:15" x14ac:dyDescent="0.3">
      <c r="A14" s="51" t="s">
        <v>56</v>
      </c>
      <c r="B14" s="51" t="s">
        <v>89</v>
      </c>
      <c r="C14" s="51" t="s">
        <v>90</v>
      </c>
      <c r="D14" s="52" t="s">
        <v>59</v>
      </c>
      <c r="K14" s="5">
        <v>20017680.794129152</v>
      </c>
      <c r="L14" s="2"/>
    </row>
    <row r="15" spans="1:15" x14ac:dyDescent="0.3">
      <c r="A15" s="53" t="s">
        <v>96</v>
      </c>
      <c r="B15" s="53">
        <v>39601</v>
      </c>
      <c r="C15" s="53">
        <v>676458000</v>
      </c>
      <c r="D15" s="54">
        <v>1.8950423323044436</v>
      </c>
      <c r="F15" s="53" t="s">
        <v>96</v>
      </c>
      <c r="G15" s="53">
        <v>39601</v>
      </c>
      <c r="H15" s="53">
        <v>676458000</v>
      </c>
    </row>
    <row r="16" spans="1:15" x14ac:dyDescent="0.3">
      <c r="A16" s="53" t="s">
        <v>134</v>
      </c>
      <c r="B16" s="53">
        <v>30283</v>
      </c>
      <c r="C16" s="53">
        <v>771087000</v>
      </c>
      <c r="D16" s="54">
        <v>1.9331691574976546</v>
      </c>
      <c r="F16" s="53" t="s">
        <v>134</v>
      </c>
      <c r="G16" s="53">
        <v>30283</v>
      </c>
      <c r="H16" s="53">
        <v>771087000</v>
      </c>
    </row>
    <row r="17" spans="1:8" x14ac:dyDescent="0.3">
      <c r="A17" s="53" t="s">
        <v>153</v>
      </c>
      <c r="B17" s="53">
        <v>7406</v>
      </c>
      <c r="C17" s="53">
        <v>304884000</v>
      </c>
      <c r="D17" s="54">
        <v>1.941535245960496</v>
      </c>
      <c r="F17" s="53" t="s">
        <v>153</v>
      </c>
      <c r="G17" s="53">
        <v>7406</v>
      </c>
      <c r="H17" s="53">
        <v>304884000</v>
      </c>
    </row>
    <row r="18" spans="1:8" x14ac:dyDescent="0.3">
      <c r="A18" s="53" t="s">
        <v>154</v>
      </c>
      <c r="B18" s="53">
        <v>3185</v>
      </c>
      <c r="C18" s="53">
        <v>185456000</v>
      </c>
      <c r="D18" s="54">
        <v>2.2145368029575172</v>
      </c>
      <c r="F18" s="53" t="s">
        <v>154</v>
      </c>
      <c r="G18" s="53">
        <v>3185</v>
      </c>
      <c r="H18" s="53">
        <v>185456000</v>
      </c>
    </row>
    <row r="19" spans="1:8" x14ac:dyDescent="0.3">
      <c r="A19" s="53" t="s">
        <v>155</v>
      </c>
      <c r="B19" s="53">
        <v>1621</v>
      </c>
      <c r="C19" s="53">
        <v>132826000</v>
      </c>
      <c r="D19" s="54">
        <v>2.0365584989785339</v>
      </c>
      <c r="F19" s="53" t="s">
        <v>155</v>
      </c>
      <c r="G19" s="53">
        <v>1621</v>
      </c>
      <c r="H19" s="53">
        <v>132826000</v>
      </c>
    </row>
    <row r="20" spans="1:8" x14ac:dyDescent="0.3">
      <c r="A20" s="53" t="s">
        <v>99</v>
      </c>
      <c r="B20" s="53">
        <v>1091</v>
      </c>
      <c r="C20" s="53">
        <v>144577000</v>
      </c>
      <c r="D20" s="54">
        <v>2.1006896563090947</v>
      </c>
      <c r="F20" s="53" t="s">
        <v>99</v>
      </c>
      <c r="G20" s="53">
        <v>1091</v>
      </c>
      <c r="H20" s="53">
        <v>144577000</v>
      </c>
    </row>
    <row r="21" spans="1:8" x14ac:dyDescent="0.3">
      <c r="A21" s="53" t="s">
        <v>101</v>
      </c>
      <c r="B21" s="53">
        <v>191</v>
      </c>
      <c r="C21" s="53">
        <v>45878000</v>
      </c>
      <c r="D21" s="54">
        <v>2.2096703384008882</v>
      </c>
      <c r="F21" s="53" t="s">
        <v>101</v>
      </c>
      <c r="G21" s="53">
        <v>191</v>
      </c>
      <c r="H21" s="53">
        <v>45878000</v>
      </c>
    </row>
    <row r="22" spans="1:8" x14ac:dyDescent="0.3">
      <c r="A22" s="53" t="s">
        <v>135</v>
      </c>
      <c r="B22" s="53">
        <v>104</v>
      </c>
      <c r="C22" s="53">
        <v>39260000</v>
      </c>
      <c r="D22" s="54">
        <v>2.2113439130573043</v>
      </c>
      <c r="F22" s="53" t="s">
        <v>135</v>
      </c>
      <c r="G22" s="53">
        <v>104</v>
      </c>
      <c r="H22" s="53">
        <v>39260000</v>
      </c>
    </row>
    <row r="23" spans="1:8" x14ac:dyDescent="0.3">
      <c r="A23" s="53" t="s">
        <v>136</v>
      </c>
      <c r="B23" s="53">
        <v>70</v>
      </c>
      <c r="C23" s="53">
        <v>76176000</v>
      </c>
      <c r="D23" s="54">
        <v>2.1764571428571426</v>
      </c>
      <c r="F23" s="53" t="s">
        <v>136</v>
      </c>
      <c r="G23" s="53">
        <v>70</v>
      </c>
      <c r="H23" s="53">
        <v>76176000</v>
      </c>
    </row>
    <row r="24" spans="1:8" x14ac:dyDescent="0.3">
      <c r="A24" s="51" t="s">
        <v>56</v>
      </c>
      <c r="B24" s="51" t="s">
        <v>64</v>
      </c>
      <c r="C24" s="51" t="s">
        <v>65</v>
      </c>
      <c r="D24" s="52" t="s">
        <v>59</v>
      </c>
    </row>
    <row r="25" spans="1:8" x14ac:dyDescent="0.3">
      <c r="A25" s="53" t="s">
        <v>96</v>
      </c>
      <c r="B25" s="53">
        <v>341194</v>
      </c>
      <c r="C25" s="53">
        <v>5857762000</v>
      </c>
      <c r="D25" s="54">
        <v>1.8522846992051107</v>
      </c>
      <c r="F25" s="53" t="s">
        <v>96</v>
      </c>
      <c r="G25" s="53">
        <v>341194</v>
      </c>
      <c r="H25" s="53">
        <v>5857762000</v>
      </c>
    </row>
    <row r="26" spans="1:8" x14ac:dyDescent="0.3">
      <c r="A26" s="53" t="s">
        <v>134</v>
      </c>
      <c r="B26" s="53">
        <v>291715</v>
      </c>
      <c r="C26" s="53">
        <v>7835088000</v>
      </c>
      <c r="D26" s="54">
        <v>1.8381891265810373</v>
      </c>
      <c r="F26" s="53" t="s">
        <v>134</v>
      </c>
      <c r="G26" s="53">
        <v>291715</v>
      </c>
      <c r="H26" s="53">
        <v>7835088000</v>
      </c>
    </row>
    <row r="27" spans="1:8" x14ac:dyDescent="0.3">
      <c r="A27" s="53" t="s">
        <v>153</v>
      </c>
      <c r="B27" s="53">
        <v>62410</v>
      </c>
      <c r="C27" s="53">
        <v>2564167000</v>
      </c>
      <c r="D27" s="54">
        <v>1.7864845094573039</v>
      </c>
      <c r="F27" s="53" t="s">
        <v>153</v>
      </c>
      <c r="G27" s="53">
        <v>62410</v>
      </c>
      <c r="H27" s="53">
        <v>2564167000</v>
      </c>
    </row>
    <row r="28" spans="1:8" x14ac:dyDescent="0.3">
      <c r="A28" s="53" t="s">
        <v>154</v>
      </c>
      <c r="B28" s="53">
        <v>26321</v>
      </c>
      <c r="C28" s="53">
        <v>1535102000</v>
      </c>
      <c r="D28" s="54">
        <v>1.985204591263886</v>
      </c>
      <c r="F28" s="53" t="s">
        <v>154</v>
      </c>
      <c r="G28" s="53">
        <v>26321</v>
      </c>
      <c r="H28" s="53">
        <v>1535102000</v>
      </c>
    </row>
    <row r="29" spans="1:8" x14ac:dyDescent="0.3">
      <c r="A29" s="53" t="s">
        <v>155</v>
      </c>
      <c r="B29" s="53">
        <v>13183</v>
      </c>
      <c r="C29" s="53">
        <v>1083219000</v>
      </c>
      <c r="D29" s="54">
        <v>1.7699450496179676</v>
      </c>
      <c r="F29" s="53" t="s">
        <v>155</v>
      </c>
      <c r="G29" s="53">
        <v>13183</v>
      </c>
      <c r="H29" s="53">
        <v>1083219000</v>
      </c>
    </row>
    <row r="30" spans="1:8" x14ac:dyDescent="0.3">
      <c r="A30" s="53" t="s">
        <v>99</v>
      </c>
      <c r="B30" s="53">
        <v>8311</v>
      </c>
      <c r="C30" s="53">
        <v>1098695000</v>
      </c>
      <c r="D30" s="54">
        <v>1.7655501696983684</v>
      </c>
      <c r="F30" s="53" t="s">
        <v>99</v>
      </c>
      <c r="G30" s="53">
        <v>8311</v>
      </c>
      <c r="H30" s="53">
        <v>1098695000</v>
      </c>
    </row>
    <row r="31" spans="1:8" x14ac:dyDescent="0.3">
      <c r="A31" s="53" t="s">
        <v>101</v>
      </c>
      <c r="B31" s="53">
        <v>1265</v>
      </c>
      <c r="C31" s="53">
        <v>301425000</v>
      </c>
      <c r="D31" s="54">
        <v>1.7444595059966628</v>
      </c>
      <c r="F31" s="53" t="s">
        <v>101</v>
      </c>
      <c r="G31" s="53">
        <v>1265</v>
      </c>
      <c r="H31" s="53">
        <v>301425000</v>
      </c>
    </row>
    <row r="32" spans="1:8" x14ac:dyDescent="0.3">
      <c r="A32" s="53" t="s">
        <v>135</v>
      </c>
      <c r="B32" s="53">
        <v>603</v>
      </c>
      <c r="C32" s="53">
        <v>222967000</v>
      </c>
      <c r="D32" s="54">
        <v>1.6960996538210631</v>
      </c>
      <c r="F32" s="53" t="s">
        <v>135</v>
      </c>
      <c r="G32" s="53">
        <v>603</v>
      </c>
      <c r="H32" s="53">
        <v>222967000</v>
      </c>
    </row>
    <row r="33" spans="1:8" x14ac:dyDescent="0.3">
      <c r="A33" s="53" t="s">
        <v>136</v>
      </c>
      <c r="B33" s="53">
        <v>272</v>
      </c>
      <c r="C33" s="53">
        <v>222274000</v>
      </c>
      <c r="D33" s="54">
        <v>1.6343676470588235</v>
      </c>
      <c r="F33" s="53" t="s">
        <v>136</v>
      </c>
      <c r="G33" s="53">
        <v>272</v>
      </c>
      <c r="H33" s="53">
        <v>222274000</v>
      </c>
    </row>
    <row r="34" spans="1:8" x14ac:dyDescent="0.3">
      <c r="A34" s="51" t="s">
        <v>56</v>
      </c>
      <c r="B34" s="51" t="s">
        <v>66</v>
      </c>
      <c r="C34" s="51" t="s">
        <v>67</v>
      </c>
      <c r="D34" s="52" t="s">
        <v>59</v>
      </c>
    </row>
    <row r="35" spans="1:8" x14ac:dyDescent="0.3">
      <c r="A35" s="53" t="s">
        <v>96</v>
      </c>
      <c r="B35" s="53">
        <v>4965</v>
      </c>
      <c r="C35" s="53">
        <v>84863000</v>
      </c>
      <c r="D35" s="54">
        <v>1.7267137129757453</v>
      </c>
      <c r="F35" s="53" t="s">
        <v>96</v>
      </c>
      <c r="G35" s="53">
        <v>4965</v>
      </c>
      <c r="H35" s="53">
        <v>84863000</v>
      </c>
    </row>
    <row r="36" spans="1:8" x14ac:dyDescent="0.3">
      <c r="A36" s="53" t="s">
        <v>134</v>
      </c>
      <c r="B36" s="53">
        <v>3371</v>
      </c>
      <c r="C36" s="53">
        <v>84984000</v>
      </c>
      <c r="D36" s="54">
        <v>1.7707975545343506</v>
      </c>
      <c r="F36" s="53" t="s">
        <v>134</v>
      </c>
      <c r="G36" s="53">
        <v>3371</v>
      </c>
      <c r="H36" s="53">
        <v>84984000</v>
      </c>
    </row>
    <row r="37" spans="1:8" x14ac:dyDescent="0.3">
      <c r="A37" s="53" t="s">
        <v>153</v>
      </c>
      <c r="B37" s="53">
        <v>695</v>
      </c>
      <c r="C37" s="53">
        <v>28617000</v>
      </c>
      <c r="D37" s="54">
        <v>1.8098093760662037</v>
      </c>
      <c r="F37" s="53" t="s">
        <v>153</v>
      </c>
      <c r="G37" s="53">
        <v>695</v>
      </c>
      <c r="H37" s="53">
        <v>28617000</v>
      </c>
    </row>
    <row r="38" spans="1:8" x14ac:dyDescent="0.3">
      <c r="A38" s="53" t="s">
        <v>154</v>
      </c>
      <c r="B38" s="53">
        <v>286</v>
      </c>
      <c r="C38" s="53">
        <v>16645000</v>
      </c>
      <c r="D38" s="54">
        <v>2.0432894936973396</v>
      </c>
      <c r="F38" s="53" t="s">
        <v>154</v>
      </c>
      <c r="G38" s="53">
        <v>286</v>
      </c>
      <c r="H38" s="53">
        <v>16645000</v>
      </c>
    </row>
    <row r="39" spans="1:8" x14ac:dyDescent="0.3">
      <c r="A39" s="53" t="s">
        <v>155</v>
      </c>
      <c r="B39" s="53">
        <v>147</v>
      </c>
      <c r="C39" s="53">
        <v>12019000</v>
      </c>
      <c r="D39" s="54">
        <v>1.8589100484233478</v>
      </c>
      <c r="F39" s="53" t="s">
        <v>155</v>
      </c>
      <c r="G39" s="53">
        <v>147</v>
      </c>
      <c r="H39" s="53">
        <v>12019000</v>
      </c>
    </row>
    <row r="40" spans="1:8" x14ac:dyDescent="0.3">
      <c r="A40" s="53" t="s">
        <v>99</v>
      </c>
      <c r="B40" s="53">
        <v>83</v>
      </c>
      <c r="C40" s="53">
        <v>10436000</v>
      </c>
      <c r="D40" s="54">
        <v>1.9721612744385939</v>
      </c>
      <c r="F40" s="53" t="s">
        <v>99</v>
      </c>
      <c r="G40" s="53">
        <v>83</v>
      </c>
      <c r="H40" s="53">
        <v>10436000</v>
      </c>
    </row>
    <row r="41" spans="1:8" x14ac:dyDescent="0.3">
      <c r="A41" s="53" t="s">
        <v>101</v>
      </c>
      <c r="B41" s="53">
        <v>14</v>
      </c>
      <c r="C41" s="53">
        <v>3245000</v>
      </c>
      <c r="D41" s="54">
        <v>2.2761905382991721</v>
      </c>
      <c r="F41" s="53" t="s">
        <v>101</v>
      </c>
      <c r="G41" s="53">
        <v>14</v>
      </c>
      <c r="H41" s="53">
        <v>3245000</v>
      </c>
    </row>
    <row r="42" spans="1:8" x14ac:dyDescent="0.3">
      <c r="A42" s="53" t="s">
        <v>135</v>
      </c>
      <c r="B42" s="53">
        <v>5</v>
      </c>
      <c r="C42" s="53">
        <v>1967000</v>
      </c>
      <c r="D42" s="54">
        <v>2.6762070893933165</v>
      </c>
      <c r="F42" s="53" t="s">
        <v>135</v>
      </c>
      <c r="G42" s="53">
        <v>5</v>
      </c>
      <c r="H42" s="53">
        <v>1967000</v>
      </c>
    </row>
    <row r="43" spans="1:8" x14ac:dyDescent="0.3">
      <c r="A43" s="53" t="s">
        <v>136</v>
      </c>
      <c r="B43" s="53">
        <v>4</v>
      </c>
      <c r="C43" s="53">
        <v>5259000</v>
      </c>
      <c r="D43" s="54">
        <v>2.6295000000000002</v>
      </c>
      <c r="F43" s="53" t="s">
        <v>136</v>
      </c>
      <c r="G43" s="53">
        <v>4</v>
      </c>
      <c r="H43" s="53">
        <v>5259000</v>
      </c>
    </row>
    <row r="44" spans="1:8" x14ac:dyDescent="0.3">
      <c r="A44" s="51" t="s">
        <v>56</v>
      </c>
      <c r="B44" s="51" t="s">
        <v>68</v>
      </c>
      <c r="C44" s="51" t="s">
        <v>69</v>
      </c>
      <c r="D44" s="52" t="s">
        <v>59</v>
      </c>
    </row>
    <row r="45" spans="1:8" x14ac:dyDescent="0.3">
      <c r="A45" s="53" t="s">
        <v>96</v>
      </c>
      <c r="B45" s="53">
        <v>288571</v>
      </c>
      <c r="C45" s="53">
        <v>4960136000</v>
      </c>
      <c r="D45" s="54">
        <v>1.7215509892340781</v>
      </c>
      <c r="F45" s="53" t="s">
        <v>96</v>
      </c>
      <c r="G45" s="53">
        <v>288571</v>
      </c>
      <c r="H45" s="53">
        <v>4960136000</v>
      </c>
    </row>
    <row r="46" spans="1:8" x14ac:dyDescent="0.3">
      <c r="A46" s="53" t="s">
        <v>134</v>
      </c>
      <c r="B46" s="53">
        <v>235130</v>
      </c>
      <c r="C46" s="53">
        <v>5932138000</v>
      </c>
      <c r="D46" s="54">
        <v>1.6882240732512805</v>
      </c>
      <c r="F46" s="53" t="s">
        <v>134</v>
      </c>
      <c r="G46" s="53">
        <v>235130</v>
      </c>
      <c r="H46" s="53">
        <v>5932138000</v>
      </c>
    </row>
    <row r="47" spans="1:8" x14ac:dyDescent="0.3">
      <c r="A47" s="53" t="s">
        <v>153</v>
      </c>
      <c r="B47" s="53">
        <v>45963</v>
      </c>
      <c r="C47" s="53">
        <v>1888269000</v>
      </c>
      <c r="D47" s="54">
        <v>1.689408940826636</v>
      </c>
      <c r="F47" s="53" t="s">
        <v>153</v>
      </c>
      <c r="G47" s="53">
        <v>45963</v>
      </c>
      <c r="H47" s="53">
        <v>1888269000</v>
      </c>
    </row>
    <row r="48" spans="1:8" x14ac:dyDescent="0.3">
      <c r="A48" s="53" t="s">
        <v>154</v>
      </c>
      <c r="B48" s="53">
        <v>18353</v>
      </c>
      <c r="C48" s="53">
        <v>1069848000</v>
      </c>
      <c r="D48" s="54">
        <v>1.8677617724185094</v>
      </c>
      <c r="F48" s="53" t="s">
        <v>154</v>
      </c>
      <c r="G48" s="53">
        <v>18353</v>
      </c>
      <c r="H48" s="53">
        <v>1069848000</v>
      </c>
    </row>
    <row r="49" spans="1:8" x14ac:dyDescent="0.3">
      <c r="A49" s="53" t="s">
        <v>155</v>
      </c>
      <c r="B49" s="53">
        <v>8921</v>
      </c>
      <c r="C49" s="53">
        <v>731359000</v>
      </c>
      <c r="D49" s="54">
        <v>1.6524039636784182</v>
      </c>
      <c r="F49" s="53" t="s">
        <v>155</v>
      </c>
      <c r="G49" s="53">
        <v>8921</v>
      </c>
      <c r="H49" s="53">
        <v>731359000</v>
      </c>
    </row>
    <row r="50" spans="1:8" x14ac:dyDescent="0.3">
      <c r="A50" s="53" t="s">
        <v>99</v>
      </c>
      <c r="B50" s="53">
        <v>5032</v>
      </c>
      <c r="C50" s="53">
        <v>660230000</v>
      </c>
      <c r="D50" s="54">
        <v>1.6543900981529061</v>
      </c>
      <c r="F50" s="53" t="s">
        <v>99</v>
      </c>
      <c r="G50" s="53">
        <v>5032</v>
      </c>
      <c r="H50" s="53">
        <v>660230000</v>
      </c>
    </row>
    <row r="51" spans="1:8" x14ac:dyDescent="0.3">
      <c r="A51" s="53" t="s">
        <v>101</v>
      </c>
      <c r="B51" s="53">
        <v>651</v>
      </c>
      <c r="C51" s="53">
        <v>156260000</v>
      </c>
      <c r="D51" s="54">
        <v>1.6812192096044356</v>
      </c>
      <c r="F51" s="53" t="s">
        <v>101</v>
      </c>
      <c r="G51" s="53">
        <v>651</v>
      </c>
      <c r="H51" s="53">
        <v>156260000</v>
      </c>
    </row>
    <row r="52" spans="1:8" x14ac:dyDescent="0.3">
      <c r="A52" s="53" t="s">
        <v>135</v>
      </c>
      <c r="B52" s="53">
        <v>259</v>
      </c>
      <c r="C52" s="53">
        <v>96260000</v>
      </c>
      <c r="D52" s="54">
        <v>1.7041052076662622</v>
      </c>
      <c r="F52" s="53" t="s">
        <v>135</v>
      </c>
      <c r="G52" s="53">
        <v>259</v>
      </c>
      <c r="H52" s="53">
        <v>96260000</v>
      </c>
    </row>
    <row r="53" spans="1:8" x14ac:dyDescent="0.3">
      <c r="A53" s="53" t="s">
        <v>136</v>
      </c>
      <c r="B53" s="53">
        <v>99</v>
      </c>
      <c r="C53" s="53">
        <v>86767000</v>
      </c>
      <c r="D53" s="54">
        <v>1.7528686868686869</v>
      </c>
      <c r="F53" s="53" t="s">
        <v>136</v>
      </c>
      <c r="G53" s="53">
        <v>99</v>
      </c>
      <c r="H53" s="53">
        <v>86767000</v>
      </c>
    </row>
    <row r="54" spans="1:8" x14ac:dyDescent="0.3">
      <c r="A54" s="51" t="s">
        <v>56</v>
      </c>
      <c r="B54" s="51" t="s">
        <v>70</v>
      </c>
      <c r="C54" s="51" t="s">
        <v>71</v>
      </c>
      <c r="D54" s="52" t="s">
        <v>59</v>
      </c>
    </row>
    <row r="55" spans="1:8" x14ac:dyDescent="0.3">
      <c r="A55" s="53" t="s">
        <v>96</v>
      </c>
      <c r="B55" s="53">
        <v>199284</v>
      </c>
      <c r="C55" s="53">
        <v>3433534000</v>
      </c>
      <c r="D55" s="54">
        <v>1.8830940378655665</v>
      </c>
      <c r="F55" s="53" t="s">
        <v>96</v>
      </c>
      <c r="G55" s="53">
        <v>199284</v>
      </c>
      <c r="H55" s="53">
        <v>3433534000</v>
      </c>
    </row>
    <row r="56" spans="1:8" x14ac:dyDescent="0.3">
      <c r="A56" s="53" t="s">
        <v>134</v>
      </c>
      <c r="B56" s="53">
        <v>194278</v>
      </c>
      <c r="C56" s="53">
        <v>4965670000</v>
      </c>
      <c r="D56" s="54">
        <v>1.8057333928728561</v>
      </c>
      <c r="F56" s="53" t="s">
        <v>134</v>
      </c>
      <c r="G56" s="53">
        <v>194278</v>
      </c>
      <c r="H56" s="53">
        <v>4965670000</v>
      </c>
    </row>
    <row r="57" spans="1:8" x14ac:dyDescent="0.3">
      <c r="A57" s="53" t="s">
        <v>153</v>
      </c>
      <c r="B57" s="53">
        <v>47237</v>
      </c>
      <c r="C57" s="53">
        <v>1945010000</v>
      </c>
      <c r="D57" s="54">
        <v>1.7202120900510964</v>
      </c>
      <c r="F57" s="53" t="s">
        <v>153</v>
      </c>
      <c r="G57" s="53">
        <v>47237</v>
      </c>
      <c r="H57" s="53">
        <v>1945010000</v>
      </c>
    </row>
    <row r="58" spans="1:8" x14ac:dyDescent="0.3">
      <c r="A58" s="53" t="s">
        <v>154</v>
      </c>
      <c r="B58" s="53">
        <v>20621</v>
      </c>
      <c r="C58" s="53">
        <v>1203390000</v>
      </c>
      <c r="D58" s="54">
        <v>1.8637757611319044</v>
      </c>
      <c r="F58" s="53" t="s">
        <v>154</v>
      </c>
      <c r="G58" s="53">
        <v>20621</v>
      </c>
      <c r="H58" s="53">
        <v>1203390000</v>
      </c>
    </row>
    <row r="59" spans="1:8" x14ac:dyDescent="0.3">
      <c r="A59" s="53" t="s">
        <v>155</v>
      </c>
      <c r="B59" s="53">
        <v>10336</v>
      </c>
      <c r="C59" s="53">
        <v>847848000</v>
      </c>
      <c r="D59" s="54">
        <v>1.630321649226917</v>
      </c>
      <c r="F59" s="53" t="s">
        <v>155</v>
      </c>
      <c r="G59" s="53">
        <v>10336</v>
      </c>
      <c r="H59" s="53">
        <v>847848000</v>
      </c>
    </row>
    <row r="60" spans="1:8" x14ac:dyDescent="0.3">
      <c r="A60" s="53" t="s">
        <v>99</v>
      </c>
      <c r="B60" s="53">
        <v>5958</v>
      </c>
      <c r="C60" s="53">
        <v>776816000</v>
      </c>
      <c r="D60" s="54">
        <v>1.6107953437819773</v>
      </c>
      <c r="F60" s="53" t="s">
        <v>99</v>
      </c>
      <c r="G60" s="53">
        <v>5958</v>
      </c>
      <c r="H60" s="53">
        <v>776816000</v>
      </c>
    </row>
    <row r="61" spans="1:8" x14ac:dyDescent="0.3">
      <c r="A61" s="53" t="s">
        <v>101</v>
      </c>
      <c r="B61" s="53">
        <v>717</v>
      </c>
      <c r="C61" s="53">
        <v>170786000</v>
      </c>
      <c r="D61" s="54">
        <v>1.6296842815516881</v>
      </c>
      <c r="F61" s="53" t="s">
        <v>101</v>
      </c>
      <c r="G61" s="53">
        <v>717</v>
      </c>
      <c r="H61" s="53">
        <v>170786000</v>
      </c>
    </row>
    <row r="62" spans="1:8" x14ac:dyDescent="0.3">
      <c r="A62" s="53" t="s">
        <v>135</v>
      </c>
      <c r="B62" s="53">
        <v>295</v>
      </c>
      <c r="C62" s="53">
        <v>110635000</v>
      </c>
      <c r="D62" s="54">
        <v>1.6201495573557216</v>
      </c>
      <c r="F62" s="53" t="s">
        <v>135</v>
      </c>
      <c r="G62" s="53">
        <v>295</v>
      </c>
      <c r="H62" s="53">
        <v>110635000</v>
      </c>
    </row>
    <row r="63" spans="1:8" x14ac:dyDescent="0.3">
      <c r="A63" s="53" t="s">
        <v>136</v>
      </c>
      <c r="B63" s="53">
        <v>98</v>
      </c>
      <c r="C63" s="53">
        <v>80387000</v>
      </c>
      <c r="D63" s="54">
        <v>1.6405510204081633</v>
      </c>
      <c r="F63" s="53" t="s">
        <v>136</v>
      </c>
      <c r="G63" s="53">
        <v>98</v>
      </c>
      <c r="H63" s="53">
        <v>80387000</v>
      </c>
    </row>
    <row r="64" spans="1:8" x14ac:dyDescent="0.3">
      <c r="A64" s="51" t="s">
        <v>56</v>
      </c>
      <c r="B64" s="51" t="s">
        <v>72</v>
      </c>
      <c r="C64" s="51" t="s">
        <v>73</v>
      </c>
      <c r="D64" s="52" t="s">
        <v>59</v>
      </c>
    </row>
    <row r="65" spans="1:8" x14ac:dyDescent="0.3">
      <c r="A65" s="53" t="s">
        <v>96</v>
      </c>
      <c r="B65" s="53">
        <v>86654</v>
      </c>
      <c r="C65" s="53">
        <v>1491610000</v>
      </c>
      <c r="D65" s="54">
        <v>2.0392263729983355</v>
      </c>
      <c r="F65" s="53" t="s">
        <v>96</v>
      </c>
      <c r="G65" s="53">
        <v>86654</v>
      </c>
      <c r="H65" s="53">
        <v>1491610000</v>
      </c>
    </row>
    <row r="66" spans="1:8" x14ac:dyDescent="0.3">
      <c r="A66" s="53" t="s">
        <v>134</v>
      </c>
      <c r="B66" s="53">
        <v>89845</v>
      </c>
      <c r="C66" s="53">
        <v>2317569000</v>
      </c>
      <c r="D66" s="54">
        <v>1.9449722021528737</v>
      </c>
      <c r="F66" s="53" t="s">
        <v>134</v>
      </c>
      <c r="G66" s="53">
        <v>89845</v>
      </c>
      <c r="H66" s="53">
        <v>2317569000</v>
      </c>
    </row>
    <row r="67" spans="1:8" x14ac:dyDescent="0.3">
      <c r="A67" s="53" t="s">
        <v>153</v>
      </c>
      <c r="B67" s="53">
        <v>26046</v>
      </c>
      <c r="C67" s="53">
        <v>1077310000</v>
      </c>
      <c r="D67" s="54">
        <v>1.7874457985116059</v>
      </c>
      <c r="F67" s="53" t="s">
        <v>153</v>
      </c>
      <c r="G67" s="53">
        <v>26046</v>
      </c>
      <c r="H67" s="53">
        <v>1077310000</v>
      </c>
    </row>
    <row r="68" spans="1:8" x14ac:dyDescent="0.3">
      <c r="A68" s="53" t="s">
        <v>154</v>
      </c>
      <c r="B68" s="53">
        <v>12338</v>
      </c>
      <c r="C68" s="53">
        <v>721459000</v>
      </c>
      <c r="D68" s="54">
        <v>1.9064008848064122</v>
      </c>
      <c r="F68" s="53" t="s">
        <v>154</v>
      </c>
      <c r="G68" s="53">
        <v>12338</v>
      </c>
      <c r="H68" s="53">
        <v>721459000</v>
      </c>
    </row>
    <row r="69" spans="1:8" x14ac:dyDescent="0.3">
      <c r="A69" s="53" t="s">
        <v>155</v>
      </c>
      <c r="B69" s="53">
        <v>6630</v>
      </c>
      <c r="C69" s="53">
        <v>544493000</v>
      </c>
      <c r="D69" s="54">
        <v>1.646254516906247</v>
      </c>
      <c r="F69" s="53" t="s">
        <v>155</v>
      </c>
      <c r="G69" s="53">
        <v>6630</v>
      </c>
      <c r="H69" s="53">
        <v>544493000</v>
      </c>
    </row>
    <row r="70" spans="1:8" x14ac:dyDescent="0.3">
      <c r="A70" s="53" t="s">
        <v>99</v>
      </c>
      <c r="B70" s="53">
        <v>4073</v>
      </c>
      <c r="C70" s="53">
        <v>532312000</v>
      </c>
      <c r="D70" s="54">
        <v>1.6078835915661855</v>
      </c>
      <c r="F70" s="53" t="s">
        <v>99</v>
      </c>
      <c r="G70" s="53">
        <v>4073</v>
      </c>
      <c r="H70" s="53">
        <v>532312000</v>
      </c>
    </row>
    <row r="71" spans="1:8" x14ac:dyDescent="0.3">
      <c r="A71" s="53" t="s">
        <v>101</v>
      </c>
      <c r="B71" s="53">
        <v>482</v>
      </c>
      <c r="C71" s="53">
        <v>114629000</v>
      </c>
      <c r="D71" s="54">
        <v>1.6226625250846938</v>
      </c>
      <c r="F71" s="53" t="s">
        <v>101</v>
      </c>
      <c r="G71" s="53">
        <v>482</v>
      </c>
      <c r="H71" s="53">
        <v>114629000</v>
      </c>
    </row>
    <row r="72" spans="1:8" x14ac:dyDescent="0.3">
      <c r="A72" s="53" t="s">
        <v>135</v>
      </c>
      <c r="B72" s="53">
        <v>193</v>
      </c>
      <c r="C72" s="53">
        <v>71807000</v>
      </c>
      <c r="D72" s="54">
        <v>1.603666893999913</v>
      </c>
      <c r="F72" s="53" t="s">
        <v>135</v>
      </c>
      <c r="G72" s="53">
        <v>193</v>
      </c>
      <c r="H72" s="53">
        <v>71807000</v>
      </c>
    </row>
    <row r="73" spans="1:8" x14ac:dyDescent="0.3">
      <c r="A73" s="53" t="s">
        <v>136</v>
      </c>
      <c r="B73" s="53">
        <v>74</v>
      </c>
      <c r="C73" s="53">
        <v>56651000</v>
      </c>
      <c r="D73" s="54">
        <v>1.5311081081081082</v>
      </c>
      <c r="F73" s="53" t="s">
        <v>136</v>
      </c>
      <c r="G73" s="53">
        <v>74</v>
      </c>
      <c r="H73" s="53">
        <v>56651000</v>
      </c>
    </row>
    <row r="74" spans="1:8" x14ac:dyDescent="0.3">
      <c r="A74" s="51" t="s">
        <v>56</v>
      </c>
      <c r="B74" s="51" t="s">
        <v>74</v>
      </c>
      <c r="C74" s="51" t="s">
        <v>75</v>
      </c>
      <c r="D74" s="52" t="s">
        <v>59</v>
      </c>
    </row>
    <row r="75" spans="1:8" x14ac:dyDescent="0.3">
      <c r="A75" s="53" t="s">
        <v>96</v>
      </c>
      <c r="B75" s="53">
        <v>33692</v>
      </c>
      <c r="C75" s="53">
        <v>578896000</v>
      </c>
      <c r="D75" s="54">
        <v>2.1459097880929177</v>
      </c>
      <c r="F75" s="53" t="s">
        <v>96</v>
      </c>
      <c r="G75" s="53">
        <v>33692</v>
      </c>
      <c r="H75" s="53">
        <v>578896000</v>
      </c>
    </row>
    <row r="76" spans="1:8" x14ac:dyDescent="0.3">
      <c r="A76" s="53" t="s">
        <v>134</v>
      </c>
      <c r="B76" s="53">
        <v>35218</v>
      </c>
      <c r="C76" s="53">
        <v>912993000</v>
      </c>
      <c r="D76" s="54">
        <v>2.0454000907804244</v>
      </c>
      <c r="F76" s="53" t="s">
        <v>134</v>
      </c>
      <c r="G76" s="53">
        <v>35218</v>
      </c>
      <c r="H76" s="53">
        <v>912993000</v>
      </c>
    </row>
    <row r="77" spans="1:8" x14ac:dyDescent="0.3">
      <c r="A77" s="53" t="s">
        <v>153</v>
      </c>
      <c r="B77" s="53">
        <v>11478</v>
      </c>
      <c r="C77" s="53">
        <v>475177000</v>
      </c>
      <c r="D77" s="54">
        <v>1.8293687023011986</v>
      </c>
      <c r="F77" s="53" t="s">
        <v>153</v>
      </c>
      <c r="G77" s="53">
        <v>11478</v>
      </c>
      <c r="H77" s="53">
        <v>475177000</v>
      </c>
    </row>
    <row r="78" spans="1:8" x14ac:dyDescent="0.3">
      <c r="A78" s="53" t="s">
        <v>154</v>
      </c>
      <c r="B78" s="53">
        <v>5777</v>
      </c>
      <c r="C78" s="53">
        <v>338586000</v>
      </c>
      <c r="D78" s="54">
        <v>1.9304263180726484</v>
      </c>
      <c r="F78" s="53" t="s">
        <v>154</v>
      </c>
      <c r="G78" s="53">
        <v>5777</v>
      </c>
      <c r="H78" s="53">
        <v>338586000</v>
      </c>
    </row>
    <row r="79" spans="1:8" x14ac:dyDescent="0.3">
      <c r="A79" s="53" t="s">
        <v>155</v>
      </c>
      <c r="B79" s="53">
        <v>3204</v>
      </c>
      <c r="C79" s="53">
        <v>263217000</v>
      </c>
      <c r="D79" s="54">
        <v>1.6575613238801228</v>
      </c>
      <c r="F79" s="53" t="s">
        <v>155</v>
      </c>
      <c r="G79" s="53">
        <v>3204</v>
      </c>
      <c r="H79" s="53">
        <v>263217000</v>
      </c>
    </row>
    <row r="80" spans="1:8" x14ac:dyDescent="0.3">
      <c r="A80" s="53" t="s">
        <v>99</v>
      </c>
      <c r="B80" s="53">
        <v>2011</v>
      </c>
      <c r="C80" s="53">
        <v>263281000</v>
      </c>
      <c r="D80" s="54">
        <v>1.612960838138779</v>
      </c>
      <c r="F80" s="53" t="s">
        <v>99</v>
      </c>
      <c r="G80" s="53">
        <v>2011</v>
      </c>
      <c r="H80" s="53">
        <v>263281000</v>
      </c>
    </row>
    <row r="81" spans="1:8" x14ac:dyDescent="0.3">
      <c r="A81" s="53" t="s">
        <v>101</v>
      </c>
      <c r="B81" s="53">
        <v>252</v>
      </c>
      <c r="C81" s="53">
        <v>59777000</v>
      </c>
      <c r="D81" s="54">
        <v>1.5940826670006705</v>
      </c>
      <c r="F81" s="53" t="s">
        <v>101</v>
      </c>
      <c r="G81" s="53">
        <v>252</v>
      </c>
      <c r="H81" s="53">
        <v>59777000</v>
      </c>
    </row>
    <row r="82" spans="1:8" x14ac:dyDescent="0.3">
      <c r="A82" s="53" t="s">
        <v>135</v>
      </c>
      <c r="B82" s="53">
        <v>101</v>
      </c>
      <c r="C82" s="53">
        <v>37406000</v>
      </c>
      <c r="D82" s="54">
        <v>1.5668595360546804</v>
      </c>
      <c r="F82" s="53" t="s">
        <v>135</v>
      </c>
      <c r="G82" s="53">
        <v>101</v>
      </c>
      <c r="H82" s="53">
        <v>37406000</v>
      </c>
    </row>
    <row r="83" spans="1:8" x14ac:dyDescent="0.3">
      <c r="A83" s="53" t="s">
        <v>136</v>
      </c>
      <c r="B83" s="53">
        <v>35</v>
      </c>
      <c r="C83" s="53">
        <v>26524000</v>
      </c>
      <c r="D83" s="54">
        <v>1.515657142857143</v>
      </c>
      <c r="F83" s="53" t="s">
        <v>136</v>
      </c>
      <c r="G83" s="53">
        <v>35</v>
      </c>
      <c r="H83" s="53">
        <v>26524000</v>
      </c>
    </row>
    <row r="84" spans="1:8" x14ac:dyDescent="0.3">
      <c r="A84" s="51" t="s">
        <v>56</v>
      </c>
      <c r="B84" s="51" t="s">
        <v>76</v>
      </c>
      <c r="C84" s="51" t="s">
        <v>77</v>
      </c>
      <c r="D84" s="52" t="s">
        <v>59</v>
      </c>
    </row>
    <row r="85" spans="1:8" x14ac:dyDescent="0.3">
      <c r="A85" s="53" t="s">
        <v>96</v>
      </c>
      <c r="B85" s="53">
        <v>13371</v>
      </c>
      <c r="C85" s="53">
        <v>230480000</v>
      </c>
      <c r="D85" s="54">
        <v>2.2150224231910398</v>
      </c>
      <c r="F85" s="53" t="s">
        <v>96</v>
      </c>
      <c r="G85" s="53">
        <v>13371</v>
      </c>
      <c r="H85" s="53">
        <v>230480000</v>
      </c>
    </row>
    <row r="86" spans="1:8" x14ac:dyDescent="0.3">
      <c r="A86" s="53" t="s">
        <v>134</v>
      </c>
      <c r="B86" s="53">
        <v>13253</v>
      </c>
      <c r="C86" s="53">
        <v>344183000</v>
      </c>
      <c r="D86" s="54">
        <v>2.12802380531196</v>
      </c>
      <c r="F86" s="53" t="s">
        <v>134</v>
      </c>
      <c r="G86" s="53">
        <v>13253</v>
      </c>
      <c r="H86" s="53">
        <v>344183000</v>
      </c>
    </row>
    <row r="87" spans="1:8" x14ac:dyDescent="0.3">
      <c r="A87" s="53" t="s">
        <v>153</v>
      </c>
      <c r="B87" s="53">
        <v>4619</v>
      </c>
      <c r="C87" s="53">
        <v>191011000</v>
      </c>
      <c r="D87" s="54">
        <v>1.8658236888417172</v>
      </c>
      <c r="F87" s="53" t="s">
        <v>153</v>
      </c>
      <c r="G87" s="53">
        <v>4619</v>
      </c>
      <c r="H87" s="53">
        <v>191011000</v>
      </c>
    </row>
    <row r="88" spans="1:8" x14ac:dyDescent="0.3">
      <c r="A88" s="53" t="s">
        <v>154</v>
      </c>
      <c r="B88" s="53">
        <v>2538</v>
      </c>
      <c r="C88" s="53">
        <v>148298000</v>
      </c>
      <c r="D88" s="54">
        <v>1.937213829562086</v>
      </c>
      <c r="F88" s="53" t="s">
        <v>154</v>
      </c>
      <c r="G88" s="53">
        <v>2538</v>
      </c>
      <c r="H88" s="53">
        <v>148298000</v>
      </c>
    </row>
    <row r="89" spans="1:8" x14ac:dyDescent="0.3">
      <c r="A89" s="53" t="s">
        <v>155</v>
      </c>
      <c r="B89" s="53">
        <v>1425</v>
      </c>
      <c r="C89" s="53">
        <v>117319000</v>
      </c>
      <c r="D89" s="54">
        <v>1.6585699439360146</v>
      </c>
      <c r="F89" s="53" t="s">
        <v>155</v>
      </c>
      <c r="G89" s="53">
        <v>1425</v>
      </c>
      <c r="H89" s="53">
        <v>117319000</v>
      </c>
    </row>
    <row r="90" spans="1:8" x14ac:dyDescent="0.3">
      <c r="A90" s="53" t="s">
        <v>99</v>
      </c>
      <c r="B90" s="53">
        <v>925</v>
      </c>
      <c r="C90" s="53">
        <v>121699000</v>
      </c>
      <c r="D90" s="54">
        <v>1.5991030560274271</v>
      </c>
      <c r="F90" s="53" t="s">
        <v>99</v>
      </c>
      <c r="G90" s="53">
        <v>925</v>
      </c>
      <c r="H90" s="53">
        <v>121699000</v>
      </c>
    </row>
    <row r="91" spans="1:8" x14ac:dyDescent="0.3">
      <c r="A91" s="53" t="s">
        <v>101</v>
      </c>
      <c r="B91" s="53">
        <v>110</v>
      </c>
      <c r="C91" s="53">
        <v>26023000</v>
      </c>
      <c r="D91" s="54">
        <v>1.5533706073317024</v>
      </c>
      <c r="F91" s="53" t="s">
        <v>101</v>
      </c>
      <c r="G91" s="53">
        <v>110</v>
      </c>
      <c r="H91" s="53">
        <v>26023000</v>
      </c>
    </row>
    <row r="92" spans="1:8" x14ac:dyDescent="0.3">
      <c r="A92" s="53" t="s">
        <v>135</v>
      </c>
      <c r="B92" s="53">
        <v>52</v>
      </c>
      <c r="C92" s="53">
        <v>19385000</v>
      </c>
      <c r="D92" s="54">
        <v>1.4602117429419019</v>
      </c>
      <c r="F92" s="53" t="s">
        <v>135</v>
      </c>
      <c r="G92" s="53">
        <v>52</v>
      </c>
      <c r="H92" s="53">
        <v>19385000</v>
      </c>
    </row>
    <row r="93" spans="1:8" x14ac:dyDescent="0.3">
      <c r="A93" s="53" t="s">
        <v>136</v>
      </c>
      <c r="B93" s="53">
        <v>12</v>
      </c>
      <c r="C93" s="53">
        <v>8652000</v>
      </c>
      <c r="D93" s="54">
        <v>1.4419999999999999</v>
      </c>
      <c r="F93" s="53" t="s">
        <v>136</v>
      </c>
      <c r="G93" s="53">
        <v>12</v>
      </c>
      <c r="H93" s="53">
        <v>8652000</v>
      </c>
    </row>
    <row r="94" spans="1:8" x14ac:dyDescent="0.3">
      <c r="A94" s="51" t="s">
        <v>56</v>
      </c>
      <c r="B94" s="51" t="s">
        <v>78</v>
      </c>
      <c r="C94" s="51" t="s">
        <v>79</v>
      </c>
      <c r="D94" s="52" t="s">
        <v>59</v>
      </c>
    </row>
    <row r="95" spans="1:8" x14ac:dyDescent="0.3">
      <c r="A95" s="53" t="s">
        <v>96</v>
      </c>
      <c r="B95" s="53">
        <v>3950</v>
      </c>
      <c r="C95" s="53">
        <v>70448000</v>
      </c>
      <c r="D95" s="54">
        <v>2.4205474602523931</v>
      </c>
      <c r="F95" s="53" t="s">
        <v>96</v>
      </c>
      <c r="G95" s="53">
        <v>3950</v>
      </c>
      <c r="H95" s="53">
        <v>70448000</v>
      </c>
    </row>
    <row r="96" spans="1:8" x14ac:dyDescent="0.3">
      <c r="A96" s="53" t="s">
        <v>134</v>
      </c>
      <c r="B96" s="53">
        <v>5395</v>
      </c>
      <c r="C96" s="53">
        <v>139980000</v>
      </c>
      <c r="D96" s="54">
        <v>2.199467791065056</v>
      </c>
      <c r="F96" s="53" t="s">
        <v>134</v>
      </c>
      <c r="G96" s="53">
        <v>5395</v>
      </c>
      <c r="H96" s="53">
        <v>139980000</v>
      </c>
    </row>
    <row r="97" spans="1:8" x14ac:dyDescent="0.3">
      <c r="A97" s="53" t="s">
        <v>153</v>
      </c>
      <c r="B97" s="53">
        <v>1932</v>
      </c>
      <c r="C97" s="53">
        <v>80016000</v>
      </c>
      <c r="D97" s="54">
        <v>1.9327903539349367</v>
      </c>
      <c r="F97" s="53" t="s">
        <v>153</v>
      </c>
      <c r="G97" s="53">
        <v>1932</v>
      </c>
      <c r="H97" s="53">
        <v>80016000</v>
      </c>
    </row>
    <row r="98" spans="1:8" x14ac:dyDescent="0.3">
      <c r="A98" s="53" t="s">
        <v>154</v>
      </c>
      <c r="B98" s="53">
        <v>1098</v>
      </c>
      <c r="C98" s="53">
        <v>63902000</v>
      </c>
      <c r="D98" s="54">
        <v>2.0183611442023652</v>
      </c>
      <c r="F98" s="53" t="s">
        <v>154</v>
      </c>
      <c r="G98" s="53">
        <v>1098</v>
      </c>
      <c r="H98" s="53">
        <v>63902000</v>
      </c>
    </row>
    <row r="99" spans="1:8" x14ac:dyDescent="0.3">
      <c r="A99" s="53" t="s">
        <v>155</v>
      </c>
      <c r="B99" s="53">
        <v>577</v>
      </c>
      <c r="C99" s="53">
        <v>47882000</v>
      </c>
      <c r="D99" s="54">
        <v>1.7673753028728529</v>
      </c>
      <c r="F99" s="53" t="s">
        <v>155</v>
      </c>
      <c r="G99" s="53">
        <v>577</v>
      </c>
      <c r="H99" s="53">
        <v>47882000</v>
      </c>
    </row>
    <row r="100" spans="1:8" x14ac:dyDescent="0.3">
      <c r="A100" s="53" t="s">
        <v>99</v>
      </c>
      <c r="B100" s="53">
        <v>411</v>
      </c>
      <c r="C100" s="53">
        <v>53873000</v>
      </c>
      <c r="D100" s="54">
        <v>1.6955029643234507</v>
      </c>
      <c r="F100" s="53" t="s">
        <v>99</v>
      </c>
      <c r="G100" s="53">
        <v>411</v>
      </c>
      <c r="H100" s="53">
        <v>53873000</v>
      </c>
    </row>
    <row r="101" spans="1:8" x14ac:dyDescent="0.3">
      <c r="A101" s="53" t="s">
        <v>101</v>
      </c>
      <c r="B101" s="53">
        <v>54</v>
      </c>
      <c r="C101" s="53">
        <v>12765000</v>
      </c>
      <c r="D101" s="54">
        <v>1.6232031535678118</v>
      </c>
      <c r="F101" s="53" t="s">
        <v>101</v>
      </c>
      <c r="G101" s="53">
        <v>54</v>
      </c>
      <c r="H101" s="53">
        <v>12765000</v>
      </c>
    </row>
    <row r="102" spans="1:8" x14ac:dyDescent="0.3">
      <c r="A102" s="53" t="s">
        <v>135</v>
      </c>
      <c r="B102" s="53">
        <v>37</v>
      </c>
      <c r="C102" s="53">
        <v>13411000</v>
      </c>
      <c r="D102" s="54">
        <v>1.4131473395331267</v>
      </c>
      <c r="F102" s="53" t="s">
        <v>135</v>
      </c>
      <c r="G102" s="53">
        <v>37</v>
      </c>
      <c r="H102" s="53">
        <v>13411000</v>
      </c>
    </row>
    <row r="103" spans="1:8" x14ac:dyDescent="0.3">
      <c r="A103" s="53" t="s">
        <v>136</v>
      </c>
      <c r="B103" s="53">
        <v>11</v>
      </c>
      <c r="C103" s="53">
        <v>6939000</v>
      </c>
      <c r="D103" s="54">
        <v>1.2616363636363634</v>
      </c>
      <c r="F103" s="53" t="s">
        <v>136</v>
      </c>
      <c r="G103" s="53">
        <v>11</v>
      </c>
      <c r="H103" s="53">
        <v>6939000</v>
      </c>
    </row>
    <row r="104" spans="1:8" x14ac:dyDescent="0.3">
      <c r="A104" s="51" t="s">
        <v>56</v>
      </c>
      <c r="B104" s="51" t="s">
        <v>80</v>
      </c>
      <c r="C104" s="51" t="s">
        <v>81</v>
      </c>
      <c r="D104" s="52" t="s">
        <v>59</v>
      </c>
    </row>
    <row r="105" spans="1:8" x14ac:dyDescent="0.3">
      <c r="A105" s="53" t="s">
        <v>96</v>
      </c>
      <c r="B105" s="53">
        <v>1049</v>
      </c>
      <c r="C105" s="53">
        <v>19041000</v>
      </c>
      <c r="D105" s="54">
        <v>2.5444337000791277</v>
      </c>
      <c r="F105" s="53" t="s">
        <v>96</v>
      </c>
      <c r="G105" s="53">
        <v>1049</v>
      </c>
      <c r="H105" s="53">
        <v>19041000</v>
      </c>
    </row>
    <row r="106" spans="1:8" x14ac:dyDescent="0.3">
      <c r="A106" s="53" t="s">
        <v>134</v>
      </c>
      <c r="B106" s="53">
        <v>2246</v>
      </c>
      <c r="C106" s="53">
        <v>57434000</v>
      </c>
      <c r="D106" s="54">
        <v>2.1783716614093467</v>
      </c>
      <c r="F106" s="53" t="s">
        <v>134</v>
      </c>
      <c r="G106" s="53">
        <v>2246</v>
      </c>
      <c r="H106" s="53">
        <v>57434000</v>
      </c>
    </row>
    <row r="107" spans="1:8" x14ac:dyDescent="0.3">
      <c r="A107" s="53" t="s">
        <v>153</v>
      </c>
      <c r="B107" s="53">
        <v>751</v>
      </c>
      <c r="C107" s="53">
        <v>31228000</v>
      </c>
      <c r="D107" s="54">
        <v>1.9460090151839142</v>
      </c>
      <c r="F107" s="53" t="s">
        <v>153</v>
      </c>
      <c r="G107" s="53">
        <v>751</v>
      </c>
      <c r="H107" s="53">
        <v>31228000</v>
      </c>
    </row>
    <row r="108" spans="1:8" x14ac:dyDescent="0.3">
      <c r="A108" s="53" t="s">
        <v>154</v>
      </c>
      <c r="B108" s="53">
        <v>423</v>
      </c>
      <c r="C108" s="53">
        <v>24700000</v>
      </c>
      <c r="D108" s="54">
        <v>2.0069284281790387</v>
      </c>
      <c r="F108" s="53" t="s">
        <v>154</v>
      </c>
      <c r="G108" s="53">
        <v>423</v>
      </c>
      <c r="H108" s="53">
        <v>24700000</v>
      </c>
    </row>
    <row r="109" spans="1:8" x14ac:dyDescent="0.3">
      <c r="A109" s="53" t="s">
        <v>155</v>
      </c>
      <c r="B109" s="53">
        <v>259</v>
      </c>
      <c r="C109" s="53">
        <v>21445000</v>
      </c>
      <c r="D109" s="54">
        <v>1.6965395920883484</v>
      </c>
      <c r="F109" s="53" t="s">
        <v>155</v>
      </c>
      <c r="G109" s="53">
        <v>259</v>
      </c>
      <c r="H109" s="53">
        <v>21445000</v>
      </c>
    </row>
    <row r="110" spans="1:8" x14ac:dyDescent="0.3">
      <c r="A110" s="53" t="s">
        <v>99</v>
      </c>
      <c r="B110" s="53">
        <v>173</v>
      </c>
      <c r="C110" s="53">
        <v>22392000</v>
      </c>
      <c r="D110" s="54">
        <v>1.6189584745229182</v>
      </c>
      <c r="F110" s="53" t="s">
        <v>99</v>
      </c>
      <c r="G110" s="53">
        <v>173</v>
      </c>
      <c r="H110" s="53">
        <v>22392000</v>
      </c>
    </row>
    <row r="111" spans="1:8" x14ac:dyDescent="0.3">
      <c r="A111" s="53" t="s">
        <v>101</v>
      </c>
      <c r="B111" s="53">
        <v>27</v>
      </c>
      <c r="C111" s="53">
        <v>6506000</v>
      </c>
      <c r="D111" s="54">
        <v>1.4628338350524333</v>
      </c>
      <c r="F111" s="53" t="s">
        <v>101</v>
      </c>
      <c r="G111" s="53">
        <v>27</v>
      </c>
      <c r="H111" s="53">
        <v>6506000</v>
      </c>
    </row>
    <row r="112" spans="1:8" x14ac:dyDescent="0.3">
      <c r="A112" s="53" t="s">
        <v>135</v>
      </c>
      <c r="B112" s="53">
        <v>15</v>
      </c>
      <c r="C112" s="53">
        <v>5544000</v>
      </c>
      <c r="D112" s="54">
        <v>1.2655828139062031</v>
      </c>
      <c r="F112" s="53" t="s">
        <v>135</v>
      </c>
      <c r="G112" s="53">
        <v>15</v>
      </c>
      <c r="H112" s="53">
        <v>5544000</v>
      </c>
    </row>
    <row r="113" spans="1:8" x14ac:dyDescent="0.3">
      <c r="A113" s="53" t="s">
        <v>136</v>
      </c>
      <c r="B113" s="53">
        <v>1</v>
      </c>
      <c r="C113" s="53">
        <v>531000</v>
      </c>
      <c r="D113" s="54">
        <v>1.0620000000000001</v>
      </c>
      <c r="F113" s="53" t="s">
        <v>136</v>
      </c>
      <c r="G113" s="53">
        <v>1</v>
      </c>
      <c r="H113" s="53">
        <v>531000</v>
      </c>
    </row>
    <row r="114" spans="1:8" x14ac:dyDescent="0.3">
      <c r="A114" s="51" t="s">
        <v>56</v>
      </c>
      <c r="B114" s="51" t="s">
        <v>82</v>
      </c>
      <c r="C114" s="51" t="s">
        <v>83</v>
      </c>
      <c r="D114" s="52" t="s">
        <v>59</v>
      </c>
    </row>
    <row r="115" spans="1:8" x14ac:dyDescent="0.3">
      <c r="A115" s="51"/>
      <c r="B115" s="51"/>
      <c r="C115" s="51"/>
      <c r="D115" s="52"/>
      <c r="F115" s="53">
        <v>15010</v>
      </c>
      <c r="G115" s="2">
        <v>470.32190560997327</v>
      </c>
      <c r="H115" s="2">
        <v>8537082.3686553873</v>
      </c>
    </row>
    <row r="116" spans="1:8" x14ac:dyDescent="0.3">
      <c r="A116" s="53" t="s">
        <v>134</v>
      </c>
      <c r="B116" s="53">
        <v>1007</v>
      </c>
      <c r="C116" s="53">
        <v>25635000</v>
      </c>
      <c r="D116" s="54">
        <v>2.0377888914423563</v>
      </c>
      <c r="F116" s="53">
        <v>20010</v>
      </c>
      <c r="G116" s="53">
        <v>1007</v>
      </c>
      <c r="H116" s="53">
        <v>25635000</v>
      </c>
    </row>
    <row r="117" spans="1:8" x14ac:dyDescent="0.3">
      <c r="A117" s="53" t="s">
        <v>153</v>
      </c>
      <c r="B117" s="53">
        <v>294</v>
      </c>
      <c r="C117" s="53">
        <v>12220000</v>
      </c>
      <c r="D117" s="54">
        <v>1.8564330352798954</v>
      </c>
      <c r="F117" s="53">
        <v>35010</v>
      </c>
      <c r="G117" s="53">
        <v>294</v>
      </c>
      <c r="H117" s="53">
        <v>12220000</v>
      </c>
    </row>
    <row r="118" spans="1:8" x14ac:dyDescent="0.3">
      <c r="A118" s="53" t="s">
        <v>154</v>
      </c>
      <c r="B118" s="53">
        <v>171</v>
      </c>
      <c r="C118" s="53">
        <v>10126000</v>
      </c>
      <c r="D118" s="54">
        <v>1.890153338130885</v>
      </c>
      <c r="F118" s="53">
        <v>45010</v>
      </c>
      <c r="G118" s="53">
        <v>171</v>
      </c>
      <c r="H118" s="53">
        <v>10126000</v>
      </c>
    </row>
    <row r="119" spans="1:8" x14ac:dyDescent="0.3">
      <c r="A119" s="53" t="s">
        <v>155</v>
      </c>
      <c r="B119" s="53">
        <v>102</v>
      </c>
      <c r="C119" s="53">
        <v>8349000</v>
      </c>
      <c r="D119" s="54">
        <v>1.582415136708045</v>
      </c>
      <c r="F119" s="53">
        <v>70010</v>
      </c>
      <c r="G119" s="53">
        <v>102</v>
      </c>
      <c r="H119" s="53">
        <v>8349000</v>
      </c>
    </row>
    <row r="120" spans="1:8" x14ac:dyDescent="0.3">
      <c r="A120" s="53" t="s">
        <v>99</v>
      </c>
      <c r="B120" s="53">
        <v>59</v>
      </c>
      <c r="C120" s="53">
        <v>8175000</v>
      </c>
      <c r="D120" s="54">
        <v>1.5292756438641848</v>
      </c>
      <c r="F120" s="53">
        <v>100010</v>
      </c>
      <c r="G120" s="53">
        <v>59</v>
      </c>
      <c r="H120" s="53">
        <v>8175000</v>
      </c>
    </row>
    <row r="121" spans="1:8" x14ac:dyDescent="0.3">
      <c r="A121" s="53" t="s">
        <v>101</v>
      </c>
      <c r="B121" s="53">
        <v>11</v>
      </c>
      <c r="C121" s="53">
        <v>2531000</v>
      </c>
      <c r="D121" s="54">
        <v>1.1503970256032652</v>
      </c>
      <c r="F121" s="53">
        <v>200010</v>
      </c>
      <c r="G121" s="53">
        <v>11</v>
      </c>
      <c r="H121" s="53">
        <v>2531000</v>
      </c>
    </row>
    <row r="122" spans="1:8" x14ac:dyDescent="0.3">
      <c r="F122" s="53">
        <v>300010</v>
      </c>
      <c r="G122" s="53">
        <v>0</v>
      </c>
      <c r="H122" s="53">
        <v>0</v>
      </c>
    </row>
    <row r="123" spans="1:8" x14ac:dyDescent="0.3">
      <c r="F123" s="53">
        <v>500000</v>
      </c>
      <c r="G123" s="53">
        <v>0</v>
      </c>
      <c r="H123" s="53">
        <v>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workbookViewId="0">
      <selection sqref="A1:D1"/>
    </sheetView>
  </sheetViews>
  <sheetFormatPr baseColWidth="10" defaultRowHeight="15.6" x14ac:dyDescent="0.3"/>
  <cols>
    <col min="12" max="12" width="14" customWidth="1"/>
  </cols>
  <sheetData>
    <row r="1" spans="1:15" x14ac:dyDescent="0.3">
      <c r="A1" s="79" t="s">
        <v>228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 s="60">
        <v>2510</v>
      </c>
      <c r="M3" t="s">
        <v>7</v>
      </c>
      <c r="N3" t="s">
        <v>8</v>
      </c>
      <c r="O3" t="s">
        <v>14</v>
      </c>
    </row>
    <row r="4" spans="1:15" x14ac:dyDescent="0.3">
      <c r="A4" s="53" t="s">
        <v>96</v>
      </c>
      <c r="B4" s="53">
        <v>79676</v>
      </c>
      <c r="C4" s="53">
        <v>1358752000</v>
      </c>
      <c r="D4" s="54">
        <v>1.6418808173279666</v>
      </c>
      <c r="F4" s="53" t="s">
        <v>96</v>
      </c>
      <c r="G4" s="53">
        <v>79676</v>
      </c>
      <c r="H4" s="53">
        <v>1358752000</v>
      </c>
      <c r="I4" s="2">
        <f>J4/6.55957</f>
        <v>2286.7352585611557</v>
      </c>
      <c r="J4" s="53">
        <v>15000</v>
      </c>
      <c r="K4" s="2">
        <f>G4+G14+G24+G34+G44+G54+G64+G74+G84+G94+G104+G114</f>
        <v>1218572.2947368422</v>
      </c>
      <c r="L4" s="2">
        <f>H4+H14+H24+H34+H44+H54+H64+H74+H84+H94+H104+H114</f>
        <v>20960688042.105263</v>
      </c>
      <c r="M4">
        <f>1-SUM(K4:$K$12)/$K$14</f>
        <v>0.86354755271206818</v>
      </c>
      <c r="N4">
        <f>SUM(L4:$L$12)/(J4*SUM(K4:$K$12))</f>
        <v>1.8452644637831168</v>
      </c>
      <c r="O4">
        <f>(G4+G14+G34)/K4</f>
        <v>0.10717460142830823</v>
      </c>
    </row>
    <row r="5" spans="1:15" x14ac:dyDescent="0.3">
      <c r="A5" s="53" t="s">
        <v>134</v>
      </c>
      <c r="B5" s="53">
        <v>51221</v>
      </c>
      <c r="C5" s="53">
        <v>1284949000</v>
      </c>
      <c r="D5" s="54">
        <v>1.6770542784253488</v>
      </c>
      <c r="F5" s="53" t="s">
        <v>134</v>
      </c>
      <c r="G5" s="53">
        <v>51221</v>
      </c>
      <c r="H5" s="53">
        <v>1284949000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1086982</v>
      </c>
      <c r="L5" s="2">
        <f t="shared" si="1"/>
        <v>27620815000</v>
      </c>
      <c r="M5">
        <f>1-SUM(K5:$K$12)/$K$14</f>
        <v>0.92397608878631832</v>
      </c>
      <c r="N5">
        <f>SUM(L5:$L$12)/(J5*SUM(K5:$K$12))</f>
        <v>1.8003745121687917</v>
      </c>
      <c r="O5">
        <f t="shared" ref="O5:O12" si="2">(G5+G15+G35)/K5</f>
        <v>8.1147617899836433E-2</v>
      </c>
    </row>
    <row r="6" spans="1:15" x14ac:dyDescent="0.3">
      <c r="A6" s="53" t="s">
        <v>153</v>
      </c>
      <c r="B6" s="53">
        <v>9645</v>
      </c>
      <c r="C6" s="53">
        <v>395399000</v>
      </c>
      <c r="D6" s="54">
        <v>1.703494945939505</v>
      </c>
      <c r="F6" s="53" t="s">
        <v>153</v>
      </c>
      <c r="G6" s="53">
        <v>9645</v>
      </c>
      <c r="H6" s="53">
        <v>395399000</v>
      </c>
      <c r="I6" s="2">
        <f t="shared" si="0"/>
        <v>5335.7156033093634</v>
      </c>
      <c r="J6" s="53">
        <v>35000</v>
      </c>
      <c r="K6" s="2">
        <f t="shared" si="1"/>
        <v>246075</v>
      </c>
      <c r="L6" s="2">
        <f t="shared" si="1"/>
        <v>10121199000</v>
      </c>
      <c r="M6">
        <f>1-SUM(K6:$K$12)/$K$14</f>
        <v>0.97787911225301016</v>
      </c>
      <c r="N6">
        <f>SUM(L6:$L$12)/(J6*SUM(K6:$K$12))</f>
        <v>1.7665585820320744</v>
      </c>
      <c r="O6">
        <f t="shared" si="2"/>
        <v>7.4729249212638418E-2</v>
      </c>
    </row>
    <row r="7" spans="1:15" x14ac:dyDescent="0.3">
      <c r="A7" s="53" t="s">
        <v>154</v>
      </c>
      <c r="B7" s="53">
        <v>3863</v>
      </c>
      <c r="C7" s="53">
        <v>225034000</v>
      </c>
      <c r="D7" s="54">
        <v>1.896416229904669</v>
      </c>
      <c r="F7" s="53" t="s">
        <v>154</v>
      </c>
      <c r="G7" s="53">
        <v>3863</v>
      </c>
      <c r="H7" s="53">
        <v>225034000</v>
      </c>
      <c r="I7" s="2">
        <f t="shared" si="0"/>
        <v>6860.2057756834674</v>
      </c>
      <c r="J7" s="53">
        <v>45000</v>
      </c>
      <c r="K7" s="2">
        <f t="shared" si="1"/>
        <v>106253</v>
      </c>
      <c r="L7" s="2">
        <f t="shared" si="1"/>
        <v>6191988000</v>
      </c>
      <c r="M7">
        <f>1-SUM(K7:$K$12)/$K$14</f>
        <v>0.99008187779978674</v>
      </c>
      <c r="N7">
        <f>SUM(L7:$L$12)/(J7*SUM(K7:$K$12))</f>
        <v>1.9399239792981917</v>
      </c>
      <c r="O7">
        <f t="shared" si="2"/>
        <v>7.3080289497708298E-2</v>
      </c>
    </row>
    <row r="8" spans="1:15" x14ac:dyDescent="0.3">
      <c r="A8" s="53" t="s">
        <v>155</v>
      </c>
      <c r="B8" s="53">
        <v>1840</v>
      </c>
      <c r="C8" s="53">
        <v>151023000</v>
      </c>
      <c r="D8" s="54">
        <v>1.6971825556217621</v>
      </c>
      <c r="F8" s="53" t="s">
        <v>155</v>
      </c>
      <c r="G8" s="53">
        <v>1840</v>
      </c>
      <c r="H8" s="53">
        <v>151023000</v>
      </c>
      <c r="I8" s="2">
        <f t="shared" si="0"/>
        <v>10671.431206618727</v>
      </c>
      <c r="J8" s="53">
        <v>70000</v>
      </c>
      <c r="K8" s="2">
        <f t="shared" si="1"/>
        <v>53352</v>
      </c>
      <c r="L8" s="2">
        <f t="shared" si="1"/>
        <v>4380322000</v>
      </c>
      <c r="M8">
        <f>1-SUM(K8:$K$12)/$K$14</f>
        <v>0.99535092360956678</v>
      </c>
      <c r="N8">
        <f>SUM(L8:$L$12)/(J8*SUM(K8:$K$12))</f>
        <v>1.716961038129879</v>
      </c>
      <c r="O8">
        <f t="shared" si="2"/>
        <v>7.0962663067926229E-2</v>
      </c>
    </row>
    <row r="9" spans="1:15" x14ac:dyDescent="0.3">
      <c r="A9" s="53" t="s">
        <v>99</v>
      </c>
      <c r="B9" s="53">
        <v>1026</v>
      </c>
      <c r="C9" s="53">
        <v>135089000</v>
      </c>
      <c r="D9" s="54">
        <v>1.7125052428814527</v>
      </c>
      <c r="F9" s="53" t="s">
        <v>99</v>
      </c>
      <c r="G9" s="53">
        <v>1026</v>
      </c>
      <c r="H9" s="53">
        <v>135089000</v>
      </c>
      <c r="I9" s="2">
        <f t="shared" si="0"/>
        <v>15244.901723741039</v>
      </c>
      <c r="J9" s="53">
        <v>100000</v>
      </c>
      <c r="K9" s="2">
        <f t="shared" si="1"/>
        <v>32998</v>
      </c>
      <c r="L9" s="2">
        <f t="shared" si="1"/>
        <v>4334716000</v>
      </c>
      <c r="M9">
        <f>1-SUM(K9:$K$12)/$K$14</f>
        <v>0.99799662897358843</v>
      </c>
      <c r="N9">
        <f>SUM(L9:$L$12)/(J9*SUM(K9:$K$12))</f>
        <v>1.7048330404217926</v>
      </c>
      <c r="O9">
        <f t="shared" si="2"/>
        <v>7.4004485120310326E-2</v>
      </c>
    </row>
    <row r="10" spans="1:15" x14ac:dyDescent="0.3">
      <c r="A10" s="53" t="s">
        <v>101</v>
      </c>
      <c r="B10" s="53">
        <v>170</v>
      </c>
      <c r="C10" s="53">
        <v>40773000</v>
      </c>
      <c r="D10" s="54">
        <v>1.6287208453265549</v>
      </c>
      <c r="F10" s="53" t="s">
        <v>101</v>
      </c>
      <c r="G10" s="53">
        <v>170</v>
      </c>
      <c r="H10" s="53">
        <v>40773000</v>
      </c>
      <c r="I10" s="2">
        <f t="shared" si="0"/>
        <v>30489.803447482078</v>
      </c>
      <c r="J10" s="53">
        <v>200000</v>
      </c>
      <c r="K10" s="2">
        <f t="shared" si="1"/>
        <v>4572</v>
      </c>
      <c r="L10" s="2">
        <f t="shared" si="1"/>
        <v>1093623000</v>
      </c>
      <c r="M10">
        <f>1-SUM(K10:$K$12)/$K$14</f>
        <v>0.99963298722823657</v>
      </c>
      <c r="N10">
        <f>SUM(L10:$L$12)/(J10*SUM(K10:$K$12))</f>
        <v>1.7245230374273748</v>
      </c>
      <c r="O10">
        <f t="shared" si="2"/>
        <v>8.6395450568678922E-2</v>
      </c>
    </row>
    <row r="11" spans="1:15" x14ac:dyDescent="0.3">
      <c r="A11" s="53" t="s">
        <v>135</v>
      </c>
      <c r="B11" s="53">
        <v>63</v>
      </c>
      <c r="C11" s="53">
        <v>23383000</v>
      </c>
      <c r="D11" s="54">
        <v>1.6093370364357029</v>
      </c>
      <c r="F11" s="53" t="s">
        <v>135</v>
      </c>
      <c r="G11" s="53">
        <v>63</v>
      </c>
      <c r="H11" s="53">
        <v>23383000</v>
      </c>
      <c r="I11" s="2">
        <f t="shared" si="0"/>
        <v>45734.705171223111</v>
      </c>
      <c r="J11" s="53">
        <v>300000</v>
      </c>
      <c r="K11" s="2">
        <f t="shared" si="1"/>
        <v>1994</v>
      </c>
      <c r="L11" s="2">
        <f t="shared" si="1"/>
        <v>739654000</v>
      </c>
      <c r="M11">
        <f>1-SUM(K11:$K$12)/$K$14</f>
        <v>0.99985971096725867</v>
      </c>
      <c r="N11">
        <f>SUM(L11:$L$12)/(J11*SUM(K11:$K$12))</f>
        <v>1.7191186520560857</v>
      </c>
      <c r="O11">
        <f t="shared" si="2"/>
        <v>0.10230692076228685</v>
      </c>
    </row>
    <row r="12" spans="1:15" x14ac:dyDescent="0.3">
      <c r="A12" s="53" t="s">
        <v>136</v>
      </c>
      <c r="B12" s="53">
        <v>30</v>
      </c>
      <c r="C12" s="53">
        <v>21519000</v>
      </c>
      <c r="D12" s="54">
        <v>1.4346000000000001</v>
      </c>
      <c r="F12" s="53" t="s">
        <v>136</v>
      </c>
      <c r="G12" s="53">
        <v>30</v>
      </c>
      <c r="H12" s="53">
        <v>21519000</v>
      </c>
      <c r="I12" s="2">
        <f t="shared" si="0"/>
        <v>76224.508618705193</v>
      </c>
      <c r="J12" s="53">
        <v>500000</v>
      </c>
      <c r="K12" s="2">
        <f t="shared" si="1"/>
        <v>835</v>
      </c>
      <c r="L12" s="2">
        <f>H12+H22+H32+H42+H52+H62+H72+H82+H92+H102+H112+H122</f>
        <v>719362000</v>
      </c>
      <c r="M12">
        <f>1-SUM(K12:$K$12)/$K$14</f>
        <v>0.99995859266796072</v>
      </c>
      <c r="N12">
        <f>SUM(L12:$L$12)/(J12*SUM(K12:$K$12))</f>
        <v>1.7230227544910179</v>
      </c>
      <c r="O12">
        <f t="shared" si="2"/>
        <v>0.1281437125748503</v>
      </c>
    </row>
    <row r="13" spans="1:15" x14ac:dyDescent="0.3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3">
      <c r="A14" s="53" t="s">
        <v>96</v>
      </c>
      <c r="B14" s="53">
        <v>44796</v>
      </c>
      <c r="C14" s="53">
        <v>765341000</v>
      </c>
      <c r="D14" s="54">
        <v>1.8917265123736895</v>
      </c>
      <c r="F14" s="53" t="s">
        <v>96</v>
      </c>
      <c r="G14" s="53">
        <v>44796</v>
      </c>
      <c r="H14" s="53">
        <v>765341000</v>
      </c>
      <c r="K14" s="5">
        <v>20165510.76530382</v>
      </c>
    </row>
    <row r="15" spans="1:15" x14ac:dyDescent="0.3">
      <c r="A15" s="53" t="s">
        <v>134</v>
      </c>
      <c r="B15" s="53">
        <v>32885</v>
      </c>
      <c r="C15" s="53">
        <v>836918000</v>
      </c>
      <c r="D15" s="54">
        <v>1.9481085911959912</v>
      </c>
      <c r="F15" s="53" t="s">
        <v>134</v>
      </c>
      <c r="G15" s="53">
        <v>32885</v>
      </c>
      <c r="H15" s="53">
        <v>836918000</v>
      </c>
    </row>
    <row r="16" spans="1:15" x14ac:dyDescent="0.3">
      <c r="A16" s="53" t="s">
        <v>153</v>
      </c>
      <c r="B16" s="53">
        <v>7938</v>
      </c>
      <c r="C16" s="53">
        <v>326652000</v>
      </c>
      <c r="D16" s="54">
        <v>1.9625063704482182</v>
      </c>
      <c r="F16" s="53" t="s">
        <v>153</v>
      </c>
      <c r="G16" s="53">
        <v>7938</v>
      </c>
      <c r="H16" s="53">
        <v>326652000</v>
      </c>
    </row>
    <row r="17" spans="1:8" x14ac:dyDescent="0.3">
      <c r="A17" s="53" t="s">
        <v>154</v>
      </c>
      <c r="B17" s="53">
        <v>3519</v>
      </c>
      <c r="C17" s="53">
        <v>204873000</v>
      </c>
      <c r="D17" s="54">
        <v>2.2176117353772224</v>
      </c>
      <c r="F17" s="53" t="s">
        <v>154</v>
      </c>
      <c r="G17" s="53">
        <v>3519</v>
      </c>
      <c r="H17" s="53">
        <v>204873000</v>
      </c>
    </row>
    <row r="18" spans="1:8" x14ac:dyDescent="0.3">
      <c r="A18" s="53" t="s">
        <v>155</v>
      </c>
      <c r="B18" s="53">
        <v>1788</v>
      </c>
      <c r="C18" s="53">
        <v>146759000</v>
      </c>
      <c r="D18" s="54">
        <v>2.0208735176012635</v>
      </c>
      <c r="F18" s="53" t="s">
        <v>155</v>
      </c>
      <c r="G18" s="53">
        <v>1788</v>
      </c>
      <c r="H18" s="53">
        <v>146759000</v>
      </c>
    </row>
    <row r="19" spans="1:8" x14ac:dyDescent="0.3">
      <c r="A19" s="53" t="s">
        <v>99</v>
      </c>
      <c r="B19" s="53">
        <v>1300</v>
      </c>
      <c r="C19" s="53">
        <v>172211000</v>
      </c>
      <c r="D19" s="54">
        <v>2.0303187072597089</v>
      </c>
      <c r="F19" s="53" t="s">
        <v>99</v>
      </c>
      <c r="G19" s="53">
        <v>1300</v>
      </c>
      <c r="H19" s="53">
        <v>172211000</v>
      </c>
    </row>
    <row r="20" spans="1:8" x14ac:dyDescent="0.3">
      <c r="A20" s="53" t="s">
        <v>101</v>
      </c>
      <c r="B20" s="53">
        <v>221</v>
      </c>
      <c r="C20" s="53">
        <v>53196000</v>
      </c>
      <c r="D20" s="54">
        <v>2.0946482087660323</v>
      </c>
      <c r="F20" s="53" t="s">
        <v>101</v>
      </c>
      <c r="G20" s="53">
        <v>221</v>
      </c>
      <c r="H20" s="53">
        <v>53196000</v>
      </c>
    </row>
    <row r="21" spans="1:8" x14ac:dyDescent="0.3">
      <c r="A21" s="53" t="s">
        <v>135</v>
      </c>
      <c r="B21" s="53">
        <v>132</v>
      </c>
      <c r="C21" s="53">
        <v>49439000</v>
      </c>
      <c r="D21" s="54">
        <v>2.0400953955129602</v>
      </c>
      <c r="F21" s="53" t="s">
        <v>135</v>
      </c>
      <c r="G21" s="53">
        <v>132</v>
      </c>
      <c r="H21" s="53">
        <v>49439000</v>
      </c>
    </row>
    <row r="22" spans="1:8" x14ac:dyDescent="0.3">
      <c r="A22" s="53" t="s">
        <v>136</v>
      </c>
      <c r="B22" s="53">
        <v>72</v>
      </c>
      <c r="C22" s="53">
        <v>75419000</v>
      </c>
      <c r="D22" s="54">
        <v>2.0949722222222222</v>
      </c>
      <c r="F22" s="53" t="s">
        <v>136</v>
      </c>
      <c r="G22" s="53">
        <v>72</v>
      </c>
      <c r="H22" s="53">
        <v>75419000</v>
      </c>
    </row>
    <row r="23" spans="1:8" x14ac:dyDescent="0.3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3">
      <c r="A24" s="53" t="s">
        <v>96</v>
      </c>
      <c r="B24" s="53">
        <v>384066</v>
      </c>
      <c r="C24" s="53">
        <v>6600477000</v>
      </c>
      <c r="D24" s="54">
        <v>1.8073940156249848</v>
      </c>
      <c r="F24" s="53" t="s">
        <v>96</v>
      </c>
      <c r="G24" s="53">
        <v>384066</v>
      </c>
      <c r="H24" s="53">
        <v>6600477000</v>
      </c>
    </row>
    <row r="25" spans="1:8" x14ac:dyDescent="0.3">
      <c r="A25" s="53" t="s">
        <v>134</v>
      </c>
      <c r="B25" s="53">
        <v>332593</v>
      </c>
      <c r="C25" s="53">
        <v>8405588000</v>
      </c>
      <c r="D25" s="54">
        <v>1.7737989447343963</v>
      </c>
      <c r="F25" s="53" t="s">
        <v>134</v>
      </c>
      <c r="G25" s="53">
        <v>332593</v>
      </c>
      <c r="H25" s="53">
        <v>8405588000</v>
      </c>
    </row>
    <row r="26" spans="1:8" x14ac:dyDescent="0.3">
      <c r="A26" s="53" t="s">
        <v>153</v>
      </c>
      <c r="B26" s="53">
        <v>69104</v>
      </c>
      <c r="C26" s="53">
        <v>2835953000</v>
      </c>
      <c r="D26" s="54">
        <v>1.7971871666115118</v>
      </c>
      <c r="F26" s="53" t="s">
        <v>153</v>
      </c>
      <c r="G26" s="53">
        <v>69104</v>
      </c>
      <c r="H26" s="53">
        <v>2835953000</v>
      </c>
    </row>
    <row r="27" spans="1:8" x14ac:dyDescent="0.3">
      <c r="A27" s="53" t="s">
        <v>154</v>
      </c>
      <c r="B27" s="53">
        <v>28783</v>
      </c>
      <c r="C27" s="53">
        <v>1676925000</v>
      </c>
      <c r="D27" s="54">
        <v>2.0104269084297042</v>
      </c>
      <c r="F27" s="53" t="s">
        <v>154</v>
      </c>
      <c r="G27" s="53">
        <v>28783</v>
      </c>
      <c r="H27" s="53">
        <v>1676925000</v>
      </c>
    </row>
    <row r="28" spans="1:8" x14ac:dyDescent="0.3">
      <c r="A28" s="53" t="s">
        <v>155</v>
      </c>
      <c r="B28" s="53">
        <v>14465</v>
      </c>
      <c r="C28" s="53">
        <v>1187804000</v>
      </c>
      <c r="D28" s="54">
        <v>1.8009404621608405</v>
      </c>
      <c r="F28" s="53" t="s">
        <v>155</v>
      </c>
      <c r="G28" s="53">
        <v>14465</v>
      </c>
      <c r="H28" s="53">
        <v>1187804000</v>
      </c>
    </row>
    <row r="29" spans="1:8" x14ac:dyDescent="0.3">
      <c r="A29" s="53" t="s">
        <v>99</v>
      </c>
      <c r="B29" s="53">
        <v>9095</v>
      </c>
      <c r="C29" s="53">
        <v>1198295000</v>
      </c>
      <c r="D29" s="54">
        <v>1.8091214334930772</v>
      </c>
      <c r="F29" s="53" t="s">
        <v>99</v>
      </c>
      <c r="G29" s="53">
        <v>9095</v>
      </c>
      <c r="H29" s="53">
        <v>1198295000</v>
      </c>
    </row>
    <row r="30" spans="1:8" x14ac:dyDescent="0.3">
      <c r="A30" s="53" t="s">
        <v>101</v>
      </c>
      <c r="B30" s="53">
        <v>1472</v>
      </c>
      <c r="C30" s="53">
        <v>353383000</v>
      </c>
      <c r="D30" s="54">
        <v>1.7987345334852411</v>
      </c>
      <c r="F30" s="53" t="s">
        <v>101</v>
      </c>
      <c r="G30" s="53">
        <v>1472</v>
      </c>
      <c r="H30" s="53">
        <v>353383000</v>
      </c>
    </row>
    <row r="31" spans="1:8" x14ac:dyDescent="0.3">
      <c r="A31" s="53" t="s">
        <v>135</v>
      </c>
      <c r="B31" s="53">
        <v>698</v>
      </c>
      <c r="C31" s="53">
        <v>259727000</v>
      </c>
      <c r="D31" s="54">
        <v>1.7699086091364171</v>
      </c>
      <c r="F31" s="53" t="s">
        <v>135</v>
      </c>
      <c r="G31" s="53">
        <v>698</v>
      </c>
      <c r="H31" s="53">
        <v>259727000</v>
      </c>
    </row>
    <row r="32" spans="1:8" x14ac:dyDescent="0.3">
      <c r="A32" s="53" t="s">
        <v>136</v>
      </c>
      <c r="B32" s="53">
        <v>331</v>
      </c>
      <c r="C32" s="53">
        <v>286662000</v>
      </c>
      <c r="D32" s="54">
        <v>1.7320966767371602</v>
      </c>
      <c r="F32" s="53" t="s">
        <v>136</v>
      </c>
      <c r="G32" s="53">
        <v>331</v>
      </c>
      <c r="H32" s="53">
        <v>286662000</v>
      </c>
    </row>
    <row r="33" spans="1:8" x14ac:dyDescent="0.3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3">
      <c r="A34" s="53" t="s">
        <v>96</v>
      </c>
      <c r="B34" s="53">
        <v>6128</v>
      </c>
      <c r="C34" s="53">
        <v>104501000</v>
      </c>
      <c r="D34" s="54">
        <v>1.7105970119615648</v>
      </c>
      <c r="F34" s="53" t="s">
        <v>96</v>
      </c>
      <c r="G34" s="53">
        <v>6128</v>
      </c>
      <c r="H34" s="53">
        <v>104501000</v>
      </c>
    </row>
    <row r="35" spans="1:8" x14ac:dyDescent="0.3">
      <c r="A35" s="53" t="s">
        <v>134</v>
      </c>
      <c r="B35" s="53">
        <v>4100</v>
      </c>
      <c r="C35" s="53">
        <v>103509000</v>
      </c>
      <c r="D35" s="54">
        <v>1.7563338022800101</v>
      </c>
      <c r="F35" s="53" t="s">
        <v>134</v>
      </c>
      <c r="G35" s="53">
        <v>4100</v>
      </c>
      <c r="H35" s="53">
        <v>103509000</v>
      </c>
    </row>
    <row r="36" spans="1:8" x14ac:dyDescent="0.3">
      <c r="A36" s="53" t="s">
        <v>153</v>
      </c>
      <c r="B36" s="53">
        <v>806</v>
      </c>
      <c r="C36" s="53">
        <v>33157000</v>
      </c>
      <c r="D36" s="54">
        <v>1.7865253508161361</v>
      </c>
      <c r="F36" s="53" t="s">
        <v>153</v>
      </c>
      <c r="G36" s="53">
        <v>806</v>
      </c>
      <c r="H36" s="53">
        <v>33157000</v>
      </c>
    </row>
    <row r="37" spans="1:8" x14ac:dyDescent="0.3">
      <c r="A37" s="53" t="s">
        <v>154</v>
      </c>
      <c r="B37" s="53">
        <v>383</v>
      </c>
      <c r="C37" s="53">
        <v>22230000</v>
      </c>
      <c r="D37" s="54">
        <v>1.957556756934673</v>
      </c>
      <c r="F37" s="53" t="s">
        <v>154</v>
      </c>
      <c r="G37" s="53">
        <v>383</v>
      </c>
      <c r="H37" s="53">
        <v>22230000</v>
      </c>
    </row>
    <row r="38" spans="1:8" x14ac:dyDescent="0.3">
      <c r="A38" s="53" t="s">
        <v>155</v>
      </c>
      <c r="B38" s="53">
        <v>158</v>
      </c>
      <c r="C38" s="53">
        <v>13053000</v>
      </c>
      <c r="D38" s="54">
        <v>1.8218532381871082</v>
      </c>
      <c r="F38" s="53" t="s">
        <v>155</v>
      </c>
      <c r="G38" s="53">
        <v>158</v>
      </c>
      <c r="H38" s="53">
        <v>13053000</v>
      </c>
    </row>
    <row r="39" spans="1:8" x14ac:dyDescent="0.3">
      <c r="A39" s="53" t="s">
        <v>99</v>
      </c>
      <c r="B39" s="53">
        <v>116</v>
      </c>
      <c r="C39" s="53">
        <v>15163000</v>
      </c>
      <c r="D39" s="54">
        <v>1.8051179956631205</v>
      </c>
      <c r="F39" s="53" t="s">
        <v>99</v>
      </c>
      <c r="G39" s="53">
        <v>116</v>
      </c>
      <c r="H39" s="53">
        <v>15163000</v>
      </c>
    </row>
    <row r="40" spans="1:8" x14ac:dyDescent="0.3">
      <c r="A40" s="53" t="s">
        <v>101</v>
      </c>
      <c r="B40" s="53">
        <v>4</v>
      </c>
      <c r="C40" s="53">
        <v>973000</v>
      </c>
      <c r="D40" s="54">
        <v>2.5076523951580199</v>
      </c>
      <c r="F40" s="53" t="s">
        <v>101</v>
      </c>
      <c r="G40" s="53">
        <v>4</v>
      </c>
      <c r="H40" s="53">
        <v>973000</v>
      </c>
    </row>
    <row r="41" spans="1:8" x14ac:dyDescent="0.3">
      <c r="A41" s="53" t="s">
        <v>135</v>
      </c>
      <c r="B41" s="53">
        <v>9</v>
      </c>
      <c r="C41" s="53">
        <v>3598000</v>
      </c>
      <c r="D41" s="54">
        <v>1.9177932164165956</v>
      </c>
      <c r="F41" s="53" t="s">
        <v>135</v>
      </c>
      <c r="G41" s="53">
        <v>9</v>
      </c>
      <c r="H41" s="53">
        <v>3598000</v>
      </c>
    </row>
    <row r="42" spans="1:8" x14ac:dyDescent="0.3">
      <c r="A42" s="53" t="s">
        <v>136</v>
      </c>
      <c r="B42" s="53">
        <v>5</v>
      </c>
      <c r="C42" s="53">
        <v>4457000</v>
      </c>
      <c r="D42" s="54">
        <v>1.7827999999999999</v>
      </c>
      <c r="F42" s="53" t="s">
        <v>136</v>
      </c>
      <c r="G42" s="53">
        <v>5</v>
      </c>
      <c r="H42" s="53">
        <v>4457000</v>
      </c>
    </row>
    <row r="43" spans="1:8" x14ac:dyDescent="0.3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3">
      <c r="A44" s="53" t="s">
        <v>96</v>
      </c>
      <c r="B44" s="53">
        <v>323117</v>
      </c>
      <c r="C44" s="53">
        <v>5565763000</v>
      </c>
      <c r="D44" s="54">
        <v>1.7273362019471632</v>
      </c>
      <c r="F44" s="53" t="s">
        <v>96</v>
      </c>
      <c r="G44" s="53">
        <v>323117</v>
      </c>
      <c r="H44" s="53">
        <v>5565763000</v>
      </c>
    </row>
    <row r="45" spans="1:8" x14ac:dyDescent="0.3">
      <c r="A45" s="53" t="s">
        <v>134</v>
      </c>
      <c r="B45" s="53">
        <v>275828</v>
      </c>
      <c r="C45" s="53">
        <v>6964057000</v>
      </c>
      <c r="D45" s="54">
        <v>1.6791824856196014</v>
      </c>
      <c r="F45" s="53" t="s">
        <v>134</v>
      </c>
      <c r="G45" s="53">
        <v>275828</v>
      </c>
      <c r="H45" s="53">
        <v>6964057000</v>
      </c>
    </row>
    <row r="46" spans="1:8" x14ac:dyDescent="0.3">
      <c r="A46" s="53" t="s">
        <v>153</v>
      </c>
      <c r="B46" s="53">
        <v>52958</v>
      </c>
      <c r="C46" s="53">
        <v>2172967000</v>
      </c>
      <c r="D46" s="54">
        <v>1.6859271800926869</v>
      </c>
      <c r="F46" s="53" t="s">
        <v>153</v>
      </c>
      <c r="G46" s="53">
        <v>52958</v>
      </c>
      <c r="H46" s="53">
        <v>2172967000</v>
      </c>
    </row>
    <row r="47" spans="1:8" x14ac:dyDescent="0.3">
      <c r="A47" s="53" t="s">
        <v>154</v>
      </c>
      <c r="B47" s="53">
        <v>20831</v>
      </c>
      <c r="C47" s="53">
        <v>1211294000</v>
      </c>
      <c r="D47" s="54">
        <v>1.8734685353931628</v>
      </c>
      <c r="F47" s="53" t="s">
        <v>154</v>
      </c>
      <c r="G47" s="53">
        <v>20831</v>
      </c>
      <c r="H47" s="53">
        <v>1211294000</v>
      </c>
    </row>
    <row r="48" spans="1:8" x14ac:dyDescent="0.3">
      <c r="A48" s="53" t="s">
        <v>155</v>
      </c>
      <c r="B48" s="53">
        <v>9844</v>
      </c>
      <c r="C48" s="53">
        <v>807812000</v>
      </c>
      <c r="D48" s="54">
        <v>1.6672459065562573</v>
      </c>
      <c r="F48" s="53" t="s">
        <v>155</v>
      </c>
      <c r="G48" s="53">
        <v>9844</v>
      </c>
      <c r="H48" s="53">
        <v>807812000</v>
      </c>
    </row>
    <row r="49" spans="1:8" x14ac:dyDescent="0.3">
      <c r="A49" s="53" t="s">
        <v>99</v>
      </c>
      <c r="B49" s="53">
        <v>5817</v>
      </c>
      <c r="C49" s="53">
        <v>762802000</v>
      </c>
      <c r="D49" s="54">
        <v>1.6555043608149922</v>
      </c>
      <c r="F49" s="53" t="s">
        <v>99</v>
      </c>
      <c r="G49" s="53">
        <v>5817</v>
      </c>
      <c r="H49" s="53">
        <v>762802000</v>
      </c>
    </row>
    <row r="50" spans="1:8" x14ac:dyDescent="0.3">
      <c r="A50" s="53" t="s">
        <v>101</v>
      </c>
      <c r="B50" s="53">
        <v>765</v>
      </c>
      <c r="C50" s="53">
        <v>182635000</v>
      </c>
      <c r="D50" s="54">
        <v>1.6844709518159677</v>
      </c>
      <c r="F50" s="53" t="s">
        <v>101</v>
      </c>
      <c r="G50" s="53">
        <v>765</v>
      </c>
      <c r="H50" s="53">
        <v>182635000</v>
      </c>
    </row>
    <row r="51" spans="1:8" x14ac:dyDescent="0.3">
      <c r="A51" s="53" t="s">
        <v>135</v>
      </c>
      <c r="B51" s="53">
        <v>292</v>
      </c>
      <c r="C51" s="53">
        <v>108267000</v>
      </c>
      <c r="D51" s="54">
        <v>1.7426316812541891</v>
      </c>
      <c r="F51" s="53" t="s">
        <v>135</v>
      </c>
      <c r="G51" s="53">
        <v>292</v>
      </c>
      <c r="H51" s="53">
        <v>108267000</v>
      </c>
    </row>
    <row r="52" spans="1:8" x14ac:dyDescent="0.3">
      <c r="A52" s="53" t="s">
        <v>136</v>
      </c>
      <c r="B52" s="53">
        <v>112</v>
      </c>
      <c r="C52" s="53">
        <v>102947000</v>
      </c>
      <c r="D52" s="54">
        <v>1.8383392857142857</v>
      </c>
      <c r="F52" s="53" t="s">
        <v>136</v>
      </c>
      <c r="G52" s="53">
        <v>112</v>
      </c>
      <c r="H52" s="53">
        <v>102947000</v>
      </c>
    </row>
    <row r="53" spans="1:8" x14ac:dyDescent="0.3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3">
      <c r="A54" s="53" t="s">
        <v>96</v>
      </c>
      <c r="B54" s="53">
        <v>223841</v>
      </c>
      <c r="C54" s="53">
        <v>3859756000</v>
      </c>
      <c r="D54" s="54">
        <v>1.8925259231297542</v>
      </c>
      <c r="F54" s="53" t="s">
        <v>96</v>
      </c>
      <c r="G54" s="53">
        <v>223841</v>
      </c>
      <c r="H54" s="53">
        <v>3859756000</v>
      </c>
    </row>
    <row r="55" spans="1:8" x14ac:dyDescent="0.3">
      <c r="A55" s="53" t="s">
        <v>134</v>
      </c>
      <c r="B55" s="53">
        <v>225953</v>
      </c>
      <c r="C55" s="53">
        <v>5778753000</v>
      </c>
      <c r="D55" s="54">
        <v>1.8046881910615384</v>
      </c>
      <c r="F55" s="53" t="s">
        <v>134</v>
      </c>
      <c r="G55" s="53">
        <v>225953</v>
      </c>
      <c r="H55" s="53">
        <v>5778753000</v>
      </c>
    </row>
    <row r="56" spans="1:8" x14ac:dyDescent="0.3">
      <c r="A56" s="53" t="s">
        <v>153</v>
      </c>
      <c r="B56" s="53">
        <v>54835</v>
      </c>
      <c r="C56" s="53">
        <v>2256330000</v>
      </c>
      <c r="D56" s="54">
        <v>1.7228285241340184</v>
      </c>
      <c r="F56" s="53" t="s">
        <v>153</v>
      </c>
      <c r="G56" s="53">
        <v>54835</v>
      </c>
      <c r="H56" s="53">
        <v>2256330000</v>
      </c>
    </row>
    <row r="57" spans="1:8" x14ac:dyDescent="0.3">
      <c r="A57" s="53" t="s">
        <v>154</v>
      </c>
      <c r="B57" s="53">
        <v>23513</v>
      </c>
      <c r="C57" s="53">
        <v>1369205000</v>
      </c>
      <c r="D57" s="54">
        <v>1.8765638308397721</v>
      </c>
      <c r="F57" s="53" t="s">
        <v>154</v>
      </c>
      <c r="G57" s="53">
        <v>23513</v>
      </c>
      <c r="H57" s="53">
        <v>1369205000</v>
      </c>
    </row>
    <row r="58" spans="1:8" x14ac:dyDescent="0.3">
      <c r="A58" s="53" t="s">
        <v>155</v>
      </c>
      <c r="B58" s="53">
        <v>11815</v>
      </c>
      <c r="C58" s="53">
        <v>967411000</v>
      </c>
      <c r="D58" s="54">
        <v>1.6466367550433447</v>
      </c>
      <c r="F58" s="53" t="s">
        <v>155</v>
      </c>
      <c r="G58" s="53">
        <v>11815</v>
      </c>
      <c r="H58" s="53">
        <v>967411000</v>
      </c>
    </row>
    <row r="59" spans="1:8" x14ac:dyDescent="0.3">
      <c r="A59" s="53" t="s">
        <v>99</v>
      </c>
      <c r="B59" s="53">
        <v>6884</v>
      </c>
      <c r="C59" s="53">
        <v>899942000</v>
      </c>
      <c r="D59" s="54">
        <v>1.633908560363476</v>
      </c>
      <c r="F59" s="53" t="s">
        <v>99</v>
      </c>
      <c r="G59" s="53">
        <v>6884</v>
      </c>
      <c r="H59" s="53">
        <v>899942000</v>
      </c>
    </row>
    <row r="60" spans="1:8" x14ac:dyDescent="0.3">
      <c r="A60" s="53" t="s">
        <v>101</v>
      </c>
      <c r="B60" s="53">
        <v>843</v>
      </c>
      <c r="C60" s="53">
        <v>201782000</v>
      </c>
      <c r="D60" s="54">
        <v>1.6716375427429235</v>
      </c>
      <c r="F60" s="53" t="s">
        <v>101</v>
      </c>
      <c r="G60" s="53">
        <v>843</v>
      </c>
      <c r="H60" s="53">
        <v>201782000</v>
      </c>
    </row>
    <row r="61" spans="1:8" x14ac:dyDescent="0.3">
      <c r="A61" s="53" t="s">
        <v>135</v>
      </c>
      <c r="B61" s="53">
        <v>342</v>
      </c>
      <c r="C61" s="53">
        <v>125571000</v>
      </c>
      <c r="D61" s="54">
        <v>1.678696686149926</v>
      </c>
      <c r="F61" s="53" t="s">
        <v>135</v>
      </c>
      <c r="G61" s="53">
        <v>342</v>
      </c>
      <c r="H61" s="53">
        <v>125571000</v>
      </c>
    </row>
    <row r="62" spans="1:8" x14ac:dyDescent="0.3">
      <c r="A62" s="53" t="s">
        <v>136</v>
      </c>
      <c r="B62" s="53">
        <v>131</v>
      </c>
      <c r="C62" s="53">
        <v>112644000</v>
      </c>
      <c r="D62" s="54">
        <v>1.7197557251908397</v>
      </c>
      <c r="F62" s="53" t="s">
        <v>136</v>
      </c>
      <c r="G62" s="53">
        <v>131</v>
      </c>
      <c r="H62" s="53">
        <v>112644000</v>
      </c>
    </row>
    <row r="63" spans="1:8" x14ac:dyDescent="0.3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3">
      <c r="A64" s="53" t="s">
        <v>96</v>
      </c>
      <c r="B64" s="53">
        <v>97131</v>
      </c>
      <c r="C64" s="53">
        <v>1672869000</v>
      </c>
      <c r="D64" s="54">
        <v>2.0479981989001552</v>
      </c>
      <c r="F64" s="53" t="s">
        <v>96</v>
      </c>
      <c r="G64" s="53">
        <v>97131</v>
      </c>
      <c r="H64" s="53">
        <v>1672869000</v>
      </c>
    </row>
    <row r="65" spans="1:8" x14ac:dyDescent="0.3">
      <c r="A65" s="53" t="s">
        <v>134</v>
      </c>
      <c r="B65" s="53">
        <v>101644</v>
      </c>
      <c r="C65" s="53">
        <v>2623663000</v>
      </c>
      <c r="D65" s="54">
        <v>1.9506531209041971</v>
      </c>
      <c r="F65" s="53" t="s">
        <v>134</v>
      </c>
      <c r="G65" s="53">
        <v>101644</v>
      </c>
      <c r="H65" s="53">
        <v>2623663000</v>
      </c>
    </row>
    <row r="66" spans="1:8" x14ac:dyDescent="0.3">
      <c r="A66" s="53" t="s">
        <v>153</v>
      </c>
      <c r="B66" s="53">
        <v>29597</v>
      </c>
      <c r="C66" s="53">
        <v>1222402000</v>
      </c>
      <c r="D66" s="54">
        <v>1.7918695943580221</v>
      </c>
      <c r="F66" s="53" t="s">
        <v>153</v>
      </c>
      <c r="G66" s="53">
        <v>29597</v>
      </c>
      <c r="H66" s="53">
        <v>1222402000</v>
      </c>
    </row>
    <row r="67" spans="1:8" x14ac:dyDescent="0.3">
      <c r="A67" s="53" t="s">
        <v>154</v>
      </c>
      <c r="B67" s="53">
        <v>14126</v>
      </c>
      <c r="C67" s="53">
        <v>824890000</v>
      </c>
      <c r="D67" s="54">
        <v>1.9137944745366138</v>
      </c>
      <c r="F67" s="53" t="s">
        <v>154</v>
      </c>
      <c r="G67" s="53">
        <v>14126</v>
      </c>
      <c r="H67" s="53">
        <v>824890000</v>
      </c>
    </row>
    <row r="68" spans="1:8" x14ac:dyDescent="0.3">
      <c r="A68" s="53" t="s">
        <v>155</v>
      </c>
      <c r="B68" s="53">
        <v>7436</v>
      </c>
      <c r="C68" s="53">
        <v>612756000</v>
      </c>
      <c r="D68" s="54">
        <v>1.6618791294696456</v>
      </c>
      <c r="F68" s="53" t="s">
        <v>155</v>
      </c>
      <c r="G68" s="53">
        <v>7436</v>
      </c>
      <c r="H68" s="53">
        <v>612756000</v>
      </c>
    </row>
    <row r="69" spans="1:8" x14ac:dyDescent="0.3">
      <c r="A69" s="53" t="s">
        <v>99</v>
      </c>
      <c r="B69" s="53">
        <v>4652</v>
      </c>
      <c r="C69" s="53">
        <v>611040000</v>
      </c>
      <c r="D69" s="54">
        <v>1.6190959452267126</v>
      </c>
      <c r="F69" s="53" t="s">
        <v>99</v>
      </c>
      <c r="G69" s="53">
        <v>4652</v>
      </c>
      <c r="H69" s="53">
        <v>611040000</v>
      </c>
    </row>
    <row r="70" spans="1:8" x14ac:dyDescent="0.3">
      <c r="A70" s="53" t="s">
        <v>101</v>
      </c>
      <c r="B70" s="53">
        <v>578</v>
      </c>
      <c r="C70" s="53">
        <v>137810000</v>
      </c>
      <c r="D70" s="54">
        <v>1.6122500872699028</v>
      </c>
      <c r="F70" s="53" t="s">
        <v>101</v>
      </c>
      <c r="G70" s="53">
        <v>578</v>
      </c>
      <c r="H70" s="53">
        <v>137810000</v>
      </c>
    </row>
    <row r="71" spans="1:8" x14ac:dyDescent="0.3">
      <c r="A71" s="53" t="s">
        <v>135</v>
      </c>
      <c r="B71" s="53">
        <v>230</v>
      </c>
      <c r="C71" s="53">
        <v>83741000</v>
      </c>
      <c r="D71" s="54">
        <v>1.6005418866990149</v>
      </c>
      <c r="F71" s="53" t="s">
        <v>135</v>
      </c>
      <c r="G71" s="53">
        <v>230</v>
      </c>
      <c r="H71" s="53">
        <v>83741000</v>
      </c>
    </row>
    <row r="72" spans="1:8" x14ac:dyDescent="0.3">
      <c r="A72" s="53" t="s">
        <v>136</v>
      </c>
      <c r="B72" s="53">
        <v>78</v>
      </c>
      <c r="C72" s="53">
        <v>64154000</v>
      </c>
      <c r="D72" s="54">
        <v>1.6449743589743591</v>
      </c>
      <c r="F72" s="53" t="s">
        <v>136</v>
      </c>
      <c r="G72" s="53">
        <v>78</v>
      </c>
      <c r="H72" s="53">
        <v>64154000</v>
      </c>
    </row>
    <row r="73" spans="1:8" x14ac:dyDescent="0.3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3">
      <c r="A74" s="53" t="s">
        <v>96</v>
      </c>
      <c r="B74" s="53">
        <v>38176</v>
      </c>
      <c r="C74" s="53">
        <v>655820000</v>
      </c>
      <c r="D74" s="54">
        <v>2.1535188024207668</v>
      </c>
      <c r="F74" s="53" t="s">
        <v>96</v>
      </c>
      <c r="G74" s="53">
        <v>38176</v>
      </c>
      <c r="H74" s="53">
        <v>655820000</v>
      </c>
    </row>
    <row r="75" spans="1:8" x14ac:dyDescent="0.3">
      <c r="A75" s="53" t="s">
        <v>134</v>
      </c>
      <c r="B75" s="53">
        <v>38862</v>
      </c>
      <c r="C75" s="53">
        <v>1007217000</v>
      </c>
      <c r="D75" s="54">
        <v>2.0626816446427498</v>
      </c>
      <c r="F75" s="53" t="s">
        <v>134</v>
      </c>
      <c r="G75" s="53">
        <v>38862</v>
      </c>
      <c r="H75" s="53">
        <v>1007217000</v>
      </c>
    </row>
    <row r="76" spans="1:8" x14ac:dyDescent="0.3">
      <c r="A76" s="53" t="s">
        <v>153</v>
      </c>
      <c r="B76" s="53">
        <v>12883</v>
      </c>
      <c r="C76" s="53">
        <v>533345000</v>
      </c>
      <c r="D76" s="54">
        <v>1.8411428920046053</v>
      </c>
      <c r="F76" s="53" t="s">
        <v>153</v>
      </c>
      <c r="G76" s="53">
        <v>12883</v>
      </c>
      <c r="H76" s="53">
        <v>533345000</v>
      </c>
    </row>
    <row r="77" spans="1:8" x14ac:dyDescent="0.3">
      <c r="A77" s="53" t="s">
        <v>154</v>
      </c>
      <c r="B77" s="53">
        <v>6551</v>
      </c>
      <c r="C77" s="53">
        <v>383341000</v>
      </c>
      <c r="D77" s="54">
        <v>1.9454016699560619</v>
      </c>
      <c r="F77" s="53" t="s">
        <v>154</v>
      </c>
      <c r="G77" s="53">
        <v>6551</v>
      </c>
      <c r="H77" s="53">
        <v>383341000</v>
      </c>
    </row>
    <row r="78" spans="1:8" x14ac:dyDescent="0.3">
      <c r="A78" s="53" t="s">
        <v>155</v>
      </c>
      <c r="B78" s="53">
        <v>3471</v>
      </c>
      <c r="C78" s="53">
        <v>284772000</v>
      </c>
      <c r="D78" s="54">
        <v>1.6816506337505479</v>
      </c>
      <c r="F78" s="53" t="s">
        <v>155</v>
      </c>
      <c r="G78" s="53">
        <v>3471</v>
      </c>
      <c r="H78" s="53">
        <v>284772000</v>
      </c>
    </row>
    <row r="79" spans="1:8" x14ac:dyDescent="0.3">
      <c r="A79" s="53" t="s">
        <v>99</v>
      </c>
      <c r="B79" s="53">
        <v>2391</v>
      </c>
      <c r="C79" s="53">
        <v>315470000</v>
      </c>
      <c r="D79" s="54">
        <v>1.6139641325007132</v>
      </c>
      <c r="F79" s="53" t="s">
        <v>99</v>
      </c>
      <c r="G79" s="53">
        <v>2391</v>
      </c>
      <c r="H79" s="53">
        <v>315470000</v>
      </c>
    </row>
    <row r="80" spans="1:8" x14ac:dyDescent="0.3">
      <c r="A80" s="53" t="s">
        <v>101</v>
      </c>
      <c r="B80" s="53">
        <v>276</v>
      </c>
      <c r="C80" s="53">
        <v>65707000</v>
      </c>
      <c r="D80" s="54">
        <v>1.5987515230980025</v>
      </c>
      <c r="F80" s="53" t="s">
        <v>101</v>
      </c>
      <c r="G80" s="53">
        <v>276</v>
      </c>
      <c r="H80" s="53">
        <v>65707000</v>
      </c>
    </row>
    <row r="81" spans="1:8" x14ac:dyDescent="0.3">
      <c r="A81" s="53" t="s">
        <v>135</v>
      </c>
      <c r="B81" s="53">
        <v>129</v>
      </c>
      <c r="C81" s="53">
        <v>48550000</v>
      </c>
      <c r="D81" s="54">
        <v>1.5105808110143863</v>
      </c>
      <c r="F81" s="53" t="s">
        <v>135</v>
      </c>
      <c r="G81" s="53">
        <v>129</v>
      </c>
      <c r="H81" s="53">
        <v>48550000</v>
      </c>
    </row>
    <row r="82" spans="1:8" x14ac:dyDescent="0.3">
      <c r="A82" s="53" t="s">
        <v>136</v>
      </c>
      <c r="B82" s="53">
        <v>40</v>
      </c>
      <c r="C82" s="53">
        <v>28039000</v>
      </c>
      <c r="D82" s="54">
        <v>1.40195</v>
      </c>
      <c r="F82" s="53" t="s">
        <v>136</v>
      </c>
      <c r="G82" s="53">
        <v>40</v>
      </c>
      <c r="H82" s="53">
        <v>28039000</v>
      </c>
    </row>
    <row r="83" spans="1:8" x14ac:dyDescent="0.3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3">
      <c r="A84" s="53" t="s">
        <v>96</v>
      </c>
      <c r="B84" s="53">
        <v>15319</v>
      </c>
      <c r="C84" s="53">
        <v>263729000</v>
      </c>
      <c r="D84" s="54">
        <v>2.1956776817533314</v>
      </c>
      <c r="F84" s="53" t="s">
        <v>96</v>
      </c>
      <c r="G84" s="53">
        <v>15319</v>
      </c>
      <c r="H84" s="53">
        <v>263729000</v>
      </c>
    </row>
    <row r="85" spans="1:8" x14ac:dyDescent="0.3">
      <c r="A85" s="53" t="s">
        <v>134</v>
      </c>
      <c r="B85" s="53">
        <v>14421</v>
      </c>
      <c r="C85" s="53">
        <v>373531000</v>
      </c>
      <c r="D85" s="54">
        <v>2.1271916436394922</v>
      </c>
      <c r="F85" s="53" t="s">
        <v>134</v>
      </c>
      <c r="G85" s="53">
        <v>14421</v>
      </c>
      <c r="H85" s="53">
        <v>373531000</v>
      </c>
    </row>
    <row r="86" spans="1:8" x14ac:dyDescent="0.3">
      <c r="A86" s="53" t="s">
        <v>153</v>
      </c>
      <c r="B86" s="53">
        <v>5097</v>
      </c>
      <c r="C86" s="53">
        <v>211261000</v>
      </c>
      <c r="D86" s="54">
        <v>1.858653585294687</v>
      </c>
      <c r="F86" s="53" t="s">
        <v>153</v>
      </c>
      <c r="G86" s="53">
        <v>5097</v>
      </c>
      <c r="H86" s="53">
        <v>211261000</v>
      </c>
    </row>
    <row r="87" spans="1:8" x14ac:dyDescent="0.3">
      <c r="A87" s="53" t="s">
        <v>154</v>
      </c>
      <c r="B87" s="53">
        <v>2841</v>
      </c>
      <c r="C87" s="53">
        <v>166602000</v>
      </c>
      <c r="D87" s="54">
        <v>1.9251277493890246</v>
      </c>
      <c r="F87" s="53" t="s">
        <v>154</v>
      </c>
      <c r="G87" s="53">
        <v>2841</v>
      </c>
      <c r="H87" s="53">
        <v>166602000</v>
      </c>
    </row>
    <row r="88" spans="1:8" x14ac:dyDescent="0.3">
      <c r="A88" s="53" t="s">
        <v>155</v>
      </c>
      <c r="B88" s="53">
        <v>1514</v>
      </c>
      <c r="C88" s="53">
        <v>124582000</v>
      </c>
      <c r="D88" s="54">
        <v>1.6526351344268921</v>
      </c>
      <c r="F88" s="53" t="s">
        <v>155</v>
      </c>
      <c r="G88" s="53">
        <v>1514</v>
      </c>
      <c r="H88" s="53">
        <v>124582000</v>
      </c>
    </row>
    <row r="89" spans="1:8" x14ac:dyDescent="0.3">
      <c r="A89" s="53" t="s">
        <v>99</v>
      </c>
      <c r="B89" s="53">
        <v>1023</v>
      </c>
      <c r="C89" s="53">
        <v>132943000</v>
      </c>
      <c r="D89" s="54">
        <v>1.5698266908003078</v>
      </c>
      <c r="F89" s="53" t="s">
        <v>99</v>
      </c>
      <c r="G89" s="53">
        <v>1023</v>
      </c>
      <c r="H89" s="53">
        <v>132943000</v>
      </c>
    </row>
    <row r="90" spans="1:8" x14ac:dyDescent="0.3">
      <c r="A90" s="53" t="s">
        <v>101</v>
      </c>
      <c r="B90" s="53">
        <v>140</v>
      </c>
      <c r="C90" s="53">
        <v>32793000</v>
      </c>
      <c r="D90" s="54">
        <v>1.4697284937733313</v>
      </c>
      <c r="F90" s="53" t="s">
        <v>101</v>
      </c>
      <c r="G90" s="53">
        <v>140</v>
      </c>
      <c r="H90" s="53">
        <v>32793000</v>
      </c>
    </row>
    <row r="91" spans="1:8" x14ac:dyDescent="0.3">
      <c r="A91" s="53" t="s">
        <v>135</v>
      </c>
      <c r="B91" s="53">
        <v>50</v>
      </c>
      <c r="C91" s="53">
        <v>18602000</v>
      </c>
      <c r="D91" s="54">
        <v>1.4293609567853114</v>
      </c>
      <c r="F91" s="53" t="s">
        <v>135</v>
      </c>
      <c r="G91" s="53">
        <v>50</v>
      </c>
      <c r="H91" s="53">
        <v>18602000</v>
      </c>
    </row>
    <row r="92" spans="1:8" x14ac:dyDescent="0.3">
      <c r="A92" s="53" t="s">
        <v>136</v>
      </c>
      <c r="B92" s="53">
        <v>12</v>
      </c>
      <c r="C92" s="53">
        <v>7985000</v>
      </c>
      <c r="D92" s="54">
        <v>1.3308333333333333</v>
      </c>
      <c r="F92" s="53" t="s">
        <v>136</v>
      </c>
      <c r="G92" s="53">
        <v>12</v>
      </c>
      <c r="H92" s="53">
        <v>7985000</v>
      </c>
    </row>
    <row r="93" spans="1:8" x14ac:dyDescent="0.3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3">
      <c r="A94" s="53" t="s">
        <v>96</v>
      </c>
      <c r="B94" s="53">
        <v>4550</v>
      </c>
      <c r="C94" s="53">
        <v>81428000</v>
      </c>
      <c r="D94" s="54">
        <v>2.3940471407755348</v>
      </c>
      <c r="F94" s="53" t="s">
        <v>96</v>
      </c>
      <c r="G94" s="53">
        <v>4550</v>
      </c>
      <c r="H94" s="53">
        <v>81428000</v>
      </c>
    </row>
    <row r="95" spans="1:8" x14ac:dyDescent="0.3">
      <c r="A95" s="53" t="s">
        <v>134</v>
      </c>
      <c r="B95" s="53">
        <v>5803</v>
      </c>
      <c r="C95" s="53">
        <v>149231000</v>
      </c>
      <c r="D95" s="54">
        <v>2.195530572269897</v>
      </c>
      <c r="F95" s="53" t="s">
        <v>134</v>
      </c>
      <c r="G95" s="53">
        <v>5803</v>
      </c>
      <c r="H95" s="53">
        <v>149231000</v>
      </c>
    </row>
    <row r="96" spans="1:8" x14ac:dyDescent="0.3">
      <c r="A96" s="53" t="s">
        <v>153</v>
      </c>
      <c r="B96" s="53">
        <v>2079</v>
      </c>
      <c r="C96" s="53">
        <v>86389000</v>
      </c>
      <c r="D96" s="54">
        <v>1.9320081488907888</v>
      </c>
      <c r="F96" s="53" t="s">
        <v>153</v>
      </c>
      <c r="G96" s="53">
        <v>2079</v>
      </c>
      <c r="H96" s="53">
        <v>86389000</v>
      </c>
    </row>
    <row r="97" spans="1:8" x14ac:dyDescent="0.3">
      <c r="A97" s="53" t="s">
        <v>154</v>
      </c>
      <c r="B97" s="53">
        <v>1199</v>
      </c>
      <c r="C97" s="53">
        <v>69962000</v>
      </c>
      <c r="D97" s="54">
        <v>2.0090400079160746</v>
      </c>
      <c r="F97" s="53" t="s">
        <v>154</v>
      </c>
      <c r="G97" s="53">
        <v>1199</v>
      </c>
      <c r="H97" s="53">
        <v>69962000</v>
      </c>
    </row>
    <row r="98" spans="1:8" x14ac:dyDescent="0.3">
      <c r="A98" s="53" t="s">
        <v>155</v>
      </c>
      <c r="B98" s="53">
        <v>657</v>
      </c>
      <c r="C98" s="53">
        <v>54328000</v>
      </c>
      <c r="D98" s="54">
        <v>1.7567830215618163</v>
      </c>
      <c r="F98" s="53" t="s">
        <v>155</v>
      </c>
      <c r="G98" s="53">
        <v>657</v>
      </c>
      <c r="H98" s="53">
        <v>54328000</v>
      </c>
    </row>
    <row r="99" spans="1:8" x14ac:dyDescent="0.3">
      <c r="A99" s="53" t="s">
        <v>99</v>
      </c>
      <c r="B99" s="53">
        <v>412</v>
      </c>
      <c r="C99" s="53">
        <v>53571000</v>
      </c>
      <c r="D99" s="54">
        <v>1.7350555020833793</v>
      </c>
      <c r="F99" s="53" t="s">
        <v>99</v>
      </c>
      <c r="G99" s="53">
        <v>412</v>
      </c>
      <c r="H99" s="53">
        <v>53571000</v>
      </c>
    </row>
    <row r="100" spans="1:8" x14ac:dyDescent="0.3">
      <c r="A100" s="53" t="s">
        <v>101</v>
      </c>
      <c r="B100" s="53">
        <v>66</v>
      </c>
      <c r="C100" s="53">
        <v>15711000</v>
      </c>
      <c r="D100" s="54">
        <v>1.6675505510438764</v>
      </c>
      <c r="F100" s="53" t="s">
        <v>101</v>
      </c>
      <c r="G100" s="53">
        <v>66</v>
      </c>
      <c r="H100" s="53">
        <v>15711000</v>
      </c>
    </row>
    <row r="101" spans="1:8" x14ac:dyDescent="0.3">
      <c r="A101" s="53" t="s">
        <v>135</v>
      </c>
      <c r="B101" s="53">
        <v>32</v>
      </c>
      <c r="C101" s="53">
        <v>12141000</v>
      </c>
      <c r="D101" s="54">
        <v>1.5683535186508275</v>
      </c>
      <c r="F101" s="53" t="s">
        <v>135</v>
      </c>
      <c r="G101" s="53">
        <v>32</v>
      </c>
      <c r="H101" s="53">
        <v>12141000</v>
      </c>
    </row>
    <row r="102" spans="1:8" x14ac:dyDescent="0.3">
      <c r="A102" s="53" t="s">
        <v>136</v>
      </c>
      <c r="B102" s="53">
        <v>14</v>
      </c>
      <c r="C102" s="53">
        <v>9503000</v>
      </c>
      <c r="D102" s="54">
        <v>1.3575714285714287</v>
      </c>
      <c r="F102" s="53" t="s">
        <v>136</v>
      </c>
      <c r="G102" s="53">
        <v>14</v>
      </c>
      <c r="H102" s="53">
        <v>9503000</v>
      </c>
    </row>
    <row r="103" spans="1:8" x14ac:dyDescent="0.3">
      <c r="A103" s="51" t="s">
        <v>56</v>
      </c>
      <c r="B103" s="51" t="s">
        <v>80</v>
      </c>
      <c r="C103" s="51" t="s">
        <v>81</v>
      </c>
      <c r="D103" s="52" t="s">
        <v>59</v>
      </c>
    </row>
    <row r="104" spans="1:8" x14ac:dyDescent="0.3">
      <c r="A104" s="53" t="s">
        <v>96</v>
      </c>
      <c r="B104" s="53">
        <v>1238</v>
      </c>
      <c r="C104" s="53">
        <v>22529000</v>
      </c>
      <c r="D104" s="54">
        <v>2.5377336091175438</v>
      </c>
      <c r="F104" s="53" t="s">
        <v>96</v>
      </c>
      <c r="G104" s="53">
        <v>1238</v>
      </c>
      <c r="H104" s="53">
        <v>22529000</v>
      </c>
    </row>
    <row r="105" spans="1:8" x14ac:dyDescent="0.3">
      <c r="A105" s="53" t="s">
        <v>134</v>
      </c>
      <c r="B105" s="53">
        <v>2565</v>
      </c>
      <c r="C105" s="53">
        <v>65282000</v>
      </c>
      <c r="D105" s="54">
        <v>2.1870137922059003</v>
      </c>
      <c r="F105" s="53" t="s">
        <v>134</v>
      </c>
      <c r="G105" s="53">
        <v>2565</v>
      </c>
      <c r="H105" s="53">
        <v>65282000</v>
      </c>
    </row>
    <row r="106" spans="1:8" x14ac:dyDescent="0.3">
      <c r="A106" s="53" t="s">
        <v>153</v>
      </c>
      <c r="B106" s="53">
        <v>819</v>
      </c>
      <c r="C106" s="53">
        <v>34290000</v>
      </c>
      <c r="D106" s="54">
        <v>2.0045212857390258</v>
      </c>
      <c r="F106" s="53" t="s">
        <v>153</v>
      </c>
      <c r="G106" s="53">
        <v>819</v>
      </c>
      <c r="H106" s="53">
        <v>34290000</v>
      </c>
    </row>
    <row r="107" spans="1:8" x14ac:dyDescent="0.3">
      <c r="A107" s="53" t="s">
        <v>154</v>
      </c>
      <c r="B107" s="53">
        <v>441</v>
      </c>
      <c r="C107" s="53">
        <v>25762000</v>
      </c>
      <c r="D107" s="54">
        <v>2.0963247884434906</v>
      </c>
      <c r="F107" s="53" t="s">
        <v>154</v>
      </c>
      <c r="G107" s="53">
        <v>441</v>
      </c>
      <c r="H107" s="53">
        <v>25762000</v>
      </c>
    </row>
    <row r="108" spans="1:8" x14ac:dyDescent="0.3">
      <c r="A108" s="53" t="s">
        <v>155</v>
      </c>
      <c r="B108" s="53">
        <v>260</v>
      </c>
      <c r="C108" s="53">
        <v>21481000</v>
      </c>
      <c r="D108" s="54">
        <v>1.7847698536171612</v>
      </c>
      <c r="F108" s="53" t="s">
        <v>155</v>
      </c>
      <c r="G108" s="53">
        <v>260</v>
      </c>
      <c r="H108" s="53">
        <v>21481000</v>
      </c>
    </row>
    <row r="109" spans="1:8" x14ac:dyDescent="0.3">
      <c r="A109" s="53" t="s">
        <v>99</v>
      </c>
      <c r="B109" s="53">
        <v>216</v>
      </c>
      <c r="C109" s="53">
        <v>29108000</v>
      </c>
      <c r="D109" s="54">
        <v>1.6759564353642156</v>
      </c>
      <c r="F109" s="53" t="s">
        <v>99</v>
      </c>
      <c r="G109" s="53">
        <v>216</v>
      </c>
      <c r="H109" s="53">
        <v>29108000</v>
      </c>
    </row>
    <row r="110" spans="1:8" x14ac:dyDescent="0.3">
      <c r="A110" s="53" t="s">
        <v>101</v>
      </c>
      <c r="B110" s="53">
        <v>25</v>
      </c>
      <c r="C110" s="53">
        <v>6151000</v>
      </c>
      <c r="D110" s="54">
        <v>1.6827730042069327</v>
      </c>
      <c r="F110" s="53" t="s">
        <v>101</v>
      </c>
      <c r="G110" s="53">
        <v>25</v>
      </c>
      <c r="H110" s="53">
        <v>6151000</v>
      </c>
    </row>
    <row r="111" spans="1:8" x14ac:dyDescent="0.3">
      <c r="A111" s="53" t="s">
        <v>135</v>
      </c>
      <c r="B111" s="53">
        <v>10</v>
      </c>
      <c r="C111" s="53">
        <v>3819000</v>
      </c>
      <c r="D111" s="54">
        <v>1.5656340867069138</v>
      </c>
      <c r="F111" s="53" t="s">
        <v>135</v>
      </c>
      <c r="G111" s="53">
        <v>10</v>
      </c>
      <c r="H111" s="53">
        <v>3819000</v>
      </c>
    </row>
    <row r="112" spans="1:8" x14ac:dyDescent="0.3">
      <c r="A112" s="53" t="s">
        <v>136</v>
      </c>
      <c r="B112" s="53">
        <v>7</v>
      </c>
      <c r="C112" s="53">
        <v>4166000</v>
      </c>
      <c r="D112" s="54">
        <v>1.1902857142857144</v>
      </c>
      <c r="F112" s="53" t="s">
        <v>136</v>
      </c>
      <c r="G112" s="53">
        <v>7</v>
      </c>
      <c r="H112" s="53">
        <v>4166000</v>
      </c>
    </row>
    <row r="113" spans="1:8" x14ac:dyDescent="0.3">
      <c r="A113" s="51" t="s">
        <v>56</v>
      </c>
      <c r="B113" s="51" t="s">
        <v>82</v>
      </c>
      <c r="C113" s="51" t="s">
        <v>83</v>
      </c>
      <c r="D113" s="52" t="s">
        <v>59</v>
      </c>
    </row>
    <row r="114" spans="1:8" x14ac:dyDescent="0.3">
      <c r="A114" s="51"/>
      <c r="B114" s="51"/>
      <c r="C114" s="51"/>
      <c r="D114" s="52"/>
      <c r="F114" s="53" t="s">
        <v>96</v>
      </c>
      <c r="G114" s="2">
        <v>534.29473684210529</v>
      </c>
      <c r="H114" s="2">
        <v>9723042.1052631587</v>
      </c>
    </row>
    <row r="115" spans="1:8" x14ac:dyDescent="0.3">
      <c r="A115" s="53" t="s">
        <v>134</v>
      </c>
      <c r="B115" s="53">
        <v>1107</v>
      </c>
      <c r="C115" s="53">
        <v>28117000</v>
      </c>
      <c r="D115" s="54">
        <v>2.148044920271142</v>
      </c>
      <c r="F115" s="53" t="s">
        <v>134</v>
      </c>
      <c r="G115" s="53">
        <v>1107</v>
      </c>
      <c r="H115" s="53">
        <v>28117000</v>
      </c>
    </row>
    <row r="116" spans="1:8" x14ac:dyDescent="0.3">
      <c r="A116" s="53" t="s">
        <v>153</v>
      </c>
      <c r="B116" s="53">
        <v>314</v>
      </c>
      <c r="C116" s="53">
        <v>13054000</v>
      </c>
      <c r="D116" s="54">
        <v>2.0118773237869978</v>
      </c>
      <c r="F116" s="53" t="s">
        <v>153</v>
      </c>
      <c r="G116" s="53">
        <v>314</v>
      </c>
      <c r="H116" s="53">
        <v>13054000</v>
      </c>
    </row>
    <row r="117" spans="1:8" x14ac:dyDescent="0.3">
      <c r="A117" s="53" t="s">
        <v>154</v>
      </c>
      <c r="B117" s="53">
        <v>203</v>
      </c>
      <c r="C117" s="53">
        <v>11870000</v>
      </c>
      <c r="D117" s="54">
        <v>2.0746444531313717</v>
      </c>
      <c r="F117" s="53" t="s">
        <v>154</v>
      </c>
      <c r="G117" s="53">
        <v>203</v>
      </c>
      <c r="H117" s="53">
        <v>11870000</v>
      </c>
    </row>
    <row r="118" spans="1:8" x14ac:dyDescent="0.3">
      <c r="A118" s="53" t="s">
        <v>155</v>
      </c>
      <c r="B118" s="53">
        <v>104</v>
      </c>
      <c r="C118" s="53">
        <v>8541000</v>
      </c>
      <c r="D118" s="54">
        <v>1.860969266295291</v>
      </c>
      <c r="F118" s="53" t="s">
        <v>155</v>
      </c>
      <c r="G118" s="53">
        <v>104</v>
      </c>
      <c r="H118" s="53">
        <v>8541000</v>
      </c>
    </row>
    <row r="119" spans="1:8" x14ac:dyDescent="0.3">
      <c r="A119" s="53" t="s">
        <v>99</v>
      </c>
      <c r="B119" s="53">
        <v>66</v>
      </c>
      <c r="C119" s="53">
        <v>9082000</v>
      </c>
      <c r="D119" s="54">
        <v>1.8718582687185825</v>
      </c>
      <c r="F119" s="53" t="s">
        <v>99</v>
      </c>
      <c r="G119" s="53">
        <v>66</v>
      </c>
      <c r="H119" s="53">
        <v>9082000</v>
      </c>
    </row>
    <row r="120" spans="1:8" x14ac:dyDescent="0.3">
      <c r="A120" s="53" t="s">
        <v>101</v>
      </c>
      <c r="B120" s="53">
        <v>12</v>
      </c>
      <c r="C120" s="53">
        <v>2709000</v>
      </c>
      <c r="D120" s="54">
        <v>1.67991600419979</v>
      </c>
      <c r="F120" s="53" t="s">
        <v>101</v>
      </c>
      <c r="G120" s="53">
        <v>12</v>
      </c>
      <c r="H120" s="53">
        <v>2709000</v>
      </c>
    </row>
    <row r="121" spans="1:8" x14ac:dyDescent="0.3">
      <c r="A121" s="53" t="s">
        <v>135</v>
      </c>
      <c r="B121" s="53">
        <v>7</v>
      </c>
      <c r="C121" s="53">
        <v>2816000</v>
      </c>
      <c r="D121" s="54">
        <v>1.5609479684010532</v>
      </c>
      <c r="F121" s="53" t="s">
        <v>135</v>
      </c>
      <c r="G121" s="53">
        <v>7</v>
      </c>
      <c r="H121" s="53">
        <v>2816000</v>
      </c>
    </row>
    <row r="122" spans="1:8" x14ac:dyDescent="0.3">
      <c r="A122" s="53" t="s">
        <v>136</v>
      </c>
      <c r="B122" s="53">
        <v>3</v>
      </c>
      <c r="C122" s="53">
        <v>1867000</v>
      </c>
      <c r="D122" s="54">
        <v>1.2446666666666668</v>
      </c>
      <c r="F122" s="53" t="s">
        <v>136</v>
      </c>
      <c r="G122" s="53">
        <v>3</v>
      </c>
      <c r="H122" s="53">
        <v>1867000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B1" workbookViewId="0">
      <selection activeCell="M4" sqref="M4:N12"/>
    </sheetView>
  </sheetViews>
  <sheetFormatPr baseColWidth="10" defaultRowHeight="15.6" x14ac:dyDescent="0.3"/>
  <cols>
    <col min="12" max="12" width="12.296875" bestFit="1" customWidth="1"/>
  </cols>
  <sheetData>
    <row r="1" spans="1:15" x14ac:dyDescent="0.3">
      <c r="A1" s="79" t="s">
        <v>229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2510</v>
      </c>
      <c r="M3" t="s">
        <v>7</v>
      </c>
      <c r="N3" t="s">
        <v>8</v>
      </c>
      <c r="O3" t="s">
        <v>14</v>
      </c>
    </row>
    <row r="4" spans="1:15" x14ac:dyDescent="0.3">
      <c r="A4" s="53" t="s">
        <v>96</v>
      </c>
      <c r="B4" s="53">
        <v>96186</v>
      </c>
      <c r="C4" s="53">
        <v>1640904000</v>
      </c>
      <c r="D4" s="54">
        <v>1.6450977129490725</v>
      </c>
      <c r="F4" s="53" t="s">
        <v>96</v>
      </c>
      <c r="G4" s="53">
        <v>96186</v>
      </c>
      <c r="H4" s="53">
        <v>1640904000</v>
      </c>
      <c r="I4" s="2">
        <f>J4/6.55957</f>
        <v>2286.7352585611557</v>
      </c>
      <c r="J4" s="53">
        <v>15000</v>
      </c>
      <c r="K4" s="2">
        <f>G4+G14+G24+G34+G44+G54+G64+G74+G84+G94+G104+G114</f>
        <v>1284719.9699805069</v>
      </c>
      <c r="L4" s="2">
        <f>H4+H14+H24+H34+H44+H54+H64+H74+H84+H94+H104+H114</f>
        <v>23342890317.348927</v>
      </c>
      <c r="M4">
        <f>1-SUM(K4:$K$12)/$K$14</f>
        <v>0.85633219757077539</v>
      </c>
      <c r="N4">
        <f>SUM(L4:$L$12)/(J4*SUM(K4:$K$12))</f>
        <v>2.0214320306979068</v>
      </c>
      <c r="O4">
        <f>(G4+G14+G34)/K4</f>
        <v>0.12106607169993625</v>
      </c>
    </row>
    <row r="5" spans="1:15" x14ac:dyDescent="0.3">
      <c r="A5" s="53" t="s">
        <v>134</v>
      </c>
      <c r="B5" s="53">
        <v>61480</v>
      </c>
      <c r="C5" s="53">
        <v>1543226000</v>
      </c>
      <c r="D5" s="54">
        <v>1.6861246557598479</v>
      </c>
      <c r="F5" s="53" t="s">
        <v>134</v>
      </c>
      <c r="G5" s="53">
        <v>61480</v>
      </c>
      <c r="H5" s="53">
        <v>1543226000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1158336</v>
      </c>
      <c r="L5" s="2">
        <f t="shared" si="1"/>
        <v>32107619000</v>
      </c>
      <c r="M5">
        <f>1-SUM(K5:$K$12)/$K$14</f>
        <v>0.91954321938404115</v>
      </c>
      <c r="N5">
        <f>SUM(L5:$L$12)/(J5*SUM(K5:$K$12))</f>
        <v>1.9934301210595708</v>
      </c>
      <c r="O5">
        <f t="shared" ref="O5:O12" si="2">(G5+G15+G35)/K5</f>
        <v>9.1166121056411961E-2</v>
      </c>
    </row>
    <row r="6" spans="1:15" x14ac:dyDescent="0.3">
      <c r="A6" s="53" t="s">
        <v>153</v>
      </c>
      <c r="B6" s="53">
        <v>11350</v>
      </c>
      <c r="C6" s="53">
        <v>465683000</v>
      </c>
      <c r="D6" s="54">
        <v>1.7344928162220783</v>
      </c>
      <c r="F6" s="53" t="s">
        <v>153</v>
      </c>
      <c r="G6" s="53">
        <v>11350</v>
      </c>
      <c r="H6" s="53">
        <v>465683000</v>
      </c>
      <c r="I6" s="2">
        <f t="shared" si="0"/>
        <v>5335.7156033093634</v>
      </c>
      <c r="J6" s="53">
        <v>35000</v>
      </c>
      <c r="K6" s="2">
        <f t="shared" si="1"/>
        <v>263165</v>
      </c>
      <c r="L6" s="2">
        <f t="shared" si="1"/>
        <v>11993641000</v>
      </c>
      <c r="M6">
        <f>1-SUM(K6:$K$12)/$K$14</f>
        <v>0.97653587449486812</v>
      </c>
      <c r="N6">
        <f>SUM(L6:$L$12)/(J6*SUM(K6:$K$12))</f>
        <v>1.9822778682445021</v>
      </c>
      <c r="O6">
        <f t="shared" si="2"/>
        <v>8.2795964508958264E-2</v>
      </c>
    </row>
    <row r="7" spans="1:15" x14ac:dyDescent="0.3">
      <c r="A7" s="53" t="s">
        <v>154</v>
      </c>
      <c r="B7" s="53">
        <v>4500</v>
      </c>
      <c r="C7" s="53">
        <v>262454000</v>
      </c>
      <c r="D7" s="54">
        <v>1.9453513464928296</v>
      </c>
      <c r="F7" s="53" t="s">
        <v>154</v>
      </c>
      <c r="G7" s="53">
        <v>4500</v>
      </c>
      <c r="H7" s="53">
        <v>262454000</v>
      </c>
      <c r="I7" s="2">
        <f t="shared" si="0"/>
        <v>6860.2057756834674</v>
      </c>
      <c r="J7" s="53">
        <v>45000</v>
      </c>
      <c r="K7" s="2">
        <f t="shared" si="1"/>
        <v>113219</v>
      </c>
      <c r="L7" s="2">
        <f t="shared" si="1"/>
        <v>7318716000</v>
      </c>
      <c r="M7">
        <f>1-SUM(K7:$K$12)/$K$14</f>
        <v>0.9894841659079302</v>
      </c>
      <c r="N7">
        <f>SUM(L7:$L$12)/(J7*SUM(K7:$K$12))</f>
        <v>2.1931399506015721</v>
      </c>
      <c r="O7">
        <f t="shared" si="2"/>
        <v>8.2247679276446536E-2</v>
      </c>
    </row>
    <row r="8" spans="1:15" x14ac:dyDescent="0.3">
      <c r="A8" s="53" t="s">
        <v>155</v>
      </c>
      <c r="B8" s="53">
        <v>2170</v>
      </c>
      <c r="C8" s="53">
        <v>177805000</v>
      </c>
      <c r="D8" s="54">
        <v>1.7413513847145299</v>
      </c>
      <c r="F8" s="53" t="s">
        <v>155</v>
      </c>
      <c r="G8" s="53">
        <v>2170</v>
      </c>
      <c r="H8" s="53">
        <v>177805000</v>
      </c>
      <c r="I8" s="2">
        <f t="shared" si="0"/>
        <v>10671.431206618727</v>
      </c>
      <c r="J8" s="53">
        <v>70000</v>
      </c>
      <c r="K8" s="2">
        <f t="shared" si="1"/>
        <v>56809</v>
      </c>
      <c r="L8" s="2">
        <f t="shared" si="1"/>
        <v>5210846000</v>
      </c>
      <c r="M8">
        <f>1-SUM(K8:$K$12)/$K$14</f>
        <v>0.99505478740203279</v>
      </c>
      <c r="N8">
        <f>SUM(L8:$L$12)/(J8*SUM(K8:$K$12))</f>
        <v>1.9578084758000784</v>
      </c>
      <c r="O8">
        <f t="shared" si="2"/>
        <v>7.9388829234804351E-2</v>
      </c>
    </row>
    <row r="9" spans="1:15" x14ac:dyDescent="0.3">
      <c r="A9" s="53" t="s">
        <v>99</v>
      </c>
      <c r="B9" s="53">
        <v>1326</v>
      </c>
      <c r="C9" s="53">
        <v>173949000</v>
      </c>
      <c r="D9" s="54">
        <v>1.7415005487403066</v>
      </c>
      <c r="F9" s="53" t="s">
        <v>99</v>
      </c>
      <c r="G9" s="53">
        <v>1326</v>
      </c>
      <c r="H9" s="53">
        <v>173949000</v>
      </c>
      <c r="I9" s="2">
        <f t="shared" si="0"/>
        <v>15244.901723741039</v>
      </c>
      <c r="J9" s="53">
        <v>100000</v>
      </c>
      <c r="K9" s="2">
        <f t="shared" si="1"/>
        <v>35501</v>
      </c>
      <c r="L9" s="2">
        <f t="shared" si="1"/>
        <v>5312915000</v>
      </c>
      <c r="M9">
        <f>1-SUM(K9:$K$12)/$K$14</f>
        <v>0.99784991398377676</v>
      </c>
      <c r="N9">
        <f>SUM(L9:$L$12)/(J9*SUM(K9:$K$12))</f>
        <v>1.9596404952058399</v>
      </c>
      <c r="O9">
        <f t="shared" si="2"/>
        <v>8.4589166502352042E-2</v>
      </c>
    </row>
    <row r="10" spans="1:15" x14ac:dyDescent="0.3">
      <c r="A10" s="53" t="s">
        <v>101</v>
      </c>
      <c r="B10" s="53">
        <v>193</v>
      </c>
      <c r="C10" s="53">
        <v>46347000</v>
      </c>
      <c r="D10" s="54">
        <v>1.7240006263159895</v>
      </c>
      <c r="F10" s="53" t="s">
        <v>101</v>
      </c>
      <c r="G10" s="53">
        <v>193</v>
      </c>
      <c r="H10" s="53">
        <v>46347000</v>
      </c>
      <c r="I10" s="2">
        <f t="shared" si="0"/>
        <v>30489.803447482078</v>
      </c>
      <c r="J10" s="53">
        <v>200000</v>
      </c>
      <c r="K10" s="2">
        <f t="shared" si="1"/>
        <v>5041</v>
      </c>
      <c r="L10" s="2">
        <f t="shared" si="1"/>
        <v>1357522000</v>
      </c>
      <c r="M10">
        <f>1-SUM(K10:$K$12)/$K$14</f>
        <v>0.99959664053728925</v>
      </c>
      <c r="N10">
        <f>SUM(L10:$L$12)/(J10*SUM(K10:$K$12))</f>
        <v>1.9825067089534032</v>
      </c>
      <c r="O10">
        <f t="shared" si="2"/>
        <v>0.10037690934338425</v>
      </c>
    </row>
    <row r="11" spans="1:15" x14ac:dyDescent="0.3">
      <c r="A11" s="53" t="s">
        <v>135</v>
      </c>
      <c r="B11" s="53">
        <v>101</v>
      </c>
      <c r="C11" s="53">
        <v>37328000</v>
      </c>
      <c r="D11" s="54">
        <v>1.6269434044869899</v>
      </c>
      <c r="F11" s="53" t="s">
        <v>135</v>
      </c>
      <c r="G11" s="53">
        <v>101</v>
      </c>
      <c r="H11" s="53">
        <v>37328000</v>
      </c>
      <c r="I11" s="2">
        <f t="shared" si="0"/>
        <v>45734.705171223111</v>
      </c>
      <c r="J11" s="53">
        <v>300000</v>
      </c>
      <c r="K11" s="2">
        <f t="shared" si="1"/>
        <v>2195</v>
      </c>
      <c r="L11" s="2">
        <f t="shared" si="1"/>
        <v>926313000</v>
      </c>
      <c r="M11">
        <f>1-SUM(K11:$K$12)/$K$14</f>
        <v>0.99984466872117861</v>
      </c>
      <c r="N11">
        <f>SUM(L11:$L$12)/(J11*SUM(K11:$K$12))</f>
        <v>1.9987287509238729</v>
      </c>
      <c r="O11">
        <f t="shared" si="2"/>
        <v>0.11662870159453304</v>
      </c>
    </row>
    <row r="12" spans="1:15" x14ac:dyDescent="0.3">
      <c r="A12" s="53" t="s">
        <v>136</v>
      </c>
      <c r="B12" s="53">
        <v>40</v>
      </c>
      <c r="C12" s="53">
        <v>31494000</v>
      </c>
      <c r="D12" s="54">
        <v>1.5747</v>
      </c>
      <c r="F12" s="53" t="s">
        <v>136</v>
      </c>
      <c r="G12" s="53">
        <v>40</v>
      </c>
      <c r="H12" s="53">
        <v>31494000</v>
      </c>
      <c r="I12" s="2">
        <f t="shared" si="0"/>
        <v>76224.508618705193</v>
      </c>
      <c r="J12" s="53">
        <v>500000</v>
      </c>
      <c r="K12" s="2">
        <f t="shared" si="1"/>
        <v>962</v>
      </c>
      <c r="L12" s="2">
        <f>H12+H22+H32+H42+H52+H62+H72+H82+H92+H102+H112+H122</f>
        <v>966683000</v>
      </c>
      <c r="M12">
        <f>1-SUM(K12:$K$12)/$K$14</f>
        <v>0.99995266750388778</v>
      </c>
      <c r="N12">
        <f>SUM(L12:$L$12)/(J12*SUM(K12:$K$12))</f>
        <v>2.0097359667359669</v>
      </c>
      <c r="O12">
        <f t="shared" si="2"/>
        <v>0.1444906444906445</v>
      </c>
    </row>
    <row r="13" spans="1:15" x14ac:dyDescent="0.3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3">
      <c r="A14" s="53" t="s">
        <v>96</v>
      </c>
      <c r="B14" s="53">
        <v>53222</v>
      </c>
      <c r="C14" s="53">
        <v>911658000</v>
      </c>
      <c r="D14" s="54">
        <v>1.9079531895893342</v>
      </c>
      <c r="F14" s="53" t="s">
        <v>96</v>
      </c>
      <c r="G14" s="53">
        <v>53222</v>
      </c>
      <c r="H14" s="53">
        <v>911658000</v>
      </c>
      <c r="K14" s="63">
        <v>20324303.153582145</v>
      </c>
    </row>
    <row r="15" spans="1:15" x14ac:dyDescent="0.3">
      <c r="A15" s="53" t="s">
        <v>134</v>
      </c>
      <c r="B15" s="53">
        <v>40021</v>
      </c>
      <c r="C15" s="53">
        <v>1018150000</v>
      </c>
      <c r="D15" s="54">
        <v>1.9555952216611181</v>
      </c>
      <c r="F15" s="53" t="s">
        <v>134</v>
      </c>
      <c r="G15" s="53">
        <v>40021</v>
      </c>
      <c r="H15" s="53">
        <v>1018150000</v>
      </c>
    </row>
    <row r="16" spans="1:15" x14ac:dyDescent="0.3">
      <c r="A16" s="53" t="s">
        <v>153</v>
      </c>
      <c r="B16" s="53">
        <v>9633</v>
      </c>
      <c r="C16" s="53">
        <v>396436000</v>
      </c>
      <c r="D16" s="54">
        <v>1.9704343879456971</v>
      </c>
      <c r="F16" s="53" t="s">
        <v>153</v>
      </c>
      <c r="G16" s="53">
        <v>9633</v>
      </c>
      <c r="H16" s="53">
        <v>396436000</v>
      </c>
    </row>
    <row r="17" spans="1:8" x14ac:dyDescent="0.3">
      <c r="A17" s="53" t="s">
        <v>154</v>
      </c>
      <c r="B17" s="53">
        <v>4429</v>
      </c>
      <c r="C17" s="53">
        <v>258138000</v>
      </c>
      <c r="D17" s="54">
        <v>2.215647475146052</v>
      </c>
      <c r="F17" s="53" t="s">
        <v>154</v>
      </c>
      <c r="G17" s="53">
        <v>4429</v>
      </c>
      <c r="H17" s="53">
        <v>258138000</v>
      </c>
    </row>
    <row r="18" spans="1:8" x14ac:dyDescent="0.3">
      <c r="A18" s="53" t="s">
        <v>155</v>
      </c>
      <c r="B18" s="53">
        <v>2182</v>
      </c>
      <c r="C18" s="53">
        <v>179726000</v>
      </c>
      <c r="D18" s="54">
        <v>2.0353070317607402</v>
      </c>
      <c r="F18" s="53" t="s">
        <v>155</v>
      </c>
      <c r="G18" s="53">
        <v>2182</v>
      </c>
      <c r="H18" s="53">
        <v>179726000</v>
      </c>
    </row>
    <row r="19" spans="1:8" x14ac:dyDescent="0.3">
      <c r="A19" s="53" t="s">
        <v>99</v>
      </c>
      <c r="B19" s="53">
        <v>1561</v>
      </c>
      <c r="C19" s="53">
        <v>206835000</v>
      </c>
      <c r="D19" s="54">
        <v>2.0464730778107021</v>
      </c>
      <c r="F19" s="53" t="s">
        <v>99</v>
      </c>
      <c r="G19" s="53">
        <v>1561</v>
      </c>
      <c r="H19" s="53">
        <v>206835000</v>
      </c>
    </row>
    <row r="20" spans="1:8" x14ac:dyDescent="0.3">
      <c r="A20" s="53" t="s">
        <v>101</v>
      </c>
      <c r="B20" s="53">
        <v>309</v>
      </c>
      <c r="C20" s="53">
        <v>73739000</v>
      </c>
      <c r="D20" s="54">
        <v>2.0492053721539789</v>
      </c>
      <c r="F20" s="53" t="s">
        <v>101</v>
      </c>
      <c r="G20" s="53">
        <v>309</v>
      </c>
      <c r="H20" s="53">
        <v>73739000</v>
      </c>
    </row>
    <row r="21" spans="1:8" x14ac:dyDescent="0.3">
      <c r="A21" s="53" t="s">
        <v>135</v>
      </c>
      <c r="B21" s="53">
        <v>146</v>
      </c>
      <c r="C21" s="53">
        <v>55366000</v>
      </c>
      <c r="D21" s="54">
        <v>2.1009716342788574</v>
      </c>
      <c r="F21" s="53" t="s">
        <v>135</v>
      </c>
      <c r="G21" s="53">
        <v>146</v>
      </c>
      <c r="H21" s="53">
        <v>55366000</v>
      </c>
    </row>
    <row r="22" spans="1:8" x14ac:dyDescent="0.3">
      <c r="A22" s="53" t="s">
        <v>136</v>
      </c>
      <c r="B22" s="53">
        <v>94</v>
      </c>
      <c r="C22" s="53">
        <v>95909000</v>
      </c>
      <c r="D22" s="54">
        <v>2.0406170212765957</v>
      </c>
      <c r="F22" s="53" t="s">
        <v>136</v>
      </c>
      <c r="G22" s="53">
        <v>94</v>
      </c>
      <c r="H22" s="53">
        <v>95909000</v>
      </c>
    </row>
    <row r="23" spans="1:8" x14ac:dyDescent="0.3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3">
      <c r="A24" s="53" t="s">
        <v>96</v>
      </c>
      <c r="B24" s="53">
        <v>425213</v>
      </c>
      <c r="C24" s="53">
        <v>7318741000</v>
      </c>
      <c r="D24" s="54">
        <v>1.8399527544044783</v>
      </c>
      <c r="F24" s="53" t="s">
        <v>96</v>
      </c>
      <c r="G24" s="53">
        <v>425213</v>
      </c>
      <c r="H24" s="53">
        <v>7318741000</v>
      </c>
    </row>
    <row r="25" spans="1:8" x14ac:dyDescent="0.3">
      <c r="A25" s="53" t="s">
        <v>134</v>
      </c>
      <c r="B25" s="53">
        <v>386418</v>
      </c>
      <c r="C25" s="53">
        <v>9792859000</v>
      </c>
      <c r="D25" s="54">
        <v>1.7937424191535454</v>
      </c>
      <c r="F25" s="53" t="s">
        <v>134</v>
      </c>
      <c r="G25" s="53">
        <v>386418</v>
      </c>
      <c r="H25" s="53">
        <v>9792859000</v>
      </c>
    </row>
    <row r="26" spans="1:8" x14ac:dyDescent="0.3">
      <c r="A26" s="53" t="s">
        <v>153</v>
      </c>
      <c r="B26" s="53">
        <v>82770</v>
      </c>
      <c r="C26" s="53">
        <v>3399598000</v>
      </c>
      <c r="D26" s="54">
        <v>1.810534531778526</v>
      </c>
      <c r="F26" s="53" t="s">
        <v>153</v>
      </c>
      <c r="G26" s="53">
        <v>82770</v>
      </c>
      <c r="H26" s="53">
        <v>3399598000</v>
      </c>
    </row>
    <row r="27" spans="1:8" x14ac:dyDescent="0.3">
      <c r="A27" s="53" t="s">
        <v>154</v>
      </c>
      <c r="B27" s="53">
        <v>34195</v>
      </c>
      <c r="C27" s="53">
        <v>1992630000</v>
      </c>
      <c r="D27" s="54">
        <v>2.0346757053045157</v>
      </c>
      <c r="F27" s="53" t="s">
        <v>154</v>
      </c>
      <c r="G27" s="53">
        <v>34195</v>
      </c>
      <c r="H27" s="53">
        <v>1992630000</v>
      </c>
    </row>
    <row r="28" spans="1:8" x14ac:dyDescent="0.3">
      <c r="A28" s="53" t="s">
        <v>155</v>
      </c>
      <c r="B28" s="53">
        <v>17194</v>
      </c>
      <c r="C28" s="53">
        <v>1413443000</v>
      </c>
      <c r="D28" s="54">
        <v>1.8276615847949746</v>
      </c>
      <c r="F28" s="53" t="s">
        <v>155</v>
      </c>
      <c r="G28" s="53">
        <v>17194</v>
      </c>
      <c r="H28" s="53">
        <v>1413443000</v>
      </c>
    </row>
    <row r="29" spans="1:8" x14ac:dyDescent="0.3">
      <c r="A29" s="53" t="s">
        <v>99</v>
      </c>
      <c r="B29" s="53">
        <v>11023</v>
      </c>
      <c r="C29" s="53">
        <v>1453937000</v>
      </c>
      <c r="D29" s="54">
        <v>1.8364896281814556</v>
      </c>
      <c r="F29" s="53" t="s">
        <v>99</v>
      </c>
      <c r="G29" s="53">
        <v>11023</v>
      </c>
      <c r="H29" s="53">
        <v>1453937000</v>
      </c>
    </row>
    <row r="30" spans="1:8" x14ac:dyDescent="0.3">
      <c r="A30" s="53" t="s">
        <v>101</v>
      </c>
      <c r="B30" s="53">
        <v>1824</v>
      </c>
      <c r="C30" s="53">
        <v>435478000</v>
      </c>
      <c r="D30" s="54">
        <v>1.8398014207816742</v>
      </c>
      <c r="F30" s="53" t="s">
        <v>101</v>
      </c>
      <c r="G30" s="53">
        <v>1824</v>
      </c>
      <c r="H30" s="53">
        <v>435478000</v>
      </c>
    </row>
    <row r="31" spans="1:8" x14ac:dyDescent="0.3">
      <c r="A31" s="53" t="s">
        <v>135</v>
      </c>
      <c r="B31" s="53">
        <v>846</v>
      </c>
      <c r="C31" s="53">
        <v>315137000</v>
      </c>
      <c r="D31" s="54">
        <v>1.8442362193796893</v>
      </c>
      <c r="F31" s="53" t="s">
        <v>135</v>
      </c>
      <c r="G31" s="53">
        <v>846</v>
      </c>
      <c r="H31" s="53">
        <v>315137000</v>
      </c>
    </row>
    <row r="32" spans="1:8" x14ac:dyDescent="0.3">
      <c r="A32" s="53" t="s">
        <v>136</v>
      </c>
      <c r="B32" s="53">
        <v>426</v>
      </c>
      <c r="C32" s="53">
        <v>388647000</v>
      </c>
      <c r="D32" s="54">
        <v>1.8246338028169014</v>
      </c>
      <c r="F32" s="53" t="s">
        <v>136</v>
      </c>
      <c r="G32" s="53">
        <v>426</v>
      </c>
      <c r="H32" s="53">
        <v>388647000</v>
      </c>
    </row>
    <row r="33" spans="1:8" x14ac:dyDescent="0.3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3">
      <c r="A34" s="53" t="s">
        <v>96</v>
      </c>
      <c r="B34" s="53">
        <v>6128</v>
      </c>
      <c r="C34" s="53">
        <v>124849000</v>
      </c>
      <c r="D34" s="54">
        <v>2.0030259668604793</v>
      </c>
      <c r="F34" s="53" t="s">
        <v>96</v>
      </c>
      <c r="G34" s="53">
        <v>6128</v>
      </c>
      <c r="H34" s="53">
        <v>124849000</v>
      </c>
    </row>
    <row r="35" spans="1:8" x14ac:dyDescent="0.3">
      <c r="A35" s="53" t="s">
        <v>134</v>
      </c>
      <c r="B35" s="53">
        <v>4100</v>
      </c>
      <c r="C35" s="53">
        <v>122082000</v>
      </c>
      <c r="D35" s="54">
        <v>2.0343438744702187</v>
      </c>
      <c r="F35" s="53" t="s">
        <v>134</v>
      </c>
      <c r="G35" s="53">
        <v>4100</v>
      </c>
      <c r="H35" s="53">
        <v>122082000</v>
      </c>
    </row>
    <row r="36" spans="1:8" x14ac:dyDescent="0.3">
      <c r="A36" s="53" t="s">
        <v>153</v>
      </c>
      <c r="B36" s="53">
        <v>806</v>
      </c>
      <c r="C36" s="53">
        <v>40441000</v>
      </c>
      <c r="D36" s="54">
        <v>2.0271048244921244</v>
      </c>
      <c r="F36" s="53" t="s">
        <v>153</v>
      </c>
      <c r="G36" s="53">
        <v>806</v>
      </c>
      <c r="H36" s="53">
        <v>40441000</v>
      </c>
    </row>
    <row r="37" spans="1:8" x14ac:dyDescent="0.3">
      <c r="A37" s="53" t="s">
        <v>154</v>
      </c>
      <c r="B37" s="53">
        <v>383</v>
      </c>
      <c r="C37" s="53">
        <v>23134000</v>
      </c>
      <c r="D37" s="54">
        <v>2.1283829930797271</v>
      </c>
      <c r="F37" s="53" t="s">
        <v>154</v>
      </c>
      <c r="G37" s="53">
        <v>383</v>
      </c>
      <c r="H37" s="53">
        <v>23134000</v>
      </c>
    </row>
    <row r="38" spans="1:8" x14ac:dyDescent="0.3">
      <c r="A38" s="53" t="s">
        <v>155</v>
      </c>
      <c r="B38" s="53">
        <v>158</v>
      </c>
      <c r="C38" s="53">
        <v>15898000</v>
      </c>
      <c r="D38" s="54">
        <v>2.031510175650054</v>
      </c>
      <c r="F38" s="53" t="s">
        <v>155</v>
      </c>
      <c r="G38" s="53">
        <v>158</v>
      </c>
      <c r="H38" s="53">
        <v>15898000</v>
      </c>
    </row>
    <row r="39" spans="1:8" x14ac:dyDescent="0.3">
      <c r="A39" s="53" t="s">
        <v>99</v>
      </c>
      <c r="B39" s="53">
        <v>116</v>
      </c>
      <c r="C39" s="53">
        <v>14714000</v>
      </c>
      <c r="D39" s="54">
        <v>1.9126445564398784</v>
      </c>
      <c r="F39" s="53" t="s">
        <v>99</v>
      </c>
      <c r="G39" s="53">
        <v>116</v>
      </c>
      <c r="H39" s="53">
        <v>14714000</v>
      </c>
    </row>
    <row r="40" spans="1:8" x14ac:dyDescent="0.3">
      <c r="A40" s="53" t="s">
        <v>101</v>
      </c>
      <c r="B40" s="53">
        <v>4</v>
      </c>
      <c r="C40" s="53">
        <v>4048000</v>
      </c>
      <c r="D40" s="54">
        <v>3.032626146470454</v>
      </c>
      <c r="F40" s="53" t="s">
        <v>101</v>
      </c>
      <c r="G40" s="53">
        <v>4</v>
      </c>
      <c r="H40" s="53">
        <v>4048000</v>
      </c>
    </row>
    <row r="41" spans="1:8" x14ac:dyDescent="0.3">
      <c r="A41" s="53" t="s">
        <v>135</v>
      </c>
      <c r="B41" s="53">
        <v>9</v>
      </c>
      <c r="C41" s="53">
        <v>3005000</v>
      </c>
      <c r="D41" s="54">
        <v>1.6356597637221617</v>
      </c>
      <c r="F41" s="53" t="s">
        <v>135</v>
      </c>
      <c r="G41" s="53">
        <v>9</v>
      </c>
      <c r="H41" s="53">
        <v>3005000</v>
      </c>
    </row>
    <row r="42" spans="1:8" x14ac:dyDescent="0.3">
      <c r="A42" s="53" t="s">
        <v>136</v>
      </c>
      <c r="B42" s="53">
        <v>5</v>
      </c>
      <c r="C42" s="53">
        <v>3865000</v>
      </c>
      <c r="D42" s="54">
        <v>1.546</v>
      </c>
      <c r="F42" s="53" t="s">
        <v>136</v>
      </c>
      <c r="G42" s="53">
        <v>5</v>
      </c>
      <c r="H42" s="53">
        <v>3865000</v>
      </c>
    </row>
    <row r="43" spans="1:8" x14ac:dyDescent="0.3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3">
      <c r="A44" s="53" t="s">
        <v>96</v>
      </c>
      <c r="B44" s="53">
        <v>323117</v>
      </c>
      <c r="C44" s="53">
        <v>6082913000</v>
      </c>
      <c r="D44" s="54">
        <v>1.9978784999507513</v>
      </c>
      <c r="F44" s="53" t="s">
        <v>96</v>
      </c>
      <c r="G44" s="53">
        <v>323117</v>
      </c>
      <c r="H44" s="53">
        <v>6082913000</v>
      </c>
    </row>
    <row r="45" spans="1:8" x14ac:dyDescent="0.3">
      <c r="A45" s="53" t="s">
        <v>134</v>
      </c>
      <c r="B45" s="53">
        <v>275828</v>
      </c>
      <c r="C45" s="53">
        <v>8148630000</v>
      </c>
      <c r="D45" s="54">
        <v>1.9905396588232995</v>
      </c>
      <c r="F45" s="53" t="s">
        <v>134</v>
      </c>
      <c r="G45" s="53">
        <v>275828</v>
      </c>
      <c r="H45" s="53">
        <v>8148630000</v>
      </c>
    </row>
    <row r="46" spans="1:8" x14ac:dyDescent="0.3">
      <c r="A46" s="53" t="s">
        <v>153</v>
      </c>
      <c r="B46" s="53">
        <v>52958</v>
      </c>
      <c r="C46" s="53">
        <v>2597997000</v>
      </c>
      <c r="D46" s="54">
        <v>2.0321718927290644</v>
      </c>
      <c r="F46" s="53" t="s">
        <v>153</v>
      </c>
      <c r="G46" s="53">
        <v>52958</v>
      </c>
      <c r="H46" s="53">
        <v>2597997000</v>
      </c>
    </row>
    <row r="47" spans="1:8" x14ac:dyDescent="0.3">
      <c r="A47" s="53" t="s">
        <v>154</v>
      </c>
      <c r="B47" s="53">
        <v>20831</v>
      </c>
      <c r="C47" s="53">
        <v>1431877000</v>
      </c>
      <c r="D47" s="54">
        <v>2.2707592052938317</v>
      </c>
      <c r="F47" s="53" t="s">
        <v>154</v>
      </c>
      <c r="G47" s="53">
        <v>20831</v>
      </c>
      <c r="H47" s="53">
        <v>1431877000</v>
      </c>
    </row>
    <row r="48" spans="1:8" x14ac:dyDescent="0.3">
      <c r="A48" s="53" t="s">
        <v>155</v>
      </c>
      <c r="B48" s="53">
        <v>9844</v>
      </c>
      <c r="C48" s="53">
        <v>969868000</v>
      </c>
      <c r="D48" s="54">
        <v>2.051600641381933</v>
      </c>
      <c r="F48" s="53" t="s">
        <v>155</v>
      </c>
      <c r="G48" s="53">
        <v>9844</v>
      </c>
      <c r="H48" s="53">
        <v>969868000</v>
      </c>
    </row>
    <row r="49" spans="1:8" x14ac:dyDescent="0.3">
      <c r="A49" s="53" t="s">
        <v>99</v>
      </c>
      <c r="B49" s="53">
        <v>5817</v>
      </c>
      <c r="C49" s="53">
        <v>940360000</v>
      </c>
      <c r="D49" s="54">
        <v>2.071748164433485</v>
      </c>
      <c r="F49" s="53" t="s">
        <v>99</v>
      </c>
      <c r="G49" s="53">
        <v>5817</v>
      </c>
      <c r="H49" s="53">
        <v>940360000</v>
      </c>
    </row>
    <row r="50" spans="1:8" x14ac:dyDescent="0.3">
      <c r="A50" s="53" t="s">
        <v>101</v>
      </c>
      <c r="B50" s="53">
        <v>765</v>
      </c>
      <c r="C50" s="53">
        <v>215591000</v>
      </c>
      <c r="D50" s="54">
        <v>2.1688735922485312</v>
      </c>
      <c r="F50" s="53" t="s">
        <v>101</v>
      </c>
      <c r="G50" s="53">
        <v>765</v>
      </c>
      <c r="H50" s="53">
        <v>215591000</v>
      </c>
    </row>
    <row r="51" spans="1:8" x14ac:dyDescent="0.3">
      <c r="A51" s="53" t="s">
        <v>135</v>
      </c>
      <c r="B51" s="53">
        <v>292</v>
      </c>
      <c r="C51" s="53">
        <v>149159000</v>
      </c>
      <c r="D51" s="54">
        <v>2.4051756030574558</v>
      </c>
      <c r="F51" s="53" t="s">
        <v>135</v>
      </c>
      <c r="G51" s="53">
        <v>292</v>
      </c>
      <c r="H51" s="53">
        <v>149159000</v>
      </c>
    </row>
    <row r="52" spans="1:8" x14ac:dyDescent="0.3">
      <c r="A52" s="53" t="s">
        <v>136</v>
      </c>
      <c r="B52" s="53">
        <v>112</v>
      </c>
      <c r="C52" s="53">
        <v>142358000</v>
      </c>
      <c r="D52" s="54">
        <v>2.5421071428571427</v>
      </c>
      <c r="F52" s="53" t="s">
        <v>136</v>
      </c>
      <c r="G52" s="53">
        <v>112</v>
      </c>
      <c r="H52" s="53">
        <v>142358000</v>
      </c>
    </row>
    <row r="53" spans="1:8" x14ac:dyDescent="0.3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3">
      <c r="A54" s="53" t="s">
        <v>96</v>
      </c>
      <c r="B54" s="53">
        <v>223841</v>
      </c>
      <c r="C54" s="53">
        <v>4262684000</v>
      </c>
      <c r="D54" s="54">
        <v>2.1997296429041735</v>
      </c>
      <c r="F54" s="53" t="s">
        <v>96</v>
      </c>
      <c r="G54" s="53">
        <v>223841</v>
      </c>
      <c r="H54" s="53">
        <v>4262684000</v>
      </c>
    </row>
    <row r="55" spans="1:8" x14ac:dyDescent="0.3">
      <c r="A55" s="53" t="s">
        <v>134</v>
      </c>
      <c r="B55" s="53">
        <v>225953</v>
      </c>
      <c r="C55" s="53">
        <v>6687963000</v>
      </c>
      <c r="D55" s="54">
        <v>2.1320898893909526</v>
      </c>
      <c r="F55" s="53" t="s">
        <v>134</v>
      </c>
      <c r="G55" s="53">
        <v>225953</v>
      </c>
      <c r="H55" s="53">
        <v>6687963000</v>
      </c>
    </row>
    <row r="56" spans="1:8" x14ac:dyDescent="0.3">
      <c r="A56" s="53" t="s">
        <v>153</v>
      </c>
      <c r="B56" s="53">
        <v>54835</v>
      </c>
      <c r="C56" s="53">
        <v>2680491000</v>
      </c>
      <c r="D56" s="54">
        <v>2.0757884257381307</v>
      </c>
      <c r="F56" s="53" t="s">
        <v>153</v>
      </c>
      <c r="G56" s="53">
        <v>54835</v>
      </c>
      <c r="H56" s="53">
        <v>2680491000</v>
      </c>
    </row>
    <row r="57" spans="1:8" x14ac:dyDescent="0.3">
      <c r="A57" s="53" t="s">
        <v>154</v>
      </c>
      <c r="B57" s="53">
        <v>23513</v>
      </c>
      <c r="C57" s="53">
        <v>1644295000</v>
      </c>
      <c r="D57" s="54">
        <v>2.2804658859733471</v>
      </c>
      <c r="F57" s="53" t="s">
        <v>154</v>
      </c>
      <c r="G57" s="53">
        <v>23513</v>
      </c>
      <c r="H57" s="53">
        <v>1644295000</v>
      </c>
    </row>
    <row r="58" spans="1:8" x14ac:dyDescent="0.3">
      <c r="A58" s="53" t="s">
        <v>155</v>
      </c>
      <c r="B58" s="53">
        <v>11815</v>
      </c>
      <c r="C58" s="53">
        <v>1149780000</v>
      </c>
      <c r="D58" s="54">
        <v>2.0150456362127778</v>
      </c>
      <c r="F58" s="53" t="s">
        <v>155</v>
      </c>
      <c r="G58" s="53">
        <v>11815</v>
      </c>
      <c r="H58" s="53">
        <v>1149780000</v>
      </c>
    </row>
    <row r="59" spans="1:8" x14ac:dyDescent="0.3">
      <c r="A59" s="53" t="s">
        <v>99</v>
      </c>
      <c r="B59" s="53">
        <v>6884</v>
      </c>
      <c r="C59" s="53">
        <v>1133991000</v>
      </c>
      <c r="D59" s="54">
        <v>2.0410190688248249</v>
      </c>
      <c r="F59" s="53" t="s">
        <v>99</v>
      </c>
      <c r="G59" s="53">
        <v>6884</v>
      </c>
      <c r="H59" s="53">
        <v>1133991000</v>
      </c>
    </row>
    <row r="60" spans="1:8" x14ac:dyDescent="0.3">
      <c r="A60" s="53" t="s">
        <v>101</v>
      </c>
      <c r="B60" s="53">
        <v>843</v>
      </c>
      <c r="C60" s="53">
        <v>241543000</v>
      </c>
      <c r="D60" s="54">
        <v>2.0508549040633075</v>
      </c>
      <c r="F60" s="53" t="s">
        <v>101</v>
      </c>
      <c r="G60" s="53">
        <v>843</v>
      </c>
      <c r="H60" s="53">
        <v>241543000</v>
      </c>
    </row>
    <row r="61" spans="1:8" x14ac:dyDescent="0.3">
      <c r="A61" s="53" t="s">
        <v>135</v>
      </c>
      <c r="B61" s="53">
        <v>342</v>
      </c>
      <c r="C61" s="53">
        <v>159801000</v>
      </c>
      <c r="D61" s="54">
        <v>2.1018961101578504</v>
      </c>
      <c r="F61" s="53" t="s">
        <v>135</v>
      </c>
      <c r="G61" s="53">
        <v>342</v>
      </c>
      <c r="H61" s="53">
        <v>159801000</v>
      </c>
    </row>
    <row r="62" spans="1:8" x14ac:dyDescent="0.3">
      <c r="A62" s="53" t="s">
        <v>136</v>
      </c>
      <c r="B62" s="53">
        <v>131</v>
      </c>
      <c r="C62" s="53">
        <v>138468000</v>
      </c>
      <c r="D62" s="54">
        <v>2.1140152671755725</v>
      </c>
      <c r="F62" s="53" t="s">
        <v>136</v>
      </c>
      <c r="G62" s="53">
        <v>131</v>
      </c>
      <c r="H62" s="53">
        <v>138468000</v>
      </c>
    </row>
    <row r="63" spans="1:8" x14ac:dyDescent="0.3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3">
      <c r="A64" s="53" t="s">
        <v>96</v>
      </c>
      <c r="B64" s="53">
        <v>97131</v>
      </c>
      <c r="C64" s="53">
        <v>1847036000</v>
      </c>
      <c r="D64" s="54">
        <v>2.364484406483442</v>
      </c>
      <c r="F64" s="53" t="s">
        <v>96</v>
      </c>
      <c r="G64" s="53">
        <v>97131</v>
      </c>
      <c r="H64" s="53">
        <v>1847036000</v>
      </c>
    </row>
    <row r="65" spans="1:8" x14ac:dyDescent="0.3">
      <c r="A65" s="53" t="s">
        <v>134</v>
      </c>
      <c r="B65" s="53">
        <v>101644</v>
      </c>
      <c r="C65" s="53">
        <v>2987120000</v>
      </c>
      <c r="D65" s="54">
        <v>2.2787180373600218</v>
      </c>
      <c r="F65" s="53" t="s">
        <v>134</v>
      </c>
      <c r="G65" s="53">
        <v>101644</v>
      </c>
      <c r="H65" s="53">
        <v>2987120000</v>
      </c>
    </row>
    <row r="66" spans="1:8" x14ac:dyDescent="0.3">
      <c r="A66" s="53" t="s">
        <v>153</v>
      </c>
      <c r="B66" s="53">
        <v>29597</v>
      </c>
      <c r="C66" s="53">
        <v>1431669000</v>
      </c>
      <c r="D66" s="54">
        <v>2.1324227184060356</v>
      </c>
      <c r="F66" s="53" t="s">
        <v>153</v>
      </c>
      <c r="G66" s="53">
        <v>29597</v>
      </c>
      <c r="H66" s="53">
        <v>1431669000</v>
      </c>
    </row>
    <row r="67" spans="1:8" x14ac:dyDescent="0.3">
      <c r="A67" s="53" t="s">
        <v>154</v>
      </c>
      <c r="B67" s="53">
        <v>14126</v>
      </c>
      <c r="C67" s="53">
        <v>961191000</v>
      </c>
      <c r="D67" s="54">
        <v>2.2964220333160896</v>
      </c>
      <c r="F67" s="53" t="s">
        <v>154</v>
      </c>
      <c r="G67" s="53">
        <v>14126</v>
      </c>
      <c r="H67" s="53">
        <v>961191000</v>
      </c>
    </row>
    <row r="68" spans="1:8" x14ac:dyDescent="0.3">
      <c r="A68" s="53" t="s">
        <v>155</v>
      </c>
      <c r="B68" s="53">
        <v>7436</v>
      </c>
      <c r="C68" s="53">
        <v>713965000</v>
      </c>
      <c r="D68" s="54">
        <v>2.0256504130408199</v>
      </c>
      <c r="F68" s="53" t="s">
        <v>155</v>
      </c>
      <c r="G68" s="53">
        <v>7436</v>
      </c>
      <c r="H68" s="53">
        <v>713965000</v>
      </c>
    </row>
    <row r="69" spans="1:8" x14ac:dyDescent="0.3">
      <c r="A69" s="53" t="s">
        <v>99</v>
      </c>
      <c r="B69" s="53">
        <v>4652</v>
      </c>
      <c r="C69" s="53">
        <v>754194000</v>
      </c>
      <c r="D69" s="54">
        <v>2.0329368291050995</v>
      </c>
      <c r="F69" s="53" t="s">
        <v>99</v>
      </c>
      <c r="G69" s="53">
        <v>4652</v>
      </c>
      <c r="H69" s="53">
        <v>754194000</v>
      </c>
    </row>
    <row r="70" spans="1:8" x14ac:dyDescent="0.3">
      <c r="A70" s="53" t="s">
        <v>101</v>
      </c>
      <c r="B70" s="53">
        <v>578</v>
      </c>
      <c r="C70" s="53">
        <v>180798000</v>
      </c>
      <c r="D70" s="54">
        <v>2.0978578610572858</v>
      </c>
      <c r="F70" s="53" t="s">
        <v>101</v>
      </c>
      <c r="G70" s="53">
        <v>578</v>
      </c>
      <c r="H70" s="53">
        <v>180798000</v>
      </c>
    </row>
    <row r="71" spans="1:8" x14ac:dyDescent="0.3">
      <c r="A71" s="53" t="s">
        <v>135</v>
      </c>
      <c r="B71" s="53">
        <v>230</v>
      </c>
      <c r="C71" s="53">
        <v>105261000</v>
      </c>
      <c r="D71" s="54">
        <v>2.0666086022240817</v>
      </c>
      <c r="F71" s="53" t="s">
        <v>135</v>
      </c>
      <c r="G71" s="53">
        <v>230</v>
      </c>
      <c r="H71" s="53">
        <v>105261000</v>
      </c>
    </row>
    <row r="72" spans="1:8" x14ac:dyDescent="0.3">
      <c r="A72" s="53" t="s">
        <v>136</v>
      </c>
      <c r="B72" s="53">
        <v>78</v>
      </c>
      <c r="C72" s="53">
        <v>85700000</v>
      </c>
      <c r="D72" s="54">
        <v>2.1974358974358976</v>
      </c>
      <c r="F72" s="53" t="s">
        <v>136</v>
      </c>
      <c r="G72" s="53">
        <v>78</v>
      </c>
      <c r="H72" s="53">
        <v>85700000</v>
      </c>
    </row>
    <row r="73" spans="1:8" x14ac:dyDescent="0.3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3">
      <c r="A74" s="53" t="s">
        <v>96</v>
      </c>
      <c r="B74" s="53">
        <v>38176</v>
      </c>
      <c r="C74" s="53">
        <v>726096000</v>
      </c>
      <c r="D74" s="54">
        <v>2.4708403435223998</v>
      </c>
      <c r="F74" s="53" t="s">
        <v>96</v>
      </c>
      <c r="G74" s="53">
        <v>38176</v>
      </c>
      <c r="H74" s="53">
        <v>726096000</v>
      </c>
    </row>
    <row r="75" spans="1:8" x14ac:dyDescent="0.3">
      <c r="A75" s="53" t="s">
        <v>134</v>
      </c>
      <c r="B75" s="53">
        <v>38862</v>
      </c>
      <c r="C75" s="53">
        <v>1119782000</v>
      </c>
      <c r="D75" s="54">
        <v>2.3870090557247576</v>
      </c>
      <c r="F75" s="53" t="s">
        <v>134</v>
      </c>
      <c r="G75" s="53">
        <v>38862</v>
      </c>
      <c r="H75" s="53">
        <v>1119782000</v>
      </c>
    </row>
    <row r="76" spans="1:8" x14ac:dyDescent="0.3">
      <c r="A76" s="53" t="s">
        <v>153</v>
      </c>
      <c r="B76" s="53">
        <v>12883</v>
      </c>
      <c r="C76" s="53">
        <v>604723000</v>
      </c>
      <c r="D76" s="54">
        <v>2.1814642224960594</v>
      </c>
      <c r="F76" s="53" t="s">
        <v>153</v>
      </c>
      <c r="G76" s="53">
        <v>12883</v>
      </c>
      <c r="H76" s="53">
        <v>604723000</v>
      </c>
    </row>
    <row r="77" spans="1:8" x14ac:dyDescent="0.3">
      <c r="A77" s="53" t="s">
        <v>154</v>
      </c>
      <c r="B77" s="53">
        <v>6551</v>
      </c>
      <c r="C77" s="53">
        <v>440297000</v>
      </c>
      <c r="D77" s="54">
        <v>2.3520049415057143</v>
      </c>
      <c r="F77" s="53" t="s">
        <v>154</v>
      </c>
      <c r="G77" s="53">
        <v>6551</v>
      </c>
      <c r="H77" s="53">
        <v>440297000</v>
      </c>
    </row>
    <row r="78" spans="1:8" x14ac:dyDescent="0.3">
      <c r="A78" s="53" t="s">
        <v>155</v>
      </c>
      <c r="B78" s="53">
        <v>3471</v>
      </c>
      <c r="C78" s="53">
        <v>348525000</v>
      </c>
      <c r="D78" s="54">
        <v>2.0855907535644582</v>
      </c>
      <c r="F78" s="53" t="s">
        <v>155</v>
      </c>
      <c r="G78" s="53">
        <v>3471</v>
      </c>
      <c r="H78" s="53">
        <v>348525000</v>
      </c>
    </row>
    <row r="79" spans="1:8" x14ac:dyDescent="0.3">
      <c r="A79" s="53" t="s">
        <v>99</v>
      </c>
      <c r="B79" s="53">
        <v>2391</v>
      </c>
      <c r="C79" s="53">
        <v>374838000</v>
      </c>
      <c r="D79" s="54">
        <v>2.0180422014216068</v>
      </c>
      <c r="F79" s="53" t="s">
        <v>99</v>
      </c>
      <c r="G79" s="53">
        <v>2391</v>
      </c>
      <c r="H79" s="53">
        <v>374838000</v>
      </c>
    </row>
    <row r="80" spans="1:8" x14ac:dyDescent="0.3">
      <c r="A80" s="53" t="s">
        <v>101</v>
      </c>
      <c r="B80" s="53">
        <v>276</v>
      </c>
      <c r="C80" s="53">
        <v>89831000</v>
      </c>
      <c r="D80" s="54">
        <v>2.2193946482451157</v>
      </c>
      <c r="F80" s="53" t="s">
        <v>101</v>
      </c>
      <c r="G80" s="53">
        <v>276</v>
      </c>
      <c r="H80" s="53">
        <v>89831000</v>
      </c>
    </row>
    <row r="81" spans="1:8" x14ac:dyDescent="0.3">
      <c r="A81" s="53" t="s">
        <v>135</v>
      </c>
      <c r="B81" s="53">
        <v>129</v>
      </c>
      <c r="C81" s="53">
        <v>56421000</v>
      </c>
      <c r="D81" s="54">
        <v>2.1242881647534824</v>
      </c>
      <c r="F81" s="53" t="s">
        <v>135</v>
      </c>
      <c r="G81" s="53">
        <v>129</v>
      </c>
      <c r="H81" s="53">
        <v>56421000</v>
      </c>
    </row>
    <row r="82" spans="1:8" x14ac:dyDescent="0.3">
      <c r="A82" s="53" t="s">
        <v>136</v>
      </c>
      <c r="B82" s="53">
        <v>40</v>
      </c>
      <c r="C82" s="53">
        <v>51284000</v>
      </c>
      <c r="D82" s="54">
        <v>2.5642</v>
      </c>
      <c r="F82" s="53" t="s">
        <v>136</v>
      </c>
      <c r="G82" s="53">
        <v>40</v>
      </c>
      <c r="H82" s="53">
        <v>51284000</v>
      </c>
    </row>
    <row r="83" spans="1:8" x14ac:dyDescent="0.3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3">
      <c r="A84" s="53" t="s">
        <v>96</v>
      </c>
      <c r="B84" s="53">
        <v>15319</v>
      </c>
      <c r="C84" s="53">
        <v>300299000</v>
      </c>
      <c r="D84" s="54">
        <v>2.486908753064756</v>
      </c>
      <c r="F84" s="53" t="s">
        <v>96</v>
      </c>
      <c r="G84" s="53">
        <v>15319</v>
      </c>
      <c r="H84" s="53">
        <v>300299000</v>
      </c>
    </row>
    <row r="85" spans="1:8" x14ac:dyDescent="0.3">
      <c r="A85" s="53" t="s">
        <v>134</v>
      </c>
      <c r="B85" s="53">
        <v>14421</v>
      </c>
      <c r="C85" s="53">
        <v>415189000</v>
      </c>
      <c r="D85" s="54">
        <v>2.4061739948417693</v>
      </c>
      <c r="F85" s="53" t="s">
        <v>134</v>
      </c>
      <c r="G85" s="53">
        <v>14421</v>
      </c>
      <c r="H85" s="53">
        <v>415189000</v>
      </c>
    </row>
    <row r="86" spans="1:8" x14ac:dyDescent="0.3">
      <c r="A86" s="53" t="s">
        <v>153</v>
      </c>
      <c r="B86" s="53">
        <v>5097</v>
      </c>
      <c r="C86" s="53">
        <v>235577000</v>
      </c>
      <c r="D86" s="54">
        <v>2.1220284751460645</v>
      </c>
      <c r="F86" s="53" t="s">
        <v>153</v>
      </c>
      <c r="G86" s="53">
        <v>5097</v>
      </c>
      <c r="H86" s="53">
        <v>235577000</v>
      </c>
    </row>
    <row r="87" spans="1:8" x14ac:dyDescent="0.3">
      <c r="A87" s="53" t="s">
        <v>154</v>
      </c>
      <c r="B87" s="53">
        <v>2841</v>
      </c>
      <c r="C87" s="53">
        <v>186930000</v>
      </c>
      <c r="D87" s="54">
        <v>2.2202991131401304</v>
      </c>
      <c r="F87" s="53" t="s">
        <v>154</v>
      </c>
      <c r="G87" s="53">
        <v>2841</v>
      </c>
      <c r="H87" s="53">
        <v>186930000</v>
      </c>
    </row>
    <row r="88" spans="1:8" x14ac:dyDescent="0.3">
      <c r="A88" s="53" t="s">
        <v>155</v>
      </c>
      <c r="B88" s="53">
        <v>1514</v>
      </c>
      <c r="C88" s="53">
        <v>143595000</v>
      </c>
      <c r="D88" s="54">
        <v>1.9332292747622397</v>
      </c>
      <c r="F88" s="53" t="s">
        <v>155</v>
      </c>
      <c r="G88" s="53">
        <v>1514</v>
      </c>
      <c r="H88" s="53">
        <v>143595000</v>
      </c>
    </row>
    <row r="89" spans="1:8" x14ac:dyDescent="0.3">
      <c r="A89" s="53" t="s">
        <v>99</v>
      </c>
      <c r="B89" s="53">
        <v>1023</v>
      </c>
      <c r="C89" s="53">
        <v>152752000</v>
      </c>
      <c r="D89" s="54">
        <v>1.8538227809872074</v>
      </c>
      <c r="F89" s="53" t="s">
        <v>99</v>
      </c>
      <c r="G89" s="53">
        <v>1023</v>
      </c>
      <c r="H89" s="53">
        <v>152752000</v>
      </c>
    </row>
    <row r="90" spans="1:8" x14ac:dyDescent="0.3">
      <c r="A90" s="53" t="s">
        <v>101</v>
      </c>
      <c r="B90" s="53">
        <v>140</v>
      </c>
      <c r="C90" s="53">
        <v>40121000</v>
      </c>
      <c r="D90" s="54">
        <v>1.8406010392549679</v>
      </c>
      <c r="F90" s="53" t="s">
        <v>101</v>
      </c>
      <c r="G90" s="53">
        <v>140</v>
      </c>
      <c r="H90" s="53">
        <v>40121000</v>
      </c>
    </row>
    <row r="91" spans="1:8" x14ac:dyDescent="0.3">
      <c r="A91" s="53" t="s">
        <v>135</v>
      </c>
      <c r="B91" s="53">
        <v>50</v>
      </c>
      <c r="C91" s="53">
        <v>23003000</v>
      </c>
      <c r="D91" s="54">
        <v>1.8409601400383429</v>
      </c>
      <c r="F91" s="53" t="s">
        <v>135</v>
      </c>
      <c r="G91" s="53">
        <v>50</v>
      </c>
      <c r="H91" s="53">
        <v>23003000</v>
      </c>
    </row>
    <row r="92" spans="1:8" x14ac:dyDescent="0.3">
      <c r="A92" s="53" t="s">
        <v>136</v>
      </c>
      <c r="B92" s="53">
        <v>12</v>
      </c>
      <c r="C92" s="53">
        <v>11240000</v>
      </c>
      <c r="D92" s="54">
        <v>1.8733333333333333</v>
      </c>
      <c r="F92" s="53" t="s">
        <v>136</v>
      </c>
      <c r="G92" s="53">
        <v>12</v>
      </c>
      <c r="H92" s="53">
        <v>11240000</v>
      </c>
    </row>
    <row r="93" spans="1:8" x14ac:dyDescent="0.3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3">
      <c r="A94" s="53" t="s">
        <v>96</v>
      </c>
      <c r="B94" s="53">
        <v>4550</v>
      </c>
      <c r="C94" s="53">
        <v>89496000</v>
      </c>
      <c r="D94" s="54">
        <v>2.6646246997455836</v>
      </c>
      <c r="F94" s="53" t="s">
        <v>96</v>
      </c>
      <c r="G94" s="53">
        <v>4550</v>
      </c>
      <c r="H94" s="53">
        <v>89496000</v>
      </c>
    </row>
    <row r="95" spans="1:8" x14ac:dyDescent="0.3">
      <c r="A95" s="53" t="s">
        <v>134</v>
      </c>
      <c r="B95" s="53">
        <v>5803</v>
      </c>
      <c r="C95" s="53">
        <v>166898000</v>
      </c>
      <c r="D95" s="54">
        <v>2.4491992943306169</v>
      </c>
      <c r="F95" s="53" t="s">
        <v>134</v>
      </c>
      <c r="G95" s="53">
        <v>5803</v>
      </c>
      <c r="H95" s="53">
        <v>166898000</v>
      </c>
    </row>
    <row r="96" spans="1:8" x14ac:dyDescent="0.3">
      <c r="A96" s="53" t="s">
        <v>153</v>
      </c>
      <c r="B96" s="53">
        <v>2079</v>
      </c>
      <c r="C96" s="53">
        <v>92433000</v>
      </c>
      <c r="D96" s="54">
        <v>2.15250709453532</v>
      </c>
      <c r="F96" s="53" t="s">
        <v>153</v>
      </c>
      <c r="G96" s="53">
        <v>2079</v>
      </c>
      <c r="H96" s="53">
        <v>92433000</v>
      </c>
    </row>
    <row r="97" spans="1:8" x14ac:dyDescent="0.3">
      <c r="A97" s="53" t="s">
        <v>154</v>
      </c>
      <c r="B97" s="53">
        <v>1199</v>
      </c>
      <c r="C97" s="53">
        <v>75901000</v>
      </c>
      <c r="D97" s="54">
        <v>2.2739484596326869</v>
      </c>
      <c r="F97" s="53" t="s">
        <v>154</v>
      </c>
      <c r="G97" s="53">
        <v>1199</v>
      </c>
      <c r="H97" s="53">
        <v>75901000</v>
      </c>
    </row>
    <row r="98" spans="1:8" x14ac:dyDescent="0.3">
      <c r="A98" s="53" t="s">
        <v>155</v>
      </c>
      <c r="B98" s="53">
        <v>657</v>
      </c>
      <c r="C98" s="53">
        <v>63913000</v>
      </c>
      <c r="D98" s="54">
        <v>2.028172823018751</v>
      </c>
      <c r="F98" s="53" t="s">
        <v>155</v>
      </c>
      <c r="G98" s="53">
        <v>657</v>
      </c>
      <c r="H98" s="53">
        <v>63913000</v>
      </c>
    </row>
    <row r="99" spans="1:8" x14ac:dyDescent="0.3">
      <c r="A99" s="53" t="s">
        <v>99</v>
      </c>
      <c r="B99" s="53">
        <v>412</v>
      </c>
      <c r="C99" s="53">
        <v>63526000</v>
      </c>
      <c r="D99" s="54">
        <v>1.9803363175132869</v>
      </c>
      <c r="F99" s="53" t="s">
        <v>99</v>
      </c>
      <c r="G99" s="53">
        <v>412</v>
      </c>
      <c r="H99" s="53">
        <v>63526000</v>
      </c>
    </row>
    <row r="100" spans="1:8" x14ac:dyDescent="0.3">
      <c r="A100" s="53" t="s">
        <v>101</v>
      </c>
      <c r="B100" s="53">
        <v>66</v>
      </c>
      <c r="C100" s="53">
        <v>18731000</v>
      </c>
      <c r="D100" s="54">
        <v>1.7969637232424092</v>
      </c>
      <c r="F100" s="53" t="s">
        <v>101</v>
      </c>
      <c r="G100" s="53">
        <v>66</v>
      </c>
      <c r="H100" s="53">
        <v>18731000</v>
      </c>
    </row>
    <row r="101" spans="1:8" x14ac:dyDescent="0.3">
      <c r="A101" s="53" t="s">
        <v>135</v>
      </c>
      <c r="B101" s="53">
        <v>32</v>
      </c>
      <c r="C101" s="53">
        <v>12550000</v>
      </c>
      <c r="D101" s="54">
        <v>1.5595856949695881</v>
      </c>
      <c r="F101" s="53" t="s">
        <v>135</v>
      </c>
      <c r="G101" s="53">
        <v>32</v>
      </c>
      <c r="H101" s="53">
        <v>12550000</v>
      </c>
    </row>
    <row r="102" spans="1:8" x14ac:dyDescent="0.3">
      <c r="A102" s="53" t="s">
        <v>136</v>
      </c>
      <c r="B102" s="53">
        <v>14</v>
      </c>
      <c r="C102" s="53">
        <v>8973000</v>
      </c>
      <c r="D102" s="54">
        <v>1.281857142857143</v>
      </c>
      <c r="F102" s="53" t="s">
        <v>136</v>
      </c>
      <c r="G102" s="53">
        <v>14</v>
      </c>
      <c r="H102" s="53">
        <v>8973000</v>
      </c>
    </row>
    <row r="103" spans="1:8" x14ac:dyDescent="0.3">
      <c r="A103" s="51" t="s">
        <v>56</v>
      </c>
      <c r="B103" s="51" t="s">
        <v>80</v>
      </c>
      <c r="C103" s="51" t="s">
        <v>81</v>
      </c>
      <c r="D103" s="52" t="s">
        <v>59</v>
      </c>
    </row>
    <row r="104" spans="1:8" x14ac:dyDescent="0.3">
      <c r="A104" s="53" t="s">
        <v>96</v>
      </c>
      <c r="B104" s="53">
        <v>1238</v>
      </c>
      <c r="C104" s="53">
        <v>25754000</v>
      </c>
      <c r="D104" s="54">
        <v>2.8960445768639458</v>
      </c>
      <c r="F104" s="53" t="s">
        <v>96</v>
      </c>
      <c r="G104" s="53">
        <v>1238</v>
      </c>
      <c r="H104" s="53">
        <v>25754000</v>
      </c>
    </row>
    <row r="105" spans="1:8" x14ac:dyDescent="0.3">
      <c r="A105" s="53" t="s">
        <v>134</v>
      </c>
      <c r="B105" s="53">
        <v>2565</v>
      </c>
      <c r="C105" s="53">
        <v>74363000</v>
      </c>
      <c r="D105" s="54">
        <v>2.4952985169860384</v>
      </c>
      <c r="F105" s="53" t="s">
        <v>134</v>
      </c>
      <c r="G105" s="53">
        <v>2565</v>
      </c>
      <c r="H105" s="53">
        <v>74363000</v>
      </c>
    </row>
    <row r="106" spans="1:8" x14ac:dyDescent="0.3">
      <c r="A106" s="53" t="s">
        <v>153</v>
      </c>
      <c r="B106" s="53">
        <v>819</v>
      </c>
      <c r="C106" s="53">
        <v>34409000</v>
      </c>
      <c r="D106" s="54">
        <v>2.2890294240212263</v>
      </c>
      <c r="F106" s="53" t="s">
        <v>153</v>
      </c>
      <c r="G106" s="53">
        <v>819</v>
      </c>
      <c r="H106" s="53">
        <v>34409000</v>
      </c>
    </row>
    <row r="107" spans="1:8" x14ac:dyDescent="0.3">
      <c r="A107" s="53" t="s">
        <v>154</v>
      </c>
      <c r="B107" s="53">
        <v>441</v>
      </c>
      <c r="C107" s="53">
        <v>29492000</v>
      </c>
      <c r="D107" s="54">
        <v>2.5038579076043579</v>
      </c>
      <c r="F107" s="53" t="s">
        <v>154</v>
      </c>
      <c r="G107" s="53">
        <v>441</v>
      </c>
      <c r="H107" s="53">
        <v>29492000</v>
      </c>
    </row>
    <row r="108" spans="1:8" x14ac:dyDescent="0.3">
      <c r="A108" s="53" t="s">
        <v>155</v>
      </c>
      <c r="B108" s="53">
        <v>260</v>
      </c>
      <c r="C108" s="53">
        <v>25472000</v>
      </c>
      <c r="D108" s="54">
        <v>2.1669822126899687</v>
      </c>
      <c r="F108" s="53" t="s">
        <v>155</v>
      </c>
      <c r="G108" s="53">
        <v>260</v>
      </c>
      <c r="H108" s="53">
        <v>25472000</v>
      </c>
    </row>
    <row r="109" spans="1:8" x14ac:dyDescent="0.3">
      <c r="A109" s="53" t="s">
        <v>99</v>
      </c>
      <c r="B109" s="53">
        <v>216</v>
      </c>
      <c r="C109" s="53">
        <v>33143000</v>
      </c>
      <c r="D109" s="54">
        <v>2.0584763229103449</v>
      </c>
      <c r="F109" s="53" t="s">
        <v>99</v>
      </c>
      <c r="G109" s="53">
        <v>216</v>
      </c>
      <c r="H109" s="53">
        <v>33143000</v>
      </c>
    </row>
    <row r="110" spans="1:8" x14ac:dyDescent="0.3">
      <c r="A110" s="53" t="s">
        <v>101</v>
      </c>
      <c r="B110" s="53">
        <v>25</v>
      </c>
      <c r="C110" s="53">
        <v>7030000</v>
      </c>
      <c r="D110" s="54">
        <v>2.3773811309434527</v>
      </c>
      <c r="F110" s="53" t="s">
        <v>101</v>
      </c>
      <c r="G110" s="53">
        <v>25</v>
      </c>
      <c r="H110" s="53">
        <v>7030000</v>
      </c>
    </row>
    <row r="111" spans="1:8" x14ac:dyDescent="0.3">
      <c r="A111" s="53" t="s">
        <v>135</v>
      </c>
      <c r="B111" s="53">
        <v>10</v>
      </c>
      <c r="C111" s="53">
        <v>6081000</v>
      </c>
      <c r="D111" s="54">
        <v>2.5373664015121067</v>
      </c>
      <c r="F111" s="53" t="s">
        <v>135</v>
      </c>
      <c r="G111" s="53">
        <v>10</v>
      </c>
      <c r="H111" s="53">
        <v>6081000</v>
      </c>
    </row>
    <row r="112" spans="1:8" x14ac:dyDescent="0.3">
      <c r="A112" s="53" t="s">
        <v>136</v>
      </c>
      <c r="B112" s="53">
        <v>7</v>
      </c>
      <c r="C112" s="53">
        <v>6860000</v>
      </c>
      <c r="D112" s="54">
        <v>1.96</v>
      </c>
      <c r="F112" s="53" t="s">
        <v>136</v>
      </c>
      <c r="G112" s="53">
        <v>7</v>
      </c>
      <c r="H112" s="53">
        <v>6860000</v>
      </c>
    </row>
    <row r="113" spans="1:8" x14ac:dyDescent="0.3">
      <c r="A113" s="51" t="s">
        <v>56</v>
      </c>
      <c r="B113" s="51" t="s">
        <v>82</v>
      </c>
      <c r="C113" s="51" t="s">
        <v>83</v>
      </c>
      <c r="D113" s="52" t="s">
        <v>59</v>
      </c>
    </row>
    <row r="114" spans="1:8" x14ac:dyDescent="0.3">
      <c r="A114" s="51"/>
      <c r="B114" s="51"/>
      <c r="C114" s="51"/>
      <c r="D114" s="52"/>
      <c r="F114" s="53" t="s">
        <v>96</v>
      </c>
      <c r="G114" s="2">
        <v>598.96998050682259</v>
      </c>
      <c r="H114" s="2">
        <v>12460317.348927876</v>
      </c>
    </row>
    <row r="115" spans="1:8" x14ac:dyDescent="0.3">
      <c r="A115" s="53" t="s">
        <v>134</v>
      </c>
      <c r="B115" s="53">
        <v>1241</v>
      </c>
      <c r="C115" s="53">
        <v>31357000</v>
      </c>
      <c r="D115" s="54">
        <v>2.1624531702244592</v>
      </c>
      <c r="F115" s="53" t="s">
        <v>134</v>
      </c>
      <c r="G115" s="53">
        <v>1241</v>
      </c>
      <c r="H115" s="53">
        <v>31357000</v>
      </c>
    </row>
    <row r="116" spans="1:8" x14ac:dyDescent="0.3">
      <c r="A116" s="53" t="s">
        <v>153</v>
      </c>
      <c r="B116" s="53">
        <v>338</v>
      </c>
      <c r="C116" s="53">
        <v>14184000</v>
      </c>
      <c r="D116" s="54">
        <v>2.0701461580538143</v>
      </c>
      <c r="F116" s="53" t="s">
        <v>153</v>
      </c>
      <c r="G116" s="53">
        <v>338</v>
      </c>
      <c r="H116" s="53">
        <v>14184000</v>
      </c>
    </row>
    <row r="117" spans="1:8" x14ac:dyDescent="0.3">
      <c r="A117" s="53" t="s">
        <v>154</v>
      </c>
      <c r="B117" s="53">
        <v>210</v>
      </c>
      <c r="C117" s="53">
        <v>12377000</v>
      </c>
      <c r="D117" s="54">
        <v>2.1468037027420919</v>
      </c>
      <c r="F117" s="53" t="s">
        <v>154</v>
      </c>
      <c r="G117" s="53">
        <v>210</v>
      </c>
      <c r="H117" s="53">
        <v>12377000</v>
      </c>
    </row>
    <row r="118" spans="1:8" x14ac:dyDescent="0.3">
      <c r="A118" s="53" t="s">
        <v>155</v>
      </c>
      <c r="B118" s="53">
        <v>108</v>
      </c>
      <c r="C118" s="53">
        <v>8856000</v>
      </c>
      <c r="D118" s="54">
        <v>1.9011767245890481</v>
      </c>
      <c r="F118" s="53" t="s">
        <v>155</v>
      </c>
      <c r="G118" s="53">
        <v>108</v>
      </c>
      <c r="H118" s="53">
        <v>8856000</v>
      </c>
    </row>
    <row r="119" spans="1:8" x14ac:dyDescent="0.3">
      <c r="A119" s="53" t="s">
        <v>99</v>
      </c>
      <c r="B119" s="53">
        <v>80</v>
      </c>
      <c r="C119" s="53">
        <v>10676000</v>
      </c>
      <c r="D119" s="54">
        <v>1.8371557339678877</v>
      </c>
      <c r="F119" s="53" t="s">
        <v>99</v>
      </c>
      <c r="G119" s="53">
        <v>80</v>
      </c>
      <c r="H119" s="53">
        <v>10676000</v>
      </c>
    </row>
    <row r="120" spans="1:8" x14ac:dyDescent="0.3">
      <c r="A120" s="53" t="s">
        <v>101</v>
      </c>
      <c r="B120" s="53">
        <v>18</v>
      </c>
      <c r="C120" s="53">
        <v>4265000</v>
      </c>
      <c r="D120" s="54">
        <v>1.6121607712717814</v>
      </c>
      <c r="F120" s="53" t="s">
        <v>101</v>
      </c>
      <c r="G120" s="53">
        <v>18</v>
      </c>
      <c r="H120" s="53">
        <v>4265000</v>
      </c>
    </row>
    <row r="121" spans="1:8" x14ac:dyDescent="0.3">
      <c r="A121" s="53" t="s">
        <v>135</v>
      </c>
      <c r="B121" s="53">
        <v>8</v>
      </c>
      <c r="C121" s="53">
        <v>3201000</v>
      </c>
      <c r="D121" s="54">
        <v>1.5411607491871482</v>
      </c>
      <c r="F121" s="53" t="s">
        <v>135</v>
      </c>
      <c r="G121" s="53">
        <v>8</v>
      </c>
      <c r="H121" s="53">
        <v>3201000</v>
      </c>
    </row>
    <row r="122" spans="1:8" x14ac:dyDescent="0.3">
      <c r="A122" s="53" t="s">
        <v>136</v>
      </c>
      <c r="B122" s="53">
        <v>3</v>
      </c>
      <c r="C122" s="53">
        <v>1885000</v>
      </c>
      <c r="D122" s="54">
        <v>1.2566666666666668</v>
      </c>
      <c r="F122" s="53" t="s">
        <v>136</v>
      </c>
      <c r="G122" s="53">
        <v>3</v>
      </c>
      <c r="H122" s="53">
        <v>1885000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D1" workbookViewId="0">
      <selection activeCell="O3" sqref="O3:O12"/>
    </sheetView>
  </sheetViews>
  <sheetFormatPr baseColWidth="10" defaultRowHeight="15.6" x14ac:dyDescent="0.3"/>
  <cols>
    <col min="12" max="12" width="12.296875" bestFit="1" customWidth="1"/>
  </cols>
  <sheetData>
    <row r="1" spans="1:15" x14ac:dyDescent="0.3">
      <c r="A1" s="79" t="s">
        <v>230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2510</v>
      </c>
      <c r="M3" t="s">
        <v>7</v>
      </c>
      <c r="N3" t="s">
        <v>8</v>
      </c>
      <c r="O3" t="s">
        <v>14</v>
      </c>
    </row>
    <row r="4" spans="1:15" x14ac:dyDescent="0.3">
      <c r="A4" s="53" t="s">
        <v>96</v>
      </c>
      <c r="B4" s="53">
        <v>120558</v>
      </c>
      <c r="C4" s="53">
        <v>2064939000</v>
      </c>
      <c r="D4" s="54">
        <v>1.6121241327036904</v>
      </c>
      <c r="F4" s="53" t="s">
        <v>96</v>
      </c>
      <c r="G4" s="53">
        <v>120558</v>
      </c>
      <c r="H4" s="53">
        <v>2064939000</v>
      </c>
      <c r="I4" s="2">
        <f>J4/6.55957</f>
        <v>2286.7352585611557</v>
      </c>
      <c r="J4" s="53">
        <v>15000</v>
      </c>
      <c r="K4" s="2">
        <f>G4+G14+G24+G34+G44+G54+G64+G74+G84+G94+G104+G114</f>
        <v>1556371.5244643427</v>
      </c>
      <c r="L4" s="2">
        <f>H4+H14+H24+H34+H44+H54+H64+H74+H84+H94+H104+H114</f>
        <v>26889160183.562519</v>
      </c>
      <c r="M4">
        <f>1-SUM(K4:$K$12)/$K$14</f>
        <v>0.82075798731846461</v>
      </c>
      <c r="N4">
        <f>SUM(L4:$L$12)/(J4*SUM(K4:$K$12))</f>
        <v>1.8633357404424451</v>
      </c>
      <c r="O4">
        <f>(G4+G14+G34)/K4</f>
        <v>0.12412460454549132</v>
      </c>
    </row>
    <row r="5" spans="1:15" x14ac:dyDescent="0.3">
      <c r="A5" s="53" t="s">
        <v>134</v>
      </c>
      <c r="B5" s="53">
        <v>74767</v>
      </c>
      <c r="C5" s="53">
        <v>1872794000</v>
      </c>
      <c r="D5" s="54">
        <v>1.6478868898798125</v>
      </c>
      <c r="F5" s="53" t="s">
        <v>134</v>
      </c>
      <c r="G5" s="53">
        <v>74767</v>
      </c>
      <c r="H5" s="53">
        <v>1872794000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1503729</v>
      </c>
      <c r="L5" s="2">
        <f t="shared" si="1"/>
        <v>38345138000</v>
      </c>
      <c r="M5">
        <f>1-SUM(K5:$K$12)/$K$14</f>
        <v>0.89684926195334247</v>
      </c>
      <c r="N5">
        <f>SUM(L5:$L$12)/(J5*SUM(K5:$K$12))</f>
        <v>1.79116750701236</v>
      </c>
      <c r="O5">
        <f t="shared" ref="O5:O12" si="2">(G5+G15+G35)/K5</f>
        <v>8.5200857335331032E-2</v>
      </c>
    </row>
    <row r="6" spans="1:15" x14ac:dyDescent="0.3">
      <c r="A6" s="53" t="s">
        <v>153</v>
      </c>
      <c r="B6" s="53">
        <v>13184</v>
      </c>
      <c r="C6" s="53">
        <v>540641000</v>
      </c>
      <c r="D6" s="54">
        <v>1.6991795888295258</v>
      </c>
      <c r="F6" s="53" t="s">
        <v>153</v>
      </c>
      <c r="G6" s="53">
        <v>13184</v>
      </c>
      <c r="H6" s="53">
        <v>540641000</v>
      </c>
      <c r="I6" s="2">
        <f t="shared" si="0"/>
        <v>5335.7156033093634</v>
      </c>
      <c r="J6" s="53">
        <v>35000</v>
      </c>
      <c r="K6" s="2">
        <f t="shared" si="1"/>
        <v>340109</v>
      </c>
      <c r="L6" s="2">
        <f t="shared" si="1"/>
        <v>13966008000</v>
      </c>
      <c r="M6">
        <f>1-SUM(K6:$K$12)/$K$14</f>
        <v>0.97036683440752269</v>
      </c>
      <c r="N6">
        <f>SUM(L6:$L$12)/(J6*SUM(K6:$K$12))</f>
        <v>1.7552770457566067</v>
      </c>
      <c r="O6">
        <f t="shared" si="2"/>
        <v>7.3926300097909792E-2</v>
      </c>
    </row>
    <row r="7" spans="1:15" x14ac:dyDescent="0.3">
      <c r="A7" s="53" t="s">
        <v>154</v>
      </c>
      <c r="B7" s="53">
        <v>5039</v>
      </c>
      <c r="C7" s="53">
        <v>293183000</v>
      </c>
      <c r="D7" s="54">
        <v>1.912252340656182</v>
      </c>
      <c r="F7" s="53" t="s">
        <v>154</v>
      </c>
      <c r="G7" s="53">
        <v>5039</v>
      </c>
      <c r="H7" s="53">
        <v>293183000</v>
      </c>
      <c r="I7" s="2">
        <f t="shared" si="0"/>
        <v>6860.2057756834674</v>
      </c>
      <c r="J7" s="53">
        <v>45000</v>
      </c>
      <c r="K7" s="2">
        <f t="shared" si="1"/>
        <v>143288</v>
      </c>
      <c r="L7" s="2">
        <f t="shared" si="1"/>
        <v>8340060000</v>
      </c>
      <c r="M7">
        <f>1-SUM(K7:$K$12)/$K$14</f>
        <v>0.98699482259543336</v>
      </c>
      <c r="N7">
        <f>SUM(L7:$L$12)/(J7*SUM(K7:$K$12))</f>
        <v>1.9440188933331997</v>
      </c>
      <c r="O7">
        <f t="shared" si="2"/>
        <v>7.1331863100887724E-2</v>
      </c>
    </row>
    <row r="8" spans="1:15" x14ac:dyDescent="0.3">
      <c r="A8" s="53" t="s">
        <v>155</v>
      </c>
      <c r="B8" s="53">
        <v>2426</v>
      </c>
      <c r="C8" s="53">
        <v>199171000</v>
      </c>
      <c r="D8" s="54">
        <v>1.7157679056337516</v>
      </c>
      <c r="F8" s="53" t="s">
        <v>155</v>
      </c>
      <c r="G8" s="53">
        <v>2426</v>
      </c>
      <c r="H8" s="53">
        <v>199171000</v>
      </c>
      <c r="I8" s="2">
        <f t="shared" si="0"/>
        <v>10671.431206618727</v>
      </c>
      <c r="J8" s="53">
        <v>70000</v>
      </c>
      <c r="K8" s="2">
        <f t="shared" si="1"/>
        <v>69514</v>
      </c>
      <c r="L8" s="2">
        <f t="shared" si="1"/>
        <v>5707263000</v>
      </c>
      <c r="M8">
        <f>1-SUM(K8:$K$12)/$K$14</f>
        <v>0.99400019784710081</v>
      </c>
      <c r="N8">
        <f>SUM(L8:$L$12)/(J8*SUM(K8:$K$12))</f>
        <v>1.7380501490035389</v>
      </c>
      <c r="O8">
        <f t="shared" si="2"/>
        <v>7.3524757602785054E-2</v>
      </c>
    </row>
    <row r="9" spans="1:15" x14ac:dyDescent="0.3">
      <c r="A9" s="53" t="s">
        <v>99</v>
      </c>
      <c r="B9" s="53">
        <v>1339</v>
      </c>
      <c r="C9" s="53">
        <v>176357000</v>
      </c>
      <c r="D9" s="54">
        <v>1.7433177317188917</v>
      </c>
      <c r="F9" s="53" t="s">
        <v>99</v>
      </c>
      <c r="G9" s="53">
        <v>1339</v>
      </c>
      <c r="H9" s="53">
        <v>176357000</v>
      </c>
      <c r="I9" s="2">
        <f t="shared" si="0"/>
        <v>15244.901723741039</v>
      </c>
      <c r="J9" s="53">
        <v>100000</v>
      </c>
      <c r="K9" s="2">
        <f t="shared" si="1"/>
        <v>43124</v>
      </c>
      <c r="L9" s="2">
        <f t="shared" si="1"/>
        <v>5673613000</v>
      </c>
      <c r="M9">
        <f>1-SUM(K9:$K$12)/$K$14</f>
        <v>0.99739874940232109</v>
      </c>
      <c r="N9">
        <f>SUM(L9:$L$12)/(J9*SUM(K9:$K$12))</f>
        <v>1.7335043040258618</v>
      </c>
      <c r="O9">
        <f t="shared" si="2"/>
        <v>7.3648084593265925E-2</v>
      </c>
    </row>
    <row r="10" spans="1:15" x14ac:dyDescent="0.3">
      <c r="A10" s="53" t="s">
        <v>101</v>
      </c>
      <c r="B10" s="53">
        <v>213</v>
      </c>
      <c r="C10" s="53">
        <v>50611000</v>
      </c>
      <c r="D10" s="54">
        <v>1.6602899136811116</v>
      </c>
      <c r="F10" s="53" t="s">
        <v>101</v>
      </c>
      <c r="G10" s="53">
        <v>213</v>
      </c>
      <c r="H10" s="53">
        <v>50611000</v>
      </c>
      <c r="I10" s="2">
        <f t="shared" si="0"/>
        <v>30489.803447482078</v>
      </c>
      <c r="J10" s="53">
        <v>200000</v>
      </c>
      <c r="K10" s="2">
        <f t="shared" si="1"/>
        <v>6148</v>
      </c>
      <c r="L10" s="2">
        <f t="shared" si="1"/>
        <v>1463439000</v>
      </c>
      <c r="M10">
        <f>1-SUM(K10:$K$12)/$K$14</f>
        <v>0.99950708926576326</v>
      </c>
      <c r="N10">
        <f>SUM(L10:$L$12)/(J10*SUM(K10:$K$12))</f>
        <v>1.760399722277326</v>
      </c>
      <c r="O10">
        <f t="shared" si="2"/>
        <v>8.6044242029928428E-2</v>
      </c>
    </row>
    <row r="11" spans="1:15" x14ac:dyDescent="0.3">
      <c r="A11" s="53" t="s">
        <v>135</v>
      </c>
      <c r="B11" s="53">
        <v>110</v>
      </c>
      <c r="C11" s="53">
        <v>40856000</v>
      </c>
      <c r="D11" s="54">
        <v>1.5569950800297707</v>
      </c>
      <c r="F11" s="53" t="s">
        <v>135</v>
      </c>
      <c r="G11" s="53">
        <v>110</v>
      </c>
      <c r="H11" s="53">
        <v>40856000</v>
      </c>
      <c r="I11" s="2">
        <f t="shared" si="0"/>
        <v>45734.705171223111</v>
      </c>
      <c r="J11" s="53">
        <v>300000</v>
      </c>
      <c r="K11" s="2">
        <f t="shared" si="1"/>
        <v>2697</v>
      </c>
      <c r="L11" s="2">
        <f t="shared" si="1"/>
        <v>1003110000</v>
      </c>
      <c r="M11">
        <f>1-SUM(K11:$K$12)/$K$14</f>
        <v>0.9998076660554962</v>
      </c>
      <c r="N11">
        <f>SUM(L11:$L$12)/(J11*SUM(K11:$K$12))</f>
        <v>1.7676927639383155</v>
      </c>
      <c r="O11">
        <f t="shared" si="2"/>
        <v>0.11234705228031146</v>
      </c>
    </row>
    <row r="12" spans="1:15" x14ac:dyDescent="0.3">
      <c r="A12" s="53" t="s">
        <v>136</v>
      </c>
      <c r="B12" s="53">
        <v>39</v>
      </c>
      <c r="C12" s="53">
        <v>28744000</v>
      </c>
      <c r="D12" s="54">
        <v>1.4740512820512821</v>
      </c>
      <c r="F12" s="53" t="s">
        <v>136</v>
      </c>
      <c r="G12" s="53">
        <v>39</v>
      </c>
      <c r="H12" s="53">
        <v>28744000</v>
      </c>
      <c r="I12" s="2">
        <f t="shared" si="0"/>
        <v>76224.508618705193</v>
      </c>
      <c r="J12" s="53">
        <v>500000</v>
      </c>
      <c r="K12" s="2">
        <f t="shared" si="1"/>
        <v>1237</v>
      </c>
      <c r="L12" s="2">
        <f>H12+H22+H32+H42+H52+H62+H72+H82+H92+H102+H112+H122</f>
        <v>1083121000</v>
      </c>
      <c r="M12">
        <f>1-SUM(K12:$K$12)/$K$14</f>
        <v>0.99993952285476584</v>
      </c>
      <c r="N12">
        <f>SUM(L12:$L$12)/(J12*SUM(K12:$K$12))</f>
        <v>1.7512061438965238</v>
      </c>
      <c r="O12">
        <f t="shared" si="2"/>
        <v>0.12934518997574779</v>
      </c>
    </row>
    <row r="13" spans="1:15" x14ac:dyDescent="0.3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3">
      <c r="A14" s="53" t="s">
        <v>96</v>
      </c>
      <c r="B14" s="53">
        <v>63185</v>
      </c>
      <c r="C14" s="53">
        <v>1088720000</v>
      </c>
      <c r="D14" s="54">
        <v>1.8838071812912407</v>
      </c>
      <c r="F14" s="53" t="s">
        <v>96</v>
      </c>
      <c r="G14" s="53">
        <v>63185</v>
      </c>
      <c r="H14" s="53">
        <v>1088720000</v>
      </c>
      <c r="K14" s="63">
        <v>20454007.794356897</v>
      </c>
    </row>
    <row r="15" spans="1:15" x14ac:dyDescent="0.3">
      <c r="A15" s="53" t="s">
        <v>134</v>
      </c>
      <c r="B15" s="53">
        <v>47401</v>
      </c>
      <c r="C15" s="53">
        <v>1203216000</v>
      </c>
      <c r="D15" s="54">
        <v>1.927581717328384</v>
      </c>
      <c r="F15" s="53" t="s">
        <v>134</v>
      </c>
      <c r="G15" s="53">
        <v>47401</v>
      </c>
      <c r="H15" s="53">
        <v>1203216000</v>
      </c>
    </row>
    <row r="16" spans="1:15" x14ac:dyDescent="0.3">
      <c r="A16" s="53" t="s">
        <v>153</v>
      </c>
      <c r="B16" s="53">
        <v>10843</v>
      </c>
      <c r="C16" s="53">
        <v>446406000</v>
      </c>
      <c r="D16" s="54">
        <v>1.9774007381620287</v>
      </c>
      <c r="F16" s="53" t="s">
        <v>153</v>
      </c>
      <c r="G16" s="53">
        <v>10843</v>
      </c>
      <c r="H16" s="53">
        <v>446406000</v>
      </c>
    </row>
    <row r="17" spans="1:8" x14ac:dyDescent="0.3">
      <c r="A17" s="53" t="s">
        <v>154</v>
      </c>
      <c r="B17" s="53">
        <v>4761</v>
      </c>
      <c r="C17" s="53">
        <v>276980000</v>
      </c>
      <c r="D17" s="54">
        <v>2.2461661218939963</v>
      </c>
      <c r="F17" s="53" t="s">
        <v>154</v>
      </c>
      <c r="G17" s="53">
        <v>4761</v>
      </c>
      <c r="H17" s="53">
        <v>276980000</v>
      </c>
    </row>
    <row r="18" spans="1:8" x14ac:dyDescent="0.3">
      <c r="A18" s="53" t="s">
        <v>155</v>
      </c>
      <c r="B18" s="53">
        <v>2490</v>
      </c>
      <c r="C18" s="53">
        <v>204684000</v>
      </c>
      <c r="D18" s="54">
        <v>2.0541027352862118</v>
      </c>
      <c r="F18" s="53" t="s">
        <v>155</v>
      </c>
      <c r="G18" s="53">
        <v>2490</v>
      </c>
      <c r="H18" s="53">
        <v>204684000</v>
      </c>
    </row>
    <row r="19" spans="1:8" x14ac:dyDescent="0.3">
      <c r="A19" s="53" t="s">
        <v>99</v>
      </c>
      <c r="B19" s="53">
        <v>1697</v>
      </c>
      <c r="C19" s="53">
        <v>225355000</v>
      </c>
      <c r="D19" s="54">
        <v>2.1062643191018591</v>
      </c>
      <c r="F19" s="53" t="s">
        <v>99</v>
      </c>
      <c r="G19" s="53">
        <v>1697</v>
      </c>
      <c r="H19" s="53">
        <v>225355000</v>
      </c>
    </row>
    <row r="20" spans="1:8" x14ac:dyDescent="0.3">
      <c r="A20" s="53" t="s">
        <v>101</v>
      </c>
      <c r="B20" s="53">
        <v>305</v>
      </c>
      <c r="C20" s="53">
        <v>72963000</v>
      </c>
      <c r="D20" s="54">
        <v>2.1577600049763399</v>
      </c>
      <c r="F20" s="53" t="s">
        <v>101</v>
      </c>
      <c r="G20" s="53">
        <v>305</v>
      </c>
      <c r="H20" s="53">
        <v>72963000</v>
      </c>
    </row>
    <row r="21" spans="1:8" x14ac:dyDescent="0.3">
      <c r="A21" s="53" t="s">
        <v>135</v>
      </c>
      <c r="B21" s="53">
        <v>178</v>
      </c>
      <c r="C21" s="53">
        <v>66332000</v>
      </c>
      <c r="D21" s="54">
        <v>2.1059366280509648</v>
      </c>
      <c r="F21" s="53" t="s">
        <v>135</v>
      </c>
      <c r="G21" s="53">
        <v>178</v>
      </c>
      <c r="H21" s="53">
        <v>66332000</v>
      </c>
    </row>
    <row r="22" spans="1:8" x14ac:dyDescent="0.3">
      <c r="A22" s="53" t="s">
        <v>136</v>
      </c>
      <c r="B22" s="53">
        <v>115</v>
      </c>
      <c r="C22" s="53">
        <v>118786000</v>
      </c>
      <c r="D22" s="54">
        <v>2.0658434782608697</v>
      </c>
      <c r="F22" s="53" t="s">
        <v>136</v>
      </c>
      <c r="G22" s="53">
        <v>115</v>
      </c>
      <c r="H22" s="53">
        <v>118786000</v>
      </c>
    </row>
    <row r="23" spans="1:8" x14ac:dyDescent="0.3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3">
      <c r="A24" s="53" t="s">
        <v>96</v>
      </c>
      <c r="B24" s="53">
        <v>491052</v>
      </c>
      <c r="C24" s="53">
        <v>8481582000</v>
      </c>
      <c r="D24" s="54">
        <v>1.8281230930129133</v>
      </c>
      <c r="F24" s="53" t="s">
        <v>96</v>
      </c>
      <c r="G24" s="53">
        <v>491052</v>
      </c>
      <c r="H24" s="53">
        <v>8481582000</v>
      </c>
    </row>
    <row r="25" spans="1:8" x14ac:dyDescent="0.3">
      <c r="A25" s="53" t="s">
        <v>134</v>
      </c>
      <c r="B25" s="53">
        <v>462368</v>
      </c>
      <c r="C25" s="53">
        <v>11745149000</v>
      </c>
      <c r="D25" s="54">
        <v>1.7659919812723492</v>
      </c>
      <c r="F25" s="53" t="s">
        <v>134</v>
      </c>
      <c r="G25" s="53">
        <v>462368</v>
      </c>
      <c r="H25" s="53">
        <v>11745149000</v>
      </c>
    </row>
    <row r="26" spans="1:8" x14ac:dyDescent="0.3">
      <c r="A26" s="53" t="s">
        <v>153</v>
      </c>
      <c r="B26" s="53">
        <v>96781</v>
      </c>
      <c r="C26" s="53">
        <v>3967117000</v>
      </c>
      <c r="D26" s="54">
        <v>1.7818294061871356</v>
      </c>
      <c r="F26" s="53" t="s">
        <v>153</v>
      </c>
      <c r="G26" s="53">
        <v>96781</v>
      </c>
      <c r="H26" s="53">
        <v>3967117000</v>
      </c>
    </row>
    <row r="27" spans="1:8" x14ac:dyDescent="0.3">
      <c r="A27" s="53" t="s">
        <v>154</v>
      </c>
      <c r="B27" s="53">
        <v>39024</v>
      </c>
      <c r="C27" s="53">
        <v>2271284000</v>
      </c>
      <c r="D27" s="54">
        <v>2.0153418440006097</v>
      </c>
      <c r="F27" s="53" t="s">
        <v>154</v>
      </c>
      <c r="G27" s="53">
        <v>39024</v>
      </c>
      <c r="H27" s="53">
        <v>2271284000</v>
      </c>
    </row>
    <row r="28" spans="1:8" x14ac:dyDescent="0.3">
      <c r="A28" s="53" t="s">
        <v>155</v>
      </c>
      <c r="B28" s="53">
        <v>18689</v>
      </c>
      <c r="C28" s="53">
        <v>1534180000</v>
      </c>
      <c r="D28" s="54">
        <v>1.827754094124679</v>
      </c>
      <c r="F28" s="53" t="s">
        <v>155</v>
      </c>
      <c r="G28" s="53">
        <v>18689</v>
      </c>
      <c r="H28" s="53">
        <v>1534180000</v>
      </c>
    </row>
    <row r="29" spans="1:8" x14ac:dyDescent="0.3">
      <c r="A29" s="53" t="s">
        <v>99</v>
      </c>
      <c r="B29" s="53">
        <v>12049</v>
      </c>
      <c r="C29" s="53">
        <v>1589183000</v>
      </c>
      <c r="D29" s="54">
        <v>1.8373004893823106</v>
      </c>
      <c r="F29" s="53" t="s">
        <v>99</v>
      </c>
      <c r="G29" s="53">
        <v>12049</v>
      </c>
      <c r="H29" s="53">
        <v>1589183000</v>
      </c>
    </row>
    <row r="30" spans="1:8" x14ac:dyDescent="0.3">
      <c r="A30" s="53" t="s">
        <v>101</v>
      </c>
      <c r="B30" s="53">
        <v>1932</v>
      </c>
      <c r="C30" s="53">
        <v>460099000</v>
      </c>
      <c r="D30" s="54">
        <v>1.8601827593972924</v>
      </c>
      <c r="F30" s="53" t="s">
        <v>101</v>
      </c>
      <c r="G30" s="53">
        <v>1932</v>
      </c>
      <c r="H30" s="53">
        <v>460099000</v>
      </c>
    </row>
    <row r="31" spans="1:8" x14ac:dyDescent="0.3">
      <c r="A31" s="53" t="s">
        <v>135</v>
      </c>
      <c r="B31" s="53">
        <v>887</v>
      </c>
      <c r="C31" s="53">
        <v>328647000</v>
      </c>
      <c r="D31" s="54">
        <v>1.8623236849295981</v>
      </c>
      <c r="F31" s="53" t="s">
        <v>135</v>
      </c>
      <c r="G31" s="53">
        <v>887</v>
      </c>
      <c r="H31" s="53">
        <v>328647000</v>
      </c>
    </row>
    <row r="32" spans="1:8" x14ac:dyDescent="0.3">
      <c r="A32" s="53" t="s">
        <v>136</v>
      </c>
      <c r="B32" s="53">
        <v>499</v>
      </c>
      <c r="C32" s="53">
        <v>445733000</v>
      </c>
      <c r="D32" s="54">
        <v>1.7865050100200399</v>
      </c>
      <c r="F32" s="53" t="s">
        <v>136</v>
      </c>
      <c r="G32" s="53">
        <v>499</v>
      </c>
      <c r="H32" s="53">
        <v>445733000</v>
      </c>
    </row>
    <row r="33" spans="1:8" x14ac:dyDescent="0.3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3">
      <c r="A34" s="53" t="s">
        <v>96</v>
      </c>
      <c r="B34" s="53">
        <v>9441</v>
      </c>
      <c r="C34" s="53">
        <v>161681000</v>
      </c>
      <c r="D34" s="54">
        <v>1.6549289372918825</v>
      </c>
      <c r="F34" s="53" t="s">
        <v>96</v>
      </c>
      <c r="G34" s="53">
        <v>9441</v>
      </c>
      <c r="H34" s="53">
        <v>161681000</v>
      </c>
    </row>
    <row r="35" spans="1:8" x14ac:dyDescent="0.3">
      <c r="A35" s="53" t="s">
        <v>134</v>
      </c>
      <c r="B35" s="53">
        <v>5951</v>
      </c>
      <c r="C35" s="53">
        <v>149943000</v>
      </c>
      <c r="D35" s="54">
        <v>1.7048127750255999</v>
      </c>
      <c r="F35" s="53" t="s">
        <v>134</v>
      </c>
      <c r="G35" s="53">
        <v>5951</v>
      </c>
      <c r="H35" s="53">
        <v>149943000</v>
      </c>
    </row>
    <row r="36" spans="1:8" x14ac:dyDescent="0.3">
      <c r="A36" s="53" t="s">
        <v>153</v>
      </c>
      <c r="B36" s="53">
        <v>1116</v>
      </c>
      <c r="C36" s="53">
        <v>45732000</v>
      </c>
      <c r="D36" s="54">
        <v>1.7704575403426153</v>
      </c>
      <c r="F36" s="53" t="s">
        <v>153</v>
      </c>
      <c r="G36" s="53">
        <v>1116</v>
      </c>
      <c r="H36" s="53">
        <v>45732000</v>
      </c>
    </row>
    <row r="37" spans="1:8" x14ac:dyDescent="0.3">
      <c r="A37" s="53" t="s">
        <v>154</v>
      </c>
      <c r="B37" s="53">
        <v>421</v>
      </c>
      <c r="C37" s="53">
        <v>24563000</v>
      </c>
      <c r="D37" s="54">
        <v>2.0380411797942251</v>
      </c>
      <c r="F37" s="53" t="s">
        <v>154</v>
      </c>
      <c r="G37" s="53">
        <v>421</v>
      </c>
      <c r="H37" s="53">
        <v>24563000</v>
      </c>
    </row>
    <row r="38" spans="1:8" x14ac:dyDescent="0.3">
      <c r="A38" s="53" t="s">
        <v>155</v>
      </c>
      <c r="B38" s="53">
        <v>195</v>
      </c>
      <c r="C38" s="53">
        <v>15958000</v>
      </c>
      <c r="D38" s="54">
        <v>1.8573446300197676</v>
      </c>
      <c r="F38" s="53" t="s">
        <v>155</v>
      </c>
      <c r="G38" s="53">
        <v>195</v>
      </c>
      <c r="H38" s="53">
        <v>15958000</v>
      </c>
    </row>
    <row r="39" spans="1:8" x14ac:dyDescent="0.3">
      <c r="A39" s="53" t="s">
        <v>99</v>
      </c>
      <c r="B39" s="53">
        <v>140</v>
      </c>
      <c r="C39" s="53">
        <v>18487000</v>
      </c>
      <c r="D39" s="54">
        <v>1.8465595300935025</v>
      </c>
      <c r="F39" s="53" t="s">
        <v>99</v>
      </c>
      <c r="G39" s="53">
        <v>140</v>
      </c>
      <c r="H39" s="53">
        <v>18487000</v>
      </c>
    </row>
    <row r="40" spans="1:8" x14ac:dyDescent="0.3">
      <c r="A40" s="53" t="s">
        <v>101</v>
      </c>
      <c r="B40" s="53">
        <v>11</v>
      </c>
      <c r="C40" s="53">
        <v>2268000</v>
      </c>
      <c r="D40" s="54">
        <v>2.0744275286235689</v>
      </c>
      <c r="F40" s="53" t="s">
        <v>101</v>
      </c>
      <c r="G40" s="53">
        <v>11</v>
      </c>
      <c r="H40" s="53">
        <v>2268000</v>
      </c>
    </row>
    <row r="41" spans="1:8" x14ac:dyDescent="0.3">
      <c r="A41" s="53" t="s">
        <v>135</v>
      </c>
      <c r="B41" s="53">
        <v>15</v>
      </c>
      <c r="C41" s="53">
        <v>5682000</v>
      </c>
      <c r="D41" s="54">
        <v>1.7474020707246267</v>
      </c>
      <c r="F41" s="53" t="s">
        <v>135</v>
      </c>
      <c r="G41" s="53">
        <v>15</v>
      </c>
      <c r="H41" s="53">
        <v>5682000</v>
      </c>
    </row>
    <row r="42" spans="1:8" x14ac:dyDescent="0.3">
      <c r="A42" s="53" t="s">
        <v>136</v>
      </c>
      <c r="B42" s="53">
        <v>6</v>
      </c>
      <c r="C42" s="53">
        <v>5327000</v>
      </c>
      <c r="D42" s="54">
        <v>1.7756666666666667</v>
      </c>
      <c r="F42" s="53" t="s">
        <v>136</v>
      </c>
      <c r="G42" s="53">
        <v>6</v>
      </c>
      <c r="H42" s="53">
        <v>5327000</v>
      </c>
    </row>
    <row r="43" spans="1:8" x14ac:dyDescent="0.3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3">
      <c r="A44" s="53" t="s">
        <v>96</v>
      </c>
      <c r="B44" s="53">
        <v>396268</v>
      </c>
      <c r="C44" s="53">
        <v>6862850000</v>
      </c>
      <c r="D44" s="54">
        <v>1.7599409125516097</v>
      </c>
      <c r="F44" s="53" t="s">
        <v>96</v>
      </c>
      <c r="G44" s="53">
        <v>396268</v>
      </c>
      <c r="H44" s="53">
        <v>6862850000</v>
      </c>
    </row>
    <row r="45" spans="1:8" x14ac:dyDescent="0.3">
      <c r="A45" s="53" t="s">
        <v>134</v>
      </c>
      <c r="B45" s="53">
        <v>392536</v>
      </c>
      <c r="C45" s="53">
        <v>9956230000</v>
      </c>
      <c r="D45" s="54">
        <v>1.6672789032686712</v>
      </c>
      <c r="F45" s="53" t="s">
        <v>134</v>
      </c>
      <c r="G45" s="53">
        <v>392536</v>
      </c>
      <c r="H45" s="53">
        <v>9956230000</v>
      </c>
    </row>
    <row r="46" spans="1:8" x14ac:dyDescent="0.3">
      <c r="A46" s="53" t="s">
        <v>153</v>
      </c>
      <c r="B46" s="53">
        <v>76194</v>
      </c>
      <c r="C46" s="53">
        <v>3115794000</v>
      </c>
      <c r="D46" s="54">
        <v>1.6616452623645317</v>
      </c>
      <c r="F46" s="53" t="s">
        <v>153</v>
      </c>
      <c r="G46" s="53">
        <v>76194</v>
      </c>
      <c r="H46" s="53">
        <v>3115794000</v>
      </c>
    </row>
    <row r="47" spans="1:8" x14ac:dyDescent="0.3">
      <c r="A47" s="53" t="s">
        <v>154</v>
      </c>
      <c r="B47" s="53">
        <v>28253</v>
      </c>
      <c r="C47" s="53">
        <v>1639166000</v>
      </c>
      <c r="D47" s="54">
        <v>1.8735587052657365</v>
      </c>
      <c r="F47" s="53" t="s">
        <v>154</v>
      </c>
      <c r="G47" s="53">
        <v>28253</v>
      </c>
      <c r="H47" s="53">
        <v>1639166000</v>
      </c>
    </row>
    <row r="48" spans="1:8" x14ac:dyDescent="0.3">
      <c r="A48" s="53" t="s">
        <v>155</v>
      </c>
      <c r="B48" s="53">
        <v>12833</v>
      </c>
      <c r="C48" s="53">
        <v>1052223000</v>
      </c>
      <c r="D48" s="54">
        <v>1.6851818946743973</v>
      </c>
      <c r="F48" s="53" t="s">
        <v>155</v>
      </c>
      <c r="G48" s="53">
        <v>12833</v>
      </c>
      <c r="H48" s="53">
        <v>1052223000</v>
      </c>
    </row>
    <row r="49" spans="1:8" x14ac:dyDescent="0.3">
      <c r="A49" s="53" t="s">
        <v>99</v>
      </c>
      <c r="B49" s="53">
        <v>7665</v>
      </c>
      <c r="C49" s="53">
        <v>1005635000</v>
      </c>
      <c r="D49" s="54">
        <v>1.6784495670113264</v>
      </c>
      <c r="F49" s="53" t="s">
        <v>99</v>
      </c>
      <c r="G49" s="53">
        <v>7665</v>
      </c>
      <c r="H49" s="53">
        <v>1005635000</v>
      </c>
    </row>
    <row r="50" spans="1:8" x14ac:dyDescent="0.3">
      <c r="A50" s="53" t="s">
        <v>101</v>
      </c>
      <c r="B50" s="53">
        <v>990</v>
      </c>
      <c r="C50" s="53">
        <v>234352000</v>
      </c>
      <c r="D50" s="54">
        <v>1.721285561585072</v>
      </c>
      <c r="F50" s="53" t="s">
        <v>101</v>
      </c>
      <c r="G50" s="53">
        <v>990</v>
      </c>
      <c r="H50" s="53">
        <v>234352000</v>
      </c>
    </row>
    <row r="51" spans="1:8" x14ac:dyDescent="0.3">
      <c r="A51" s="53" t="s">
        <v>135</v>
      </c>
      <c r="B51" s="53">
        <v>436</v>
      </c>
      <c r="C51" s="53">
        <v>163355000</v>
      </c>
      <c r="D51" s="54">
        <v>1.7361333947795992</v>
      </c>
      <c r="F51" s="53" t="s">
        <v>135</v>
      </c>
      <c r="G51" s="53">
        <v>436</v>
      </c>
      <c r="H51" s="53">
        <v>163355000</v>
      </c>
    </row>
    <row r="52" spans="1:8" x14ac:dyDescent="0.3">
      <c r="A52" s="53" t="s">
        <v>136</v>
      </c>
      <c r="B52" s="53">
        <v>167</v>
      </c>
      <c r="C52" s="53">
        <v>150722000</v>
      </c>
      <c r="D52" s="54">
        <v>1.8050538922155688</v>
      </c>
      <c r="F52" s="53" t="s">
        <v>136</v>
      </c>
      <c r="G52" s="53">
        <v>167</v>
      </c>
      <c r="H52" s="53">
        <v>150722000</v>
      </c>
    </row>
    <row r="53" spans="1:8" x14ac:dyDescent="0.3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3">
      <c r="A54" s="53" t="s">
        <v>96</v>
      </c>
      <c r="B54" s="53">
        <v>278462</v>
      </c>
      <c r="C54" s="53">
        <v>4820719000</v>
      </c>
      <c r="D54" s="54">
        <v>1.9217391669526525</v>
      </c>
      <c r="F54" s="53" t="s">
        <v>96</v>
      </c>
      <c r="G54" s="53">
        <v>278462</v>
      </c>
      <c r="H54" s="53">
        <v>4820719000</v>
      </c>
    </row>
    <row r="55" spans="1:8" x14ac:dyDescent="0.3">
      <c r="A55" s="53" t="s">
        <v>134</v>
      </c>
      <c r="B55" s="53">
        <v>311519</v>
      </c>
      <c r="C55" s="53">
        <v>8006227000</v>
      </c>
      <c r="D55" s="54">
        <v>1.8008561710543629</v>
      </c>
      <c r="F55" s="53" t="s">
        <v>134</v>
      </c>
      <c r="G55" s="53">
        <v>311519</v>
      </c>
      <c r="H55" s="53">
        <v>8006227000</v>
      </c>
    </row>
    <row r="56" spans="1:8" x14ac:dyDescent="0.3">
      <c r="A56" s="53" t="s">
        <v>153</v>
      </c>
      <c r="B56" s="53">
        <v>76245</v>
      </c>
      <c r="C56" s="53">
        <v>3131698000</v>
      </c>
      <c r="D56" s="54">
        <v>1.7095946578845438</v>
      </c>
      <c r="F56" s="53" t="s">
        <v>153</v>
      </c>
      <c r="G56" s="53">
        <v>76245</v>
      </c>
      <c r="H56" s="53">
        <v>3131698000</v>
      </c>
    </row>
    <row r="57" spans="1:8" x14ac:dyDescent="0.3">
      <c r="A57" s="53" t="s">
        <v>154</v>
      </c>
      <c r="B57" s="53">
        <v>32576</v>
      </c>
      <c r="C57" s="53">
        <v>1895144000</v>
      </c>
      <c r="D57" s="54">
        <v>1.8696333844059787</v>
      </c>
      <c r="F57" s="53" t="s">
        <v>154</v>
      </c>
      <c r="G57" s="53">
        <v>32576</v>
      </c>
      <c r="H57" s="53">
        <v>1895144000</v>
      </c>
    </row>
    <row r="58" spans="1:8" x14ac:dyDescent="0.3">
      <c r="A58" s="53" t="s">
        <v>155</v>
      </c>
      <c r="B58" s="53">
        <v>15408</v>
      </c>
      <c r="C58" s="53">
        <v>1262914000</v>
      </c>
      <c r="D58" s="54">
        <v>1.660757494874898</v>
      </c>
      <c r="F58" s="53" t="s">
        <v>155</v>
      </c>
      <c r="G58" s="53">
        <v>15408</v>
      </c>
      <c r="H58" s="53">
        <v>1262914000</v>
      </c>
    </row>
    <row r="59" spans="1:8" x14ac:dyDescent="0.3">
      <c r="A59" s="53" t="s">
        <v>99</v>
      </c>
      <c r="B59" s="53">
        <v>9156</v>
      </c>
      <c r="C59" s="53">
        <v>1199366000</v>
      </c>
      <c r="D59" s="54">
        <v>1.6457281047651702</v>
      </c>
      <c r="F59" s="53" t="s">
        <v>99</v>
      </c>
      <c r="G59" s="53">
        <v>9156</v>
      </c>
      <c r="H59" s="53">
        <v>1199366000</v>
      </c>
    </row>
    <row r="60" spans="1:8" x14ac:dyDescent="0.3">
      <c r="A60" s="53" t="s">
        <v>101</v>
      </c>
      <c r="B60" s="53">
        <v>1144</v>
      </c>
      <c r="C60" s="53">
        <v>271442000</v>
      </c>
      <c r="D60" s="54">
        <v>1.6854905992782245</v>
      </c>
      <c r="F60" s="53" t="s">
        <v>101</v>
      </c>
      <c r="G60" s="53">
        <v>1144</v>
      </c>
      <c r="H60" s="53">
        <v>271442000</v>
      </c>
    </row>
    <row r="61" spans="1:8" x14ac:dyDescent="0.3">
      <c r="A61" s="53" t="s">
        <v>135</v>
      </c>
      <c r="B61" s="53">
        <v>458</v>
      </c>
      <c r="C61" s="53">
        <v>171229000</v>
      </c>
      <c r="D61" s="54">
        <v>1.7194732006585698</v>
      </c>
      <c r="F61" s="53" t="s">
        <v>135</v>
      </c>
      <c r="G61" s="53">
        <v>458</v>
      </c>
      <c r="H61" s="53">
        <v>171229000</v>
      </c>
    </row>
    <row r="62" spans="1:8" x14ac:dyDescent="0.3">
      <c r="A62" s="53" t="s">
        <v>136</v>
      </c>
      <c r="B62" s="53">
        <v>181</v>
      </c>
      <c r="C62" s="53">
        <v>158405000</v>
      </c>
      <c r="D62" s="54">
        <v>1.7503314917127071</v>
      </c>
      <c r="F62" s="53" t="s">
        <v>136</v>
      </c>
      <c r="G62" s="53">
        <v>181</v>
      </c>
      <c r="H62" s="53">
        <v>158405000</v>
      </c>
    </row>
    <row r="63" spans="1:8" x14ac:dyDescent="0.3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3">
      <c r="A64" s="53" t="s">
        <v>96</v>
      </c>
      <c r="B64" s="53">
        <v>122037</v>
      </c>
      <c r="C64" s="53">
        <v>2104253000</v>
      </c>
      <c r="D64" s="54">
        <v>2.0703226843059688</v>
      </c>
      <c r="F64" s="53" t="s">
        <v>96</v>
      </c>
      <c r="G64" s="53">
        <v>122037</v>
      </c>
      <c r="H64" s="53">
        <v>2104253000</v>
      </c>
    </row>
    <row r="65" spans="1:8" x14ac:dyDescent="0.3">
      <c r="A65" s="53" t="s">
        <v>134</v>
      </c>
      <c r="B65" s="53">
        <v>132275</v>
      </c>
      <c r="C65" s="53">
        <v>3424658000</v>
      </c>
      <c r="D65" s="54">
        <v>1.9584948718905659</v>
      </c>
      <c r="F65" s="53" t="s">
        <v>134</v>
      </c>
      <c r="G65" s="53">
        <v>132275</v>
      </c>
      <c r="H65" s="53">
        <v>3424658000</v>
      </c>
    </row>
    <row r="66" spans="1:8" x14ac:dyDescent="0.3">
      <c r="A66" s="53" t="s">
        <v>153</v>
      </c>
      <c r="B66" s="53">
        <v>39921</v>
      </c>
      <c r="C66" s="53">
        <v>1647536000</v>
      </c>
      <c r="D66" s="54">
        <v>1.7824725181077605</v>
      </c>
      <c r="F66" s="53" t="s">
        <v>153</v>
      </c>
      <c r="G66" s="53">
        <v>39921</v>
      </c>
      <c r="H66" s="53">
        <v>1647536000</v>
      </c>
    </row>
    <row r="67" spans="1:8" x14ac:dyDescent="0.3">
      <c r="A67" s="53" t="s">
        <v>154</v>
      </c>
      <c r="B67" s="53">
        <v>18938</v>
      </c>
      <c r="C67" s="53">
        <v>1105105000</v>
      </c>
      <c r="D67" s="54">
        <v>1.9092532807983822</v>
      </c>
      <c r="F67" s="53" t="s">
        <v>154</v>
      </c>
      <c r="G67" s="53">
        <v>18938</v>
      </c>
      <c r="H67" s="53">
        <v>1105105000</v>
      </c>
    </row>
    <row r="68" spans="1:8" x14ac:dyDescent="0.3">
      <c r="A68" s="53" t="s">
        <v>155</v>
      </c>
      <c r="B68" s="53">
        <v>9694</v>
      </c>
      <c r="C68" s="53">
        <v>797613000</v>
      </c>
      <c r="D68" s="54">
        <v>1.6685073667306516</v>
      </c>
      <c r="F68" s="53" t="s">
        <v>155</v>
      </c>
      <c r="G68" s="53">
        <v>9694</v>
      </c>
      <c r="H68" s="53">
        <v>797613000</v>
      </c>
    </row>
    <row r="69" spans="1:8" x14ac:dyDescent="0.3">
      <c r="A69" s="53" t="s">
        <v>99</v>
      </c>
      <c r="B69" s="53">
        <v>5980</v>
      </c>
      <c r="C69" s="53">
        <v>784353000</v>
      </c>
      <c r="D69" s="54">
        <v>1.6314289933321495</v>
      </c>
      <c r="F69" s="53" t="s">
        <v>99</v>
      </c>
      <c r="G69" s="53">
        <v>5980</v>
      </c>
      <c r="H69" s="53">
        <v>784353000</v>
      </c>
    </row>
    <row r="70" spans="1:8" x14ac:dyDescent="0.3">
      <c r="A70" s="53" t="s">
        <v>101</v>
      </c>
      <c r="B70" s="53">
        <v>804</v>
      </c>
      <c r="C70" s="53">
        <v>192428000</v>
      </c>
      <c r="D70" s="54">
        <v>1.5853833213407711</v>
      </c>
      <c r="F70" s="53" t="s">
        <v>101</v>
      </c>
      <c r="G70" s="53">
        <v>804</v>
      </c>
      <c r="H70" s="53">
        <v>192428000</v>
      </c>
    </row>
    <row r="71" spans="1:8" x14ac:dyDescent="0.3">
      <c r="A71" s="53" t="s">
        <v>135</v>
      </c>
      <c r="B71" s="53">
        <v>330</v>
      </c>
      <c r="C71" s="53">
        <v>122568000</v>
      </c>
      <c r="D71" s="54">
        <v>1.5315966309095694</v>
      </c>
      <c r="F71" s="53" t="s">
        <v>135</v>
      </c>
      <c r="G71" s="53">
        <v>330</v>
      </c>
      <c r="H71" s="53">
        <v>122568000</v>
      </c>
    </row>
    <row r="72" spans="1:8" x14ac:dyDescent="0.3">
      <c r="A72" s="53" t="s">
        <v>136</v>
      </c>
      <c r="B72" s="53">
        <v>109</v>
      </c>
      <c r="C72" s="53">
        <v>79150000</v>
      </c>
      <c r="D72" s="54">
        <v>1.4522935779816513</v>
      </c>
      <c r="F72" s="53" t="s">
        <v>136</v>
      </c>
      <c r="G72" s="53">
        <v>109</v>
      </c>
      <c r="H72" s="53">
        <v>79150000</v>
      </c>
    </row>
    <row r="73" spans="1:8" x14ac:dyDescent="0.3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3">
      <c r="A74" s="53" t="s">
        <v>96</v>
      </c>
      <c r="B74" s="53">
        <v>48140</v>
      </c>
      <c r="C74" s="53">
        <v>828252000</v>
      </c>
      <c r="D74" s="54">
        <v>2.1849239458579457</v>
      </c>
      <c r="F74" s="53" t="s">
        <v>96</v>
      </c>
      <c r="G74" s="53">
        <v>48140</v>
      </c>
      <c r="H74" s="53">
        <v>828252000</v>
      </c>
    </row>
    <row r="75" spans="1:8" x14ac:dyDescent="0.3">
      <c r="A75" s="53" t="s">
        <v>134</v>
      </c>
      <c r="B75" s="53">
        <v>47915</v>
      </c>
      <c r="C75" s="53">
        <v>1243309000</v>
      </c>
      <c r="D75" s="54">
        <v>2.1028455805613153</v>
      </c>
      <c r="F75" s="53" t="s">
        <v>134</v>
      </c>
      <c r="G75" s="53">
        <v>47915</v>
      </c>
      <c r="H75" s="53">
        <v>1243309000</v>
      </c>
    </row>
    <row r="76" spans="1:8" x14ac:dyDescent="0.3">
      <c r="A76" s="53" t="s">
        <v>153</v>
      </c>
      <c r="B76" s="53">
        <v>16109</v>
      </c>
      <c r="C76" s="53">
        <v>667668000</v>
      </c>
      <c r="D76" s="54">
        <v>1.8720090919667676</v>
      </c>
      <c r="F76" s="53" t="s">
        <v>153</v>
      </c>
      <c r="G76" s="53">
        <v>16109</v>
      </c>
      <c r="H76" s="53">
        <v>667668000</v>
      </c>
    </row>
    <row r="77" spans="1:8" x14ac:dyDescent="0.3">
      <c r="A77" s="53" t="s">
        <v>154</v>
      </c>
      <c r="B77" s="53">
        <v>8590</v>
      </c>
      <c r="C77" s="53">
        <v>501686000</v>
      </c>
      <c r="D77" s="54">
        <v>1.9683395306927511</v>
      </c>
      <c r="F77" s="53" t="s">
        <v>154</v>
      </c>
      <c r="G77" s="53">
        <v>8590</v>
      </c>
      <c r="H77" s="53">
        <v>501686000</v>
      </c>
    </row>
    <row r="78" spans="1:8" x14ac:dyDescent="0.3">
      <c r="A78" s="53" t="s">
        <v>155</v>
      </c>
      <c r="B78" s="53">
        <v>4589</v>
      </c>
      <c r="C78" s="53">
        <v>378066000</v>
      </c>
      <c r="D78" s="54">
        <v>1.7148604773762151</v>
      </c>
      <c r="F78" s="53" t="s">
        <v>155</v>
      </c>
      <c r="G78" s="53">
        <v>4589</v>
      </c>
      <c r="H78" s="53">
        <v>378066000</v>
      </c>
    </row>
    <row r="79" spans="1:8" x14ac:dyDescent="0.3">
      <c r="A79" s="53" t="s">
        <v>99</v>
      </c>
      <c r="B79" s="53">
        <v>3020</v>
      </c>
      <c r="C79" s="53">
        <v>398965000</v>
      </c>
      <c r="D79" s="54">
        <v>1.673524492104703</v>
      </c>
      <c r="F79" s="53" t="s">
        <v>99</v>
      </c>
      <c r="G79" s="53">
        <v>3020</v>
      </c>
      <c r="H79" s="53">
        <v>398965000</v>
      </c>
    </row>
    <row r="80" spans="1:8" x14ac:dyDescent="0.3">
      <c r="A80" s="53" t="s">
        <v>101</v>
      </c>
      <c r="B80" s="53">
        <v>415</v>
      </c>
      <c r="C80" s="53">
        <v>99416000</v>
      </c>
      <c r="D80" s="54">
        <v>1.6765880948854766</v>
      </c>
      <c r="F80" s="53" t="s">
        <v>101</v>
      </c>
      <c r="G80" s="53">
        <v>415</v>
      </c>
      <c r="H80" s="53">
        <v>99416000</v>
      </c>
    </row>
    <row r="81" spans="1:8" x14ac:dyDescent="0.3">
      <c r="A81" s="53" t="s">
        <v>135</v>
      </c>
      <c r="B81" s="53">
        <v>150</v>
      </c>
      <c r="C81" s="53">
        <v>56842000</v>
      </c>
      <c r="D81" s="54">
        <v>1.7227127436695795</v>
      </c>
      <c r="F81" s="53" t="s">
        <v>135</v>
      </c>
      <c r="G81" s="53">
        <v>150</v>
      </c>
      <c r="H81" s="53">
        <v>56842000</v>
      </c>
    </row>
    <row r="82" spans="1:8" x14ac:dyDescent="0.3">
      <c r="A82" s="53" t="s">
        <v>136</v>
      </c>
      <c r="B82" s="53">
        <v>69</v>
      </c>
      <c r="C82" s="53">
        <v>56344000</v>
      </c>
      <c r="D82" s="54">
        <v>1.6331594202898549</v>
      </c>
      <c r="F82" s="53" t="s">
        <v>136</v>
      </c>
      <c r="G82" s="53">
        <v>69</v>
      </c>
      <c r="H82" s="53">
        <v>56344000</v>
      </c>
    </row>
    <row r="83" spans="1:8" x14ac:dyDescent="0.3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3">
      <c r="A84" s="53" t="s">
        <v>96</v>
      </c>
      <c r="B84" s="53">
        <v>19461</v>
      </c>
      <c r="C84" s="53">
        <v>335914000</v>
      </c>
      <c r="D84" s="54">
        <v>2.2098597603263657</v>
      </c>
      <c r="F84" s="53" t="s">
        <v>96</v>
      </c>
      <c r="G84" s="53">
        <v>19461</v>
      </c>
      <c r="H84" s="53">
        <v>335914000</v>
      </c>
    </row>
    <row r="85" spans="1:8" x14ac:dyDescent="0.3">
      <c r="A85" s="53" t="s">
        <v>134</v>
      </c>
      <c r="B85" s="53">
        <v>17438</v>
      </c>
      <c r="C85" s="53">
        <v>449302000</v>
      </c>
      <c r="D85" s="54">
        <v>2.163907903396816</v>
      </c>
      <c r="F85" s="53" t="s">
        <v>134</v>
      </c>
      <c r="G85" s="53">
        <v>17438</v>
      </c>
      <c r="H85" s="53">
        <v>449302000</v>
      </c>
    </row>
    <row r="86" spans="1:8" x14ac:dyDescent="0.3">
      <c r="A86" s="53" t="s">
        <v>153</v>
      </c>
      <c r="B86" s="53">
        <v>6154</v>
      </c>
      <c r="C86" s="53">
        <v>255456000</v>
      </c>
      <c r="D86" s="54">
        <v>1.9021425845418101</v>
      </c>
      <c r="F86" s="53" t="s">
        <v>153</v>
      </c>
      <c r="G86" s="53">
        <v>6154</v>
      </c>
      <c r="H86" s="53">
        <v>255456000</v>
      </c>
    </row>
    <row r="87" spans="1:8" x14ac:dyDescent="0.3">
      <c r="A87" s="53" t="s">
        <v>154</v>
      </c>
      <c r="B87" s="53">
        <v>3511</v>
      </c>
      <c r="C87" s="53">
        <v>205504000</v>
      </c>
      <c r="D87" s="54">
        <v>1.9714398903896284</v>
      </c>
      <c r="F87" s="53" t="s">
        <v>154</v>
      </c>
      <c r="G87" s="53">
        <v>3511</v>
      </c>
      <c r="H87" s="53">
        <v>205504000</v>
      </c>
    </row>
    <row r="88" spans="1:8" x14ac:dyDescent="0.3">
      <c r="A88" s="53" t="s">
        <v>155</v>
      </c>
      <c r="B88" s="53">
        <v>1927</v>
      </c>
      <c r="C88" s="53">
        <v>158243000</v>
      </c>
      <c r="D88" s="54">
        <v>1.7050975629394753</v>
      </c>
      <c r="F88" s="53" t="s">
        <v>155</v>
      </c>
      <c r="G88" s="53">
        <v>1927</v>
      </c>
      <c r="H88" s="53">
        <v>158243000</v>
      </c>
    </row>
    <row r="89" spans="1:8" x14ac:dyDescent="0.3">
      <c r="A89" s="53" t="s">
        <v>99</v>
      </c>
      <c r="B89" s="53">
        <v>1240</v>
      </c>
      <c r="C89" s="53">
        <v>164182000</v>
      </c>
      <c r="D89" s="54">
        <v>1.6615678718959914</v>
      </c>
      <c r="F89" s="53" t="s">
        <v>99</v>
      </c>
      <c r="G89" s="53">
        <v>1240</v>
      </c>
      <c r="H89" s="53">
        <v>164182000</v>
      </c>
    </row>
    <row r="90" spans="1:8" x14ac:dyDescent="0.3">
      <c r="A90" s="53" t="s">
        <v>101</v>
      </c>
      <c r="B90" s="53">
        <v>199</v>
      </c>
      <c r="C90" s="53">
        <v>47428000</v>
      </c>
      <c r="D90" s="54">
        <v>1.5429160514763378</v>
      </c>
      <c r="F90" s="53" t="s">
        <v>101</v>
      </c>
      <c r="G90" s="53">
        <v>199</v>
      </c>
      <c r="H90" s="53">
        <v>47428000</v>
      </c>
    </row>
    <row r="91" spans="1:8" x14ac:dyDescent="0.3">
      <c r="A91" s="53" t="s">
        <v>135</v>
      </c>
      <c r="B91" s="53">
        <v>69</v>
      </c>
      <c r="C91" s="53">
        <v>23955000</v>
      </c>
      <c r="D91" s="54">
        <v>1.519247604027234</v>
      </c>
      <c r="F91" s="53" t="s">
        <v>135</v>
      </c>
      <c r="G91" s="53">
        <v>69</v>
      </c>
      <c r="H91" s="53">
        <v>23955000</v>
      </c>
    </row>
    <row r="92" spans="1:8" x14ac:dyDescent="0.3">
      <c r="A92" s="53" t="s">
        <v>136</v>
      </c>
      <c r="B92" s="53">
        <v>26</v>
      </c>
      <c r="C92" s="53">
        <v>19345000</v>
      </c>
      <c r="D92" s="54">
        <v>1.4880769230769231</v>
      </c>
      <c r="F92" s="53" t="s">
        <v>136</v>
      </c>
      <c r="G92" s="53">
        <v>26</v>
      </c>
      <c r="H92" s="53">
        <v>19345000</v>
      </c>
    </row>
    <row r="93" spans="1:8" x14ac:dyDescent="0.3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3">
      <c r="A94" s="53" t="s">
        <v>96</v>
      </c>
      <c r="B94" s="53">
        <v>5629</v>
      </c>
      <c r="C94" s="53">
        <v>101088000</v>
      </c>
      <c r="D94" s="54">
        <v>2.3781904500641029</v>
      </c>
      <c r="F94" s="53" t="s">
        <v>96</v>
      </c>
      <c r="G94" s="53">
        <v>5629</v>
      </c>
      <c r="H94" s="53">
        <v>101088000</v>
      </c>
    </row>
    <row r="95" spans="1:8" x14ac:dyDescent="0.3">
      <c r="A95" s="53" t="s">
        <v>134</v>
      </c>
      <c r="B95" s="53">
        <v>7013</v>
      </c>
      <c r="C95" s="53">
        <v>179430000</v>
      </c>
      <c r="D95" s="54">
        <v>2.1922473016008155</v>
      </c>
      <c r="F95" s="53" t="s">
        <v>134</v>
      </c>
      <c r="G95" s="53">
        <v>7013</v>
      </c>
      <c r="H95" s="53">
        <v>179430000</v>
      </c>
    </row>
    <row r="96" spans="1:8" x14ac:dyDescent="0.3">
      <c r="A96" s="53" t="s">
        <v>153</v>
      </c>
      <c r="B96" s="53">
        <v>2349</v>
      </c>
      <c r="C96" s="53">
        <v>97617000</v>
      </c>
      <c r="D96" s="54">
        <v>1.9561395888205741</v>
      </c>
      <c r="F96" s="53" t="s">
        <v>153</v>
      </c>
      <c r="G96" s="53">
        <v>2349</v>
      </c>
      <c r="H96" s="53">
        <v>97617000</v>
      </c>
    </row>
    <row r="97" spans="1:8" x14ac:dyDescent="0.3">
      <c r="A97" s="53" t="s">
        <v>154</v>
      </c>
      <c r="B97" s="53">
        <v>1424</v>
      </c>
      <c r="C97" s="53">
        <v>83479000</v>
      </c>
      <c r="D97" s="54">
        <v>2.0130771918936983</v>
      </c>
      <c r="F97" s="53" t="s">
        <v>154</v>
      </c>
      <c r="G97" s="53">
        <v>1424</v>
      </c>
      <c r="H97" s="53">
        <v>83479000</v>
      </c>
    </row>
    <row r="98" spans="1:8" x14ac:dyDescent="0.3">
      <c r="A98" s="53" t="s">
        <v>155</v>
      </c>
      <c r="B98" s="53">
        <v>788</v>
      </c>
      <c r="C98" s="53">
        <v>65049000</v>
      </c>
      <c r="D98" s="54">
        <v>1.7475950424205202</v>
      </c>
      <c r="F98" s="53" t="s">
        <v>155</v>
      </c>
      <c r="G98" s="53">
        <v>788</v>
      </c>
      <c r="H98" s="53">
        <v>65049000</v>
      </c>
    </row>
    <row r="99" spans="1:8" x14ac:dyDescent="0.3">
      <c r="A99" s="53" t="s">
        <v>99</v>
      </c>
      <c r="B99" s="53">
        <v>517</v>
      </c>
      <c r="C99" s="53">
        <v>68493000</v>
      </c>
      <c r="D99" s="54">
        <v>1.7080517605117387</v>
      </c>
      <c r="F99" s="53" t="s">
        <v>99</v>
      </c>
      <c r="G99" s="53">
        <v>517</v>
      </c>
      <c r="H99" s="53">
        <v>68493000</v>
      </c>
    </row>
    <row r="100" spans="1:8" x14ac:dyDescent="0.3">
      <c r="A100" s="53" t="s">
        <v>101</v>
      </c>
      <c r="B100" s="53">
        <v>79</v>
      </c>
      <c r="C100" s="53">
        <v>19089000</v>
      </c>
      <c r="D100" s="54">
        <v>1.616419179041048</v>
      </c>
      <c r="F100" s="53" t="s">
        <v>101</v>
      </c>
      <c r="G100" s="53">
        <v>79</v>
      </c>
      <c r="H100" s="53">
        <v>19089000</v>
      </c>
    </row>
    <row r="101" spans="1:8" x14ac:dyDescent="0.3">
      <c r="A101" s="53" t="s">
        <v>135</v>
      </c>
      <c r="B101" s="53">
        <v>40</v>
      </c>
      <c r="C101" s="53">
        <v>14856000</v>
      </c>
      <c r="D101" s="54">
        <v>1.4992964286811354</v>
      </c>
      <c r="F101" s="53" t="s">
        <v>135</v>
      </c>
      <c r="G101" s="53">
        <v>40</v>
      </c>
      <c r="H101" s="53">
        <v>14856000</v>
      </c>
    </row>
    <row r="102" spans="1:8" x14ac:dyDescent="0.3">
      <c r="A102" s="53" t="s">
        <v>136</v>
      </c>
      <c r="B102" s="53">
        <v>11</v>
      </c>
      <c r="C102" s="53">
        <v>8084000</v>
      </c>
      <c r="D102" s="54">
        <v>1.4698181818181819</v>
      </c>
      <c r="F102" s="53" t="s">
        <v>136</v>
      </c>
      <c r="G102" s="53">
        <v>11</v>
      </c>
      <c r="H102" s="53">
        <v>8084000</v>
      </c>
    </row>
    <row r="103" spans="1:8" x14ac:dyDescent="0.3">
      <c r="A103" s="51" t="s">
        <v>56</v>
      </c>
      <c r="B103" s="51" t="s">
        <v>80</v>
      </c>
      <c r="C103" s="51" t="s">
        <v>81</v>
      </c>
      <c r="D103" s="52" t="s">
        <v>59</v>
      </c>
    </row>
    <row r="104" spans="1:8" x14ac:dyDescent="0.3">
      <c r="A104" s="53" t="s">
        <v>96</v>
      </c>
      <c r="B104" s="53">
        <v>1471</v>
      </c>
      <c r="C104" s="53">
        <v>26938000</v>
      </c>
      <c r="D104" s="54">
        <v>2.5955407706625482</v>
      </c>
      <c r="F104" s="53" t="s">
        <v>96</v>
      </c>
      <c r="G104" s="53">
        <v>1471</v>
      </c>
      <c r="H104" s="53">
        <v>26938000</v>
      </c>
    </row>
    <row r="105" spans="1:8" x14ac:dyDescent="0.3">
      <c r="A105" s="53" t="s">
        <v>134</v>
      </c>
      <c r="B105" s="53">
        <v>3127</v>
      </c>
      <c r="C105" s="53">
        <v>79270000</v>
      </c>
      <c r="D105" s="54">
        <v>2.2403274589995301</v>
      </c>
      <c r="F105" s="53" t="s">
        <v>134</v>
      </c>
      <c r="G105" s="53">
        <v>3127</v>
      </c>
      <c r="H105" s="53">
        <v>79270000</v>
      </c>
    </row>
    <row r="106" spans="1:8" x14ac:dyDescent="0.3">
      <c r="A106" s="53" t="s">
        <v>153</v>
      </c>
      <c r="B106" s="53">
        <v>871</v>
      </c>
      <c r="C106" s="53">
        <v>36199000</v>
      </c>
      <c r="D106" s="54">
        <v>2.1303844096745617</v>
      </c>
      <c r="F106" s="53" t="s">
        <v>153</v>
      </c>
      <c r="G106" s="53">
        <v>871</v>
      </c>
      <c r="H106" s="53">
        <v>36199000</v>
      </c>
    </row>
    <row r="107" spans="1:8" x14ac:dyDescent="0.3">
      <c r="A107" s="53" t="s">
        <v>154</v>
      </c>
      <c r="B107" s="53">
        <v>526</v>
      </c>
      <c r="C107" s="53">
        <v>30867000</v>
      </c>
      <c r="D107" s="54">
        <v>2.2004936166868436</v>
      </c>
      <c r="F107" s="53" t="s">
        <v>154</v>
      </c>
      <c r="G107" s="53">
        <v>526</v>
      </c>
      <c r="H107" s="53">
        <v>30867000</v>
      </c>
    </row>
    <row r="108" spans="1:8" x14ac:dyDescent="0.3">
      <c r="A108" s="53" t="s">
        <v>155</v>
      </c>
      <c r="B108" s="53">
        <v>341</v>
      </c>
      <c r="C108" s="53">
        <v>28214000</v>
      </c>
      <c r="D108" s="54">
        <v>1.8812477338402207</v>
      </c>
      <c r="F108" s="53" t="s">
        <v>155</v>
      </c>
      <c r="G108" s="53">
        <v>341</v>
      </c>
      <c r="H108" s="53">
        <v>28214000</v>
      </c>
    </row>
    <row r="109" spans="1:8" x14ac:dyDescent="0.3">
      <c r="A109" s="53" t="s">
        <v>99</v>
      </c>
      <c r="B109" s="53">
        <v>239</v>
      </c>
      <c r="C109" s="53">
        <v>32028000</v>
      </c>
      <c r="D109" s="54">
        <v>1.8572576399317997</v>
      </c>
      <c r="F109" s="53" t="s">
        <v>99</v>
      </c>
      <c r="G109" s="53">
        <v>239</v>
      </c>
      <c r="H109" s="53">
        <v>32028000</v>
      </c>
    </row>
    <row r="110" spans="1:8" x14ac:dyDescent="0.3">
      <c r="A110" s="53" t="s">
        <v>101</v>
      </c>
      <c r="B110" s="53">
        <v>44</v>
      </c>
      <c r="C110" s="53">
        <v>10286000</v>
      </c>
      <c r="D110" s="54">
        <v>1.8118379795295949</v>
      </c>
      <c r="F110" s="53" t="s">
        <v>101</v>
      </c>
      <c r="G110" s="53">
        <v>44</v>
      </c>
      <c r="H110" s="53">
        <v>10286000</v>
      </c>
    </row>
    <row r="111" spans="1:8" x14ac:dyDescent="0.3">
      <c r="A111" s="53" t="s">
        <v>135</v>
      </c>
      <c r="B111" s="53">
        <v>15</v>
      </c>
      <c r="C111" s="53">
        <v>5354000</v>
      </c>
      <c r="D111" s="54">
        <v>1.9333970918918086</v>
      </c>
      <c r="F111" s="53" t="s">
        <v>135</v>
      </c>
      <c r="G111" s="53">
        <v>15</v>
      </c>
      <c r="H111" s="53">
        <v>5354000</v>
      </c>
    </row>
    <row r="112" spans="1:8" x14ac:dyDescent="0.3">
      <c r="A112" s="53" t="s">
        <v>136</v>
      </c>
      <c r="B112" s="53">
        <v>11</v>
      </c>
      <c r="C112" s="53">
        <v>9727000</v>
      </c>
      <c r="D112" s="54">
        <v>1.7685454545454546</v>
      </c>
      <c r="F112" s="53" t="s">
        <v>136</v>
      </c>
      <c r="G112" s="53">
        <v>11</v>
      </c>
      <c r="H112" s="53">
        <v>9727000</v>
      </c>
    </row>
    <row r="113" spans="1:8" x14ac:dyDescent="0.3">
      <c r="A113" s="51" t="s">
        <v>56</v>
      </c>
      <c r="B113" s="51" t="s">
        <v>82</v>
      </c>
      <c r="C113" s="51" t="s">
        <v>83</v>
      </c>
      <c r="D113" s="52" t="s">
        <v>59</v>
      </c>
    </row>
    <row r="114" spans="1:8" x14ac:dyDescent="0.3">
      <c r="A114" s="51"/>
      <c r="B114" s="51"/>
      <c r="C114" s="51"/>
      <c r="D114" s="52"/>
      <c r="F114">
        <v>15010</v>
      </c>
      <c r="G114" s="2">
        <v>667.52446434282058</v>
      </c>
      <c r="H114" s="2">
        <v>12224183.562519986</v>
      </c>
    </row>
    <row r="115" spans="1:8" x14ac:dyDescent="0.3">
      <c r="A115" s="53" t="s">
        <v>134</v>
      </c>
      <c r="B115" s="53">
        <v>1419</v>
      </c>
      <c r="C115" s="53">
        <v>35610000</v>
      </c>
      <c r="D115" s="54">
        <v>2.1151301313869335</v>
      </c>
      <c r="F115" s="53" t="s">
        <v>134</v>
      </c>
      <c r="G115" s="53">
        <v>1419</v>
      </c>
      <c r="H115" s="53">
        <v>35610000</v>
      </c>
    </row>
    <row r="116" spans="1:8" x14ac:dyDescent="0.3">
      <c r="A116" s="53" t="s">
        <v>153</v>
      </c>
      <c r="B116" s="53">
        <v>342</v>
      </c>
      <c r="C116" s="53">
        <v>14144000</v>
      </c>
      <c r="D116" s="54">
        <v>2.073134691361167</v>
      </c>
      <c r="F116" s="53" t="s">
        <v>153</v>
      </c>
      <c r="G116" s="53">
        <v>342</v>
      </c>
      <c r="H116" s="53">
        <v>14144000</v>
      </c>
    </row>
    <row r="117" spans="1:8" x14ac:dyDescent="0.3">
      <c r="A117" s="53" t="s">
        <v>154</v>
      </c>
      <c r="B117" s="53">
        <v>225</v>
      </c>
      <c r="C117" s="53">
        <v>13099000</v>
      </c>
      <c r="D117" s="54">
        <v>2.1216553689070525</v>
      </c>
      <c r="F117" s="53" t="s">
        <v>154</v>
      </c>
      <c r="G117" s="53">
        <v>225</v>
      </c>
      <c r="H117" s="53">
        <v>13099000</v>
      </c>
    </row>
    <row r="118" spans="1:8" x14ac:dyDescent="0.3">
      <c r="A118" s="53" t="s">
        <v>155</v>
      </c>
      <c r="B118" s="53">
        <v>134</v>
      </c>
      <c r="C118" s="53">
        <v>10948000</v>
      </c>
      <c r="D118" s="54">
        <v>1.8611449105373803</v>
      </c>
      <c r="F118" s="53" t="s">
        <v>155</v>
      </c>
      <c r="G118" s="53">
        <v>134</v>
      </c>
      <c r="H118" s="53">
        <v>10948000</v>
      </c>
    </row>
    <row r="119" spans="1:8" x14ac:dyDescent="0.3">
      <c r="A119" s="53" t="s">
        <v>99</v>
      </c>
      <c r="B119" s="53">
        <v>82</v>
      </c>
      <c r="C119" s="53">
        <v>11209000</v>
      </c>
      <c r="D119" s="54">
        <v>1.9113976452822008</v>
      </c>
      <c r="F119" s="53" t="s">
        <v>99</v>
      </c>
      <c r="G119" s="53">
        <v>82</v>
      </c>
      <c r="H119" s="53">
        <v>11209000</v>
      </c>
    </row>
    <row r="120" spans="1:8" x14ac:dyDescent="0.3">
      <c r="A120" s="53" t="s">
        <v>101</v>
      </c>
      <c r="B120" s="53">
        <v>12</v>
      </c>
      <c r="C120" s="53">
        <v>3057000</v>
      </c>
      <c r="D120" s="54">
        <v>1.8489075546222689</v>
      </c>
      <c r="F120" s="53" t="s">
        <v>101</v>
      </c>
      <c r="G120" s="53">
        <v>12</v>
      </c>
      <c r="H120" s="53">
        <v>3057000</v>
      </c>
    </row>
    <row r="121" spans="1:8" x14ac:dyDescent="0.3">
      <c r="A121" s="53" t="s">
        <v>135</v>
      </c>
      <c r="B121" s="53">
        <v>9</v>
      </c>
      <c r="C121" s="53">
        <v>3434000</v>
      </c>
      <c r="D121" s="54">
        <v>1.5866137795406821</v>
      </c>
      <c r="F121" s="53" t="s">
        <v>135</v>
      </c>
      <c r="G121" s="53">
        <v>9</v>
      </c>
      <c r="H121" s="53">
        <v>3434000</v>
      </c>
    </row>
    <row r="122" spans="1:8" x14ac:dyDescent="0.3">
      <c r="A122" s="53" t="s">
        <v>136</v>
      </c>
      <c r="B122" s="53">
        <v>4</v>
      </c>
      <c r="C122" s="53">
        <v>2754000</v>
      </c>
      <c r="D122" s="54">
        <v>1.377</v>
      </c>
      <c r="F122" s="53" t="s">
        <v>136</v>
      </c>
      <c r="G122" s="53">
        <v>4</v>
      </c>
      <c r="H122" s="53">
        <v>2754000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D1" workbookViewId="0">
      <selection activeCell="O3" sqref="O3:O12"/>
    </sheetView>
  </sheetViews>
  <sheetFormatPr baseColWidth="10" defaultRowHeight="15.6" x14ac:dyDescent="0.3"/>
  <cols>
    <col min="12" max="12" width="12.296875" bestFit="1" customWidth="1"/>
  </cols>
  <sheetData>
    <row r="1" spans="1:15" x14ac:dyDescent="0.3">
      <c r="A1" s="79" t="s">
        <v>231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2700</v>
      </c>
      <c r="M3" t="s">
        <v>7</v>
      </c>
      <c r="N3" t="s">
        <v>8</v>
      </c>
      <c r="O3" t="s">
        <v>14</v>
      </c>
    </row>
    <row r="4" spans="1:15" x14ac:dyDescent="0.3">
      <c r="A4" s="53" t="s">
        <v>151</v>
      </c>
      <c r="B4" s="53">
        <v>155421</v>
      </c>
      <c r="C4" s="53">
        <v>2666056000</v>
      </c>
      <c r="D4" s="54">
        <v>1.5961872362529475</v>
      </c>
      <c r="F4" s="53" t="s">
        <v>151</v>
      </c>
      <c r="G4" s="53">
        <v>155421</v>
      </c>
      <c r="H4" s="53">
        <v>2666056000</v>
      </c>
      <c r="I4" s="2">
        <f>J4/6.55957</f>
        <v>2286.7352585611557</v>
      </c>
      <c r="J4" s="53">
        <v>15000</v>
      </c>
      <c r="K4" s="2">
        <f>G4+G14+G24+G34+G44+G54+G64+G74+G84+G94+G104+G114</f>
        <v>1795243.8577032033</v>
      </c>
      <c r="L4" s="2">
        <f>H4+H14+H24+H34+H44+H54+H64+H74+H84+H94+H104+H114</f>
        <v>31080540152.538677</v>
      </c>
      <c r="M4">
        <f>1-SUM(K4:$K$12)/$K$14</f>
        <v>0.78906460588980198</v>
      </c>
      <c r="N4">
        <f>SUM(L4:$L$12)/(J4*SUM(K4:$K$12))</f>
        <v>1.8870430086951671</v>
      </c>
      <c r="O4">
        <f>(G4+G14+G34)/K4</f>
        <v>0.13464855983925234</v>
      </c>
    </row>
    <row r="5" spans="1:15" x14ac:dyDescent="0.3">
      <c r="A5" s="53" t="s">
        <v>165</v>
      </c>
      <c r="B5" s="53">
        <v>57638</v>
      </c>
      <c r="C5" s="53">
        <v>1279947000</v>
      </c>
      <c r="D5" s="54">
        <v>1.627349936484104</v>
      </c>
      <c r="F5" s="53" t="s">
        <v>165</v>
      </c>
      <c r="G5" s="53">
        <v>57638</v>
      </c>
      <c r="H5" s="53">
        <v>1279947000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971077</v>
      </c>
      <c r="L5" s="2">
        <f t="shared" si="1"/>
        <v>21673089000</v>
      </c>
      <c r="M5">
        <f>1-SUM(K5:$K$12)/$K$14</f>
        <v>0.87564806925800753</v>
      </c>
      <c r="N5">
        <f>SUM(L5:$L$12)/(J5*SUM(K5:$K$12))</f>
        <v>1.7979889037347601</v>
      </c>
      <c r="O5">
        <f t="shared" ref="O5:O12" si="2">(G5+G15+G35)/K5</f>
        <v>9.7994288815408045E-2</v>
      </c>
    </row>
    <row r="6" spans="1:15" x14ac:dyDescent="0.3">
      <c r="A6" s="53" t="s">
        <v>166</v>
      </c>
      <c r="B6" s="53">
        <v>26233</v>
      </c>
      <c r="C6" s="53">
        <v>716131000</v>
      </c>
      <c r="D6" s="54">
        <v>1.6587350126273905</v>
      </c>
      <c r="F6" s="53" t="s">
        <v>166</v>
      </c>
      <c r="G6" s="53">
        <v>26233</v>
      </c>
      <c r="H6" s="53">
        <v>716131000</v>
      </c>
      <c r="I6" s="2">
        <f t="shared" si="0"/>
        <v>3811.2254309352597</v>
      </c>
      <c r="J6" s="53">
        <v>25000</v>
      </c>
      <c r="K6" s="2">
        <f t="shared" si="1"/>
        <v>545830</v>
      </c>
      <c r="L6" s="2">
        <f t="shared" si="1"/>
        <v>14921417000</v>
      </c>
      <c r="M6">
        <f>1-SUM(K6:$K$12)/$K$14</f>
        <v>0.92248249205602018</v>
      </c>
      <c r="N6">
        <f>SUM(L6:$L$12)/(J6*SUM(K6:$K$12))</f>
        <v>1.7680592160112689</v>
      </c>
      <c r="O6">
        <f t="shared" si="2"/>
        <v>8.2122638916878876E-2</v>
      </c>
    </row>
    <row r="7" spans="1:15" x14ac:dyDescent="0.3">
      <c r="A7" s="53" t="s">
        <v>167</v>
      </c>
      <c r="B7" s="53">
        <v>30161</v>
      </c>
      <c r="C7" s="53">
        <v>1117738000</v>
      </c>
      <c r="D7" s="54">
        <v>1.6835268655762843</v>
      </c>
      <c r="F7" s="53" t="s">
        <v>167</v>
      </c>
      <c r="G7" s="53">
        <v>30161</v>
      </c>
      <c r="H7" s="53">
        <v>1117738000</v>
      </c>
      <c r="I7" s="2">
        <f t="shared" si="0"/>
        <v>4573.4705171223113</v>
      </c>
      <c r="J7" s="53">
        <v>30000</v>
      </c>
      <c r="K7" s="2">
        <f t="shared" si="1"/>
        <v>735906</v>
      </c>
      <c r="L7" s="2">
        <f t="shared" si="1"/>
        <v>27452753000</v>
      </c>
      <c r="M7">
        <f>1-SUM(K7:$K$12)/$K$14</f>
        <v>0.94880752394930901</v>
      </c>
      <c r="N7">
        <f>SUM(L7:$L$12)/(J7*SUM(K7:$K$12))</f>
        <v>1.7624583505269895</v>
      </c>
      <c r="O7">
        <f t="shared" si="2"/>
        <v>7.4808467385780245E-2</v>
      </c>
    </row>
    <row r="8" spans="1:15" x14ac:dyDescent="0.3">
      <c r="A8" s="53" t="s">
        <v>168</v>
      </c>
      <c r="B8" s="53">
        <v>6265</v>
      </c>
      <c r="C8" s="53">
        <v>364397000</v>
      </c>
      <c r="D8" s="54">
        <v>1.7280012926328479</v>
      </c>
      <c r="F8" s="53" t="s">
        <v>168</v>
      </c>
      <c r="G8" s="53">
        <v>6265</v>
      </c>
      <c r="H8" s="53">
        <v>364397000</v>
      </c>
      <c r="I8" s="2">
        <f t="shared" si="0"/>
        <v>7622.4508618705195</v>
      </c>
      <c r="J8" s="53">
        <v>50000</v>
      </c>
      <c r="K8" s="2">
        <f t="shared" si="1"/>
        <v>174379</v>
      </c>
      <c r="L8" s="2">
        <f t="shared" si="1"/>
        <v>10160627000</v>
      </c>
      <c r="M8">
        <f>1-SUM(K8:$K$12)/$K$14</f>
        <v>0.98429979978695548</v>
      </c>
      <c r="N8">
        <f>SUM(L8:$L$12)/(J8*SUM(K8:$K$12))</f>
        <v>1.7613908924468256</v>
      </c>
      <c r="O8">
        <f t="shared" si="2"/>
        <v>7.2640627598506702E-2</v>
      </c>
    </row>
    <row r="9" spans="1:15" x14ac:dyDescent="0.3">
      <c r="A9" s="53" t="s">
        <v>169</v>
      </c>
      <c r="B9" s="53">
        <v>3019</v>
      </c>
      <c r="C9" s="53">
        <v>247755000</v>
      </c>
      <c r="D9" s="54">
        <v>1.7257085383021769</v>
      </c>
      <c r="F9" s="53" t="s">
        <v>169</v>
      </c>
      <c r="G9" s="53">
        <v>3019</v>
      </c>
      <c r="H9" s="53">
        <v>247755000</v>
      </c>
      <c r="I9" s="2">
        <f t="shared" si="0"/>
        <v>10671.431206618727</v>
      </c>
      <c r="J9" s="53">
        <v>70000</v>
      </c>
      <c r="K9" s="2">
        <f t="shared" si="1"/>
        <v>84590</v>
      </c>
      <c r="L9" s="2">
        <f t="shared" si="1"/>
        <v>6971853000</v>
      </c>
      <c r="M9">
        <f>1-SUM(K9:$K$12)/$K$14</f>
        <v>0.99270998745806149</v>
      </c>
      <c r="N9">
        <f>SUM(L9:$L$12)/(J9*SUM(K9:$K$12))</f>
        <v>1.7492992436235375</v>
      </c>
      <c r="O9">
        <f t="shared" si="2"/>
        <v>7.0339283603262803E-2</v>
      </c>
    </row>
    <row r="10" spans="1:15" x14ac:dyDescent="0.3">
      <c r="A10" s="53" t="s">
        <v>170</v>
      </c>
      <c r="B10" s="53">
        <v>1704</v>
      </c>
      <c r="C10" s="53">
        <v>224500000</v>
      </c>
      <c r="D10" s="54">
        <v>1.7530265558107787</v>
      </c>
      <c r="F10" s="53" t="s">
        <v>170</v>
      </c>
      <c r="G10" s="53">
        <v>1704</v>
      </c>
      <c r="H10" s="53">
        <v>224500000</v>
      </c>
      <c r="I10" s="2">
        <f t="shared" si="0"/>
        <v>15244.901723741039</v>
      </c>
      <c r="J10" s="53">
        <v>100000</v>
      </c>
      <c r="K10" s="2">
        <f t="shared" si="1"/>
        <v>54120</v>
      </c>
      <c r="L10" s="2">
        <f t="shared" si="1"/>
        <v>7133194000</v>
      </c>
      <c r="M10">
        <f>1-SUM(K10:$K$12)/$K$14</f>
        <v>0.99678970907074915</v>
      </c>
      <c r="N10">
        <f>SUM(L10:$L$12)/(J10*SUM(K10:$K$12))</f>
        <v>1.7332414404398839</v>
      </c>
      <c r="O10">
        <f t="shared" si="2"/>
        <v>7.2080561714708058E-2</v>
      </c>
    </row>
    <row r="11" spans="1:15" x14ac:dyDescent="0.3">
      <c r="A11" s="53" t="s">
        <v>171</v>
      </c>
      <c r="B11" s="53">
        <v>357</v>
      </c>
      <c r="C11" s="53">
        <v>94407000</v>
      </c>
      <c r="D11" s="54">
        <v>1.7026409190083449</v>
      </c>
      <c r="F11" s="53" t="s">
        <v>171</v>
      </c>
      <c r="G11" s="53">
        <v>357</v>
      </c>
      <c r="H11" s="53">
        <v>94407000</v>
      </c>
      <c r="I11" s="2">
        <f t="shared" si="0"/>
        <v>30489.803447482078</v>
      </c>
      <c r="J11" s="53">
        <v>200000</v>
      </c>
      <c r="K11" s="2">
        <f t="shared" si="1"/>
        <v>9979</v>
      </c>
      <c r="L11" s="2">
        <f t="shared" si="1"/>
        <v>2618660000</v>
      </c>
      <c r="M11">
        <f>1-SUM(K11:$K$12)/$K$14</f>
        <v>0.99939988206612285</v>
      </c>
      <c r="N11">
        <f>SUM(L11:$L$12)/(J11*SUM(K11:$K$12))</f>
        <v>1.7695816925178816</v>
      </c>
      <c r="O11">
        <f t="shared" si="2"/>
        <v>8.9487924641747665E-2</v>
      </c>
    </row>
    <row r="12" spans="1:15" x14ac:dyDescent="0.3">
      <c r="A12" s="53" t="s">
        <v>172</v>
      </c>
      <c r="B12" s="53">
        <v>94</v>
      </c>
      <c r="C12" s="53">
        <v>59248000</v>
      </c>
      <c r="D12" s="54">
        <v>1.5757446808510638</v>
      </c>
      <c r="F12" s="53" t="s">
        <v>172</v>
      </c>
      <c r="G12" s="53">
        <v>94</v>
      </c>
      <c r="H12" s="53">
        <v>59248000</v>
      </c>
      <c r="I12" s="2">
        <f t="shared" si="0"/>
        <v>60979.606894964156</v>
      </c>
      <c r="J12" s="53">
        <v>400000</v>
      </c>
      <c r="K12" s="2">
        <f t="shared" si="1"/>
        <v>2464</v>
      </c>
      <c r="L12" s="2">
        <f>H12+H22+H32+H42+H52+H62+H72+H82+H92+H102+H112+H122</f>
        <v>1785121000</v>
      </c>
      <c r="M12">
        <f>1-SUM(K12:$K$12)/$K$14</f>
        <v>0.99988116285549522</v>
      </c>
      <c r="N12">
        <f>SUM(L12:$L$12)/(J12*SUM(K12:$K$12))</f>
        <v>1.8112023133116883</v>
      </c>
      <c r="O12">
        <f t="shared" si="2"/>
        <v>0.12215909090909091</v>
      </c>
    </row>
    <row r="13" spans="1:15" x14ac:dyDescent="0.3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3">
      <c r="A14" s="53" t="s">
        <v>151</v>
      </c>
      <c r="B14" s="53">
        <v>74129</v>
      </c>
      <c r="C14" s="53">
        <v>1281177000</v>
      </c>
      <c r="D14" s="54">
        <v>1.8710382524702522</v>
      </c>
      <c r="F14" s="53" t="s">
        <v>151</v>
      </c>
      <c r="G14" s="53">
        <v>74129</v>
      </c>
      <c r="H14" s="53">
        <v>1281177000</v>
      </c>
      <c r="K14" s="61">
        <v>20734257.880962022</v>
      </c>
    </row>
    <row r="15" spans="1:15" x14ac:dyDescent="0.3">
      <c r="A15" s="53" t="s">
        <v>165</v>
      </c>
      <c r="B15" s="53">
        <v>32924</v>
      </c>
      <c r="C15" s="53">
        <v>731140000</v>
      </c>
      <c r="D15" s="54">
        <v>1.8918910029509639</v>
      </c>
      <c r="F15" s="53" t="s">
        <v>165</v>
      </c>
      <c r="G15" s="53">
        <v>32924</v>
      </c>
      <c r="H15" s="53">
        <v>731140000</v>
      </c>
    </row>
    <row r="16" spans="1:15" x14ac:dyDescent="0.3">
      <c r="A16" s="53" t="s">
        <v>166</v>
      </c>
      <c r="B16" s="53">
        <v>16415</v>
      </c>
      <c r="C16" s="53">
        <v>448240000</v>
      </c>
      <c r="D16" s="54">
        <v>1.927820050611162</v>
      </c>
      <c r="F16" s="53" t="s">
        <v>166</v>
      </c>
      <c r="G16" s="53">
        <v>16415</v>
      </c>
      <c r="H16" s="53">
        <v>448240000</v>
      </c>
    </row>
    <row r="17" spans="1:8" x14ac:dyDescent="0.3">
      <c r="A17" s="53" t="s">
        <v>167</v>
      </c>
      <c r="B17" s="53">
        <v>22324</v>
      </c>
      <c r="C17" s="53">
        <v>835748000</v>
      </c>
      <c r="D17" s="54">
        <v>1.9471735773680112</v>
      </c>
      <c r="F17" s="53" t="s">
        <v>167</v>
      </c>
      <c r="G17" s="53">
        <v>22324</v>
      </c>
      <c r="H17" s="53">
        <v>835748000</v>
      </c>
    </row>
    <row r="18" spans="1:8" x14ac:dyDescent="0.3">
      <c r="A18" s="53" t="s">
        <v>168</v>
      </c>
      <c r="B18" s="53">
        <v>5881</v>
      </c>
      <c r="C18" s="53">
        <v>343201000</v>
      </c>
      <c r="D18" s="54">
        <v>1.9880298374718779</v>
      </c>
      <c r="F18" s="53" t="s">
        <v>168</v>
      </c>
      <c r="G18" s="53">
        <v>5881</v>
      </c>
      <c r="H18" s="53">
        <v>343201000</v>
      </c>
    </row>
    <row r="19" spans="1:8" x14ac:dyDescent="0.3">
      <c r="A19" s="53" t="s">
        <v>169</v>
      </c>
      <c r="B19" s="53">
        <v>2902</v>
      </c>
      <c r="C19" s="53">
        <v>239190000</v>
      </c>
      <c r="D19" s="54">
        <v>2.0332268693270046</v>
      </c>
      <c r="F19" s="53" t="s">
        <v>169</v>
      </c>
      <c r="G19" s="53">
        <v>2902</v>
      </c>
      <c r="H19" s="53">
        <v>239190000</v>
      </c>
    </row>
    <row r="20" spans="1:8" x14ac:dyDescent="0.3">
      <c r="A20" s="53" t="s">
        <v>170</v>
      </c>
      <c r="B20" s="53">
        <v>2040</v>
      </c>
      <c r="C20" s="53">
        <v>269618000</v>
      </c>
      <c r="D20" s="54">
        <v>2.0579856824398308</v>
      </c>
      <c r="F20" s="53" t="s">
        <v>170</v>
      </c>
      <c r="G20" s="53">
        <v>2040</v>
      </c>
      <c r="H20" s="53">
        <v>269618000</v>
      </c>
    </row>
    <row r="21" spans="1:8" x14ac:dyDescent="0.3">
      <c r="A21" s="53" t="s">
        <v>171</v>
      </c>
      <c r="B21" s="53">
        <v>508</v>
      </c>
      <c r="C21" s="53">
        <v>135272000</v>
      </c>
      <c r="D21" s="54">
        <v>2.0927530584989991</v>
      </c>
      <c r="F21" s="53" t="s">
        <v>171</v>
      </c>
      <c r="G21" s="53">
        <v>508</v>
      </c>
      <c r="H21" s="53">
        <v>135272000</v>
      </c>
    </row>
    <row r="22" spans="1:8" x14ac:dyDescent="0.3">
      <c r="A22" s="53" t="s">
        <v>172</v>
      </c>
      <c r="B22" s="53">
        <v>200</v>
      </c>
      <c r="C22" s="53">
        <v>161210000</v>
      </c>
      <c r="D22" s="54">
        <v>2.0151249999999998</v>
      </c>
      <c r="F22" s="53" t="s">
        <v>172</v>
      </c>
      <c r="G22" s="53">
        <v>200</v>
      </c>
      <c r="H22" s="53">
        <v>161210000</v>
      </c>
    </row>
    <row r="23" spans="1:8" x14ac:dyDescent="0.3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3">
      <c r="A24" s="53" t="s">
        <v>151</v>
      </c>
      <c r="B24" s="53">
        <v>572761</v>
      </c>
      <c r="C24" s="53">
        <v>9904794000</v>
      </c>
      <c r="D24" s="54">
        <v>1.8374838593802267</v>
      </c>
      <c r="F24" s="53" t="s">
        <v>151</v>
      </c>
      <c r="G24" s="53">
        <v>572761</v>
      </c>
      <c r="H24" s="53">
        <v>9904794000</v>
      </c>
    </row>
    <row r="25" spans="1:8" x14ac:dyDescent="0.3">
      <c r="A25" s="53" t="s">
        <v>165</v>
      </c>
      <c r="B25" s="53">
        <v>306377</v>
      </c>
      <c r="C25" s="53">
        <v>6835597000</v>
      </c>
      <c r="D25" s="54">
        <v>1.7609360767758961</v>
      </c>
      <c r="F25" s="53" t="s">
        <v>165</v>
      </c>
      <c r="G25" s="53">
        <v>306377</v>
      </c>
      <c r="H25" s="53">
        <v>6835597000</v>
      </c>
    </row>
    <row r="26" spans="1:8" x14ac:dyDescent="0.3">
      <c r="A26" s="53" t="s">
        <v>166</v>
      </c>
      <c r="B26" s="53">
        <v>169721</v>
      </c>
      <c r="C26" s="53">
        <v>4634787000</v>
      </c>
      <c r="D26" s="54">
        <v>1.7454073839078699</v>
      </c>
      <c r="F26" s="53" t="s">
        <v>166</v>
      </c>
      <c r="G26" s="53">
        <v>169721</v>
      </c>
      <c r="H26" s="53">
        <v>4634787000</v>
      </c>
    </row>
    <row r="27" spans="1:8" x14ac:dyDescent="0.3">
      <c r="A27" s="53" t="s">
        <v>167</v>
      </c>
      <c r="B27" s="53">
        <v>216654</v>
      </c>
      <c r="C27" s="53">
        <v>8049950000</v>
      </c>
      <c r="D27" s="54">
        <v>1.7589024249014971</v>
      </c>
      <c r="F27" s="53" t="s">
        <v>167</v>
      </c>
      <c r="G27" s="53">
        <v>216654</v>
      </c>
      <c r="H27" s="53">
        <v>8049950000</v>
      </c>
    </row>
    <row r="28" spans="1:8" x14ac:dyDescent="0.3">
      <c r="A28" s="53" t="s">
        <v>168</v>
      </c>
      <c r="B28" s="53">
        <v>47864</v>
      </c>
      <c r="C28" s="53">
        <v>2786886000</v>
      </c>
      <c r="D28" s="54">
        <v>1.815400192292298</v>
      </c>
      <c r="F28" s="53" t="s">
        <v>168</v>
      </c>
      <c r="G28" s="53">
        <v>47864</v>
      </c>
      <c r="H28" s="53">
        <v>2786886000</v>
      </c>
    </row>
    <row r="29" spans="1:8" x14ac:dyDescent="0.3">
      <c r="A29" s="53" t="s">
        <v>169</v>
      </c>
      <c r="B29" s="53">
        <v>23089</v>
      </c>
      <c r="C29" s="53">
        <v>1896763000</v>
      </c>
      <c r="D29" s="54">
        <v>1.8279111231517502</v>
      </c>
      <c r="F29" s="53" t="s">
        <v>169</v>
      </c>
      <c r="G29" s="53">
        <v>23089</v>
      </c>
      <c r="H29" s="53">
        <v>1896763000</v>
      </c>
    </row>
    <row r="30" spans="1:8" x14ac:dyDescent="0.3">
      <c r="A30" s="53" t="s">
        <v>170</v>
      </c>
      <c r="B30" s="53">
        <v>15050</v>
      </c>
      <c r="C30" s="53">
        <v>1991511000</v>
      </c>
      <c r="D30" s="54">
        <v>1.8373043220700291</v>
      </c>
      <c r="F30" s="53" t="s">
        <v>170</v>
      </c>
      <c r="G30" s="53">
        <v>15050</v>
      </c>
      <c r="H30" s="53">
        <v>1991511000</v>
      </c>
    </row>
    <row r="31" spans="1:8" x14ac:dyDescent="0.3">
      <c r="A31" s="53" t="s">
        <v>171</v>
      </c>
      <c r="B31" s="53">
        <v>3102</v>
      </c>
      <c r="C31" s="53">
        <v>822443000</v>
      </c>
      <c r="D31" s="54">
        <v>1.8925296508795275</v>
      </c>
      <c r="F31" s="53" t="s">
        <v>171</v>
      </c>
      <c r="G31" s="53">
        <v>3102</v>
      </c>
      <c r="H31" s="53">
        <v>822443000</v>
      </c>
    </row>
    <row r="32" spans="1:8" x14ac:dyDescent="0.3">
      <c r="A32" s="53" t="s">
        <v>172</v>
      </c>
      <c r="B32" s="53">
        <v>884</v>
      </c>
      <c r="C32" s="53">
        <v>687036000</v>
      </c>
      <c r="D32" s="54">
        <v>1.942975113122172</v>
      </c>
      <c r="F32" s="53" t="s">
        <v>172</v>
      </c>
      <c r="G32" s="53">
        <v>884</v>
      </c>
      <c r="H32" s="53">
        <v>687036000</v>
      </c>
    </row>
    <row r="33" spans="1:8" x14ac:dyDescent="0.3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3">
      <c r="A34" s="53" t="s">
        <v>151</v>
      </c>
      <c r="B34" s="53">
        <v>12177</v>
      </c>
      <c r="C34" s="53">
        <v>212218000</v>
      </c>
      <c r="D34" s="54">
        <v>1.6452079201263992</v>
      </c>
      <c r="F34" s="53" t="s">
        <v>151</v>
      </c>
      <c r="G34" s="53">
        <v>12177</v>
      </c>
      <c r="H34" s="53">
        <v>212218000</v>
      </c>
    </row>
    <row r="35" spans="1:8" x14ac:dyDescent="0.3">
      <c r="A35" s="53" t="s">
        <v>165</v>
      </c>
      <c r="B35" s="53">
        <v>4598</v>
      </c>
      <c r="C35" s="53">
        <v>102167000</v>
      </c>
      <c r="D35" s="54">
        <v>1.681418374213818</v>
      </c>
      <c r="F35" s="53" t="s">
        <v>165</v>
      </c>
      <c r="G35" s="53">
        <v>4598</v>
      </c>
      <c r="H35" s="53">
        <v>102167000</v>
      </c>
    </row>
    <row r="36" spans="1:8" x14ac:dyDescent="0.3">
      <c r="A36" s="53" t="s">
        <v>166</v>
      </c>
      <c r="B36" s="53">
        <v>2177</v>
      </c>
      <c r="C36" s="53">
        <v>59251000</v>
      </c>
      <c r="D36" s="54">
        <v>1.733038680131824</v>
      </c>
      <c r="F36" s="53" t="s">
        <v>166</v>
      </c>
      <c r="G36" s="53">
        <v>2177</v>
      </c>
      <c r="H36" s="53">
        <v>59251000</v>
      </c>
    </row>
    <row r="37" spans="1:8" x14ac:dyDescent="0.3">
      <c r="A37" s="53" t="s">
        <v>167</v>
      </c>
      <c r="B37" s="53">
        <v>2567</v>
      </c>
      <c r="C37" s="53">
        <v>95241000</v>
      </c>
      <c r="D37" s="54">
        <v>1.80104798249815</v>
      </c>
      <c r="F37" s="53" t="s">
        <v>167</v>
      </c>
      <c r="G37" s="53">
        <v>2567</v>
      </c>
      <c r="H37" s="53">
        <v>95241000</v>
      </c>
    </row>
    <row r="38" spans="1:8" x14ac:dyDescent="0.3">
      <c r="A38" s="53" t="s">
        <v>168</v>
      </c>
      <c r="B38" s="53">
        <v>521</v>
      </c>
      <c r="C38" s="53">
        <v>30361000</v>
      </c>
      <c r="D38" s="54">
        <v>2.2635322347219309</v>
      </c>
      <c r="F38" s="53" t="s">
        <v>168</v>
      </c>
      <c r="G38" s="53">
        <v>521</v>
      </c>
      <c r="H38" s="53">
        <v>30361000</v>
      </c>
    </row>
    <row r="39" spans="1:8" x14ac:dyDescent="0.3">
      <c r="A39" s="53" t="s">
        <v>169</v>
      </c>
      <c r="B39" s="53">
        <v>29</v>
      </c>
      <c r="C39" s="53">
        <v>20524000</v>
      </c>
      <c r="D39" s="54">
        <v>3.4717049334822261</v>
      </c>
      <c r="F39" s="53" t="s">
        <v>169</v>
      </c>
      <c r="G39" s="53">
        <v>29</v>
      </c>
      <c r="H39" s="53">
        <v>20524000</v>
      </c>
    </row>
    <row r="40" spans="1:8" x14ac:dyDescent="0.3">
      <c r="A40" s="53" t="s">
        <v>170</v>
      </c>
      <c r="B40" s="53">
        <v>157</v>
      </c>
      <c r="C40" s="53">
        <v>21458000</v>
      </c>
      <c r="D40" s="54">
        <v>1.7305611055611054</v>
      </c>
      <c r="F40" s="53" t="s">
        <v>170</v>
      </c>
      <c r="G40" s="53">
        <v>157</v>
      </c>
      <c r="H40" s="53">
        <v>21458000</v>
      </c>
    </row>
    <row r="41" spans="1:8" x14ac:dyDescent="0.3">
      <c r="A41" s="53" t="s">
        <v>171</v>
      </c>
      <c r="B41" s="53">
        <v>28</v>
      </c>
      <c r="C41" s="53">
        <v>7483000</v>
      </c>
      <c r="D41" s="54">
        <v>1.6851574212893554</v>
      </c>
      <c r="F41" s="53" t="s">
        <v>171</v>
      </c>
      <c r="G41" s="53">
        <v>28</v>
      </c>
      <c r="H41" s="53">
        <v>7483000</v>
      </c>
    </row>
    <row r="42" spans="1:8" x14ac:dyDescent="0.3">
      <c r="A42" s="53" t="s">
        <v>172</v>
      </c>
      <c r="B42" s="53">
        <v>7</v>
      </c>
      <c r="C42" s="53">
        <v>4319000</v>
      </c>
      <c r="D42" s="54">
        <v>1.5425</v>
      </c>
      <c r="F42" s="53" t="s">
        <v>172</v>
      </c>
      <c r="G42" s="53">
        <v>7</v>
      </c>
      <c r="H42" s="53">
        <v>4319000</v>
      </c>
    </row>
    <row r="43" spans="1:8" x14ac:dyDescent="0.3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3">
      <c r="A44" s="53" t="s">
        <v>151</v>
      </c>
      <c r="B44" s="53">
        <v>449474</v>
      </c>
      <c r="C44" s="53">
        <v>7803342000</v>
      </c>
      <c r="D44" s="54">
        <v>1.7798142289320362</v>
      </c>
      <c r="F44" s="53" t="s">
        <v>151</v>
      </c>
      <c r="G44" s="53">
        <v>449474</v>
      </c>
      <c r="H44" s="53">
        <v>7803342000</v>
      </c>
    </row>
    <row r="45" spans="1:8" x14ac:dyDescent="0.3">
      <c r="A45" s="53" t="s">
        <v>165</v>
      </c>
      <c r="B45" s="53">
        <v>262060</v>
      </c>
      <c r="C45" s="53">
        <v>5849607000</v>
      </c>
      <c r="D45" s="54">
        <v>1.6663122806153632</v>
      </c>
      <c r="F45" s="53" t="s">
        <v>165</v>
      </c>
      <c r="G45" s="53">
        <v>262060</v>
      </c>
      <c r="H45" s="53">
        <v>5849607000</v>
      </c>
    </row>
    <row r="46" spans="1:8" x14ac:dyDescent="0.3">
      <c r="A46" s="53" t="s">
        <v>166</v>
      </c>
      <c r="B46" s="53">
        <v>144467</v>
      </c>
      <c r="C46" s="53">
        <v>3949094000</v>
      </c>
      <c r="D46" s="54">
        <v>1.6380020369708486</v>
      </c>
      <c r="F46" s="53" t="s">
        <v>166</v>
      </c>
      <c r="G46" s="53">
        <v>144467</v>
      </c>
      <c r="H46" s="53">
        <v>3949094000</v>
      </c>
    </row>
    <row r="47" spans="1:8" x14ac:dyDescent="0.3">
      <c r="A47" s="53" t="s">
        <v>167</v>
      </c>
      <c r="B47" s="53">
        <v>177273</v>
      </c>
      <c r="C47" s="53">
        <v>6562112000</v>
      </c>
      <c r="D47" s="54">
        <v>1.6418222766363779</v>
      </c>
      <c r="F47" s="53" t="s">
        <v>167</v>
      </c>
      <c r="G47" s="53">
        <v>177273</v>
      </c>
      <c r="H47" s="53">
        <v>6562112000</v>
      </c>
    </row>
    <row r="48" spans="1:8" x14ac:dyDescent="0.3">
      <c r="A48" s="53" t="s">
        <v>168</v>
      </c>
      <c r="B48" s="53">
        <v>35010</v>
      </c>
      <c r="C48" s="53">
        <v>2032741000</v>
      </c>
      <c r="D48" s="54">
        <v>1.6896276995062789</v>
      </c>
      <c r="F48" s="53" t="s">
        <v>168</v>
      </c>
      <c r="G48" s="53">
        <v>35010</v>
      </c>
      <c r="H48" s="53">
        <v>2032741000</v>
      </c>
    </row>
    <row r="49" spans="1:8" x14ac:dyDescent="0.3">
      <c r="A49" s="53" t="s">
        <v>169</v>
      </c>
      <c r="B49" s="53">
        <v>15783</v>
      </c>
      <c r="C49" s="53">
        <v>1296989000</v>
      </c>
      <c r="D49" s="54">
        <v>1.6923472559227806</v>
      </c>
      <c r="F49" s="53" t="s">
        <v>169</v>
      </c>
      <c r="G49" s="53">
        <v>15783</v>
      </c>
      <c r="H49" s="53">
        <v>1296989000</v>
      </c>
    </row>
    <row r="50" spans="1:8" x14ac:dyDescent="0.3">
      <c r="A50" s="53" t="s">
        <v>170</v>
      </c>
      <c r="B50" s="53">
        <v>9623</v>
      </c>
      <c r="C50" s="53">
        <v>1266898000</v>
      </c>
      <c r="D50" s="54">
        <v>1.6803086654064345</v>
      </c>
      <c r="F50" s="53" t="s">
        <v>170</v>
      </c>
      <c r="G50" s="53">
        <v>9623</v>
      </c>
      <c r="H50" s="53">
        <v>1266898000</v>
      </c>
    </row>
    <row r="51" spans="1:8" x14ac:dyDescent="0.3">
      <c r="A51" s="53" t="s">
        <v>171</v>
      </c>
      <c r="B51" s="53">
        <v>1607</v>
      </c>
      <c r="C51" s="53">
        <v>417457000</v>
      </c>
      <c r="D51" s="54">
        <v>1.7255294809795505</v>
      </c>
      <c r="F51" s="53" t="s">
        <v>171</v>
      </c>
      <c r="G51" s="53">
        <v>1607</v>
      </c>
      <c r="H51" s="53">
        <v>417457000</v>
      </c>
    </row>
    <row r="52" spans="1:8" x14ac:dyDescent="0.3">
      <c r="A52" s="53" t="s">
        <v>172</v>
      </c>
      <c r="B52" s="53">
        <v>379</v>
      </c>
      <c r="C52" s="53">
        <v>268266000</v>
      </c>
      <c r="D52" s="54">
        <v>1.7695646437994723</v>
      </c>
      <c r="F52" s="53" t="s">
        <v>172</v>
      </c>
      <c r="G52" s="53">
        <v>379</v>
      </c>
      <c r="H52" s="53">
        <v>268266000</v>
      </c>
    </row>
    <row r="53" spans="1:8" x14ac:dyDescent="0.3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3">
      <c r="A54" s="53" t="s">
        <v>151</v>
      </c>
      <c r="B54" s="53">
        <v>316652</v>
      </c>
      <c r="C54" s="53">
        <v>5487440000</v>
      </c>
      <c r="D54" s="54">
        <v>1.945191445757807</v>
      </c>
      <c r="F54" s="53" t="s">
        <v>151</v>
      </c>
      <c r="G54" s="53">
        <v>316652</v>
      </c>
      <c r="H54" s="53">
        <v>5487440000</v>
      </c>
    </row>
    <row r="55" spans="1:8" x14ac:dyDescent="0.3">
      <c r="A55" s="53" t="s">
        <v>165</v>
      </c>
      <c r="B55" s="53">
        <v>188377</v>
      </c>
      <c r="C55" s="53">
        <v>4213989000</v>
      </c>
      <c r="D55" s="54">
        <v>1.8124980487857438</v>
      </c>
      <c r="F55" s="53" t="s">
        <v>165</v>
      </c>
      <c r="G55" s="53">
        <v>188377</v>
      </c>
      <c r="H55" s="53">
        <v>4213989000</v>
      </c>
    </row>
    <row r="56" spans="1:8" x14ac:dyDescent="0.3">
      <c r="A56" s="53" t="s">
        <v>166</v>
      </c>
      <c r="B56" s="53">
        <v>114487</v>
      </c>
      <c r="C56" s="53">
        <v>3132826000</v>
      </c>
      <c r="D56" s="54">
        <v>1.7513702044824655</v>
      </c>
      <c r="F56" s="53" t="s">
        <v>166</v>
      </c>
      <c r="G56" s="53">
        <v>114487</v>
      </c>
      <c r="H56" s="53">
        <v>3132826000</v>
      </c>
    </row>
    <row r="57" spans="1:8" x14ac:dyDescent="0.3">
      <c r="A57" s="53" t="s">
        <v>167</v>
      </c>
      <c r="B57" s="53">
        <v>164340</v>
      </c>
      <c r="C57" s="53">
        <v>6141148000</v>
      </c>
      <c r="D57" s="54">
        <v>1.7263691046891909</v>
      </c>
      <c r="F57" s="53" t="s">
        <v>167</v>
      </c>
      <c r="G57" s="53">
        <v>164340</v>
      </c>
      <c r="H57" s="53">
        <v>6141148000</v>
      </c>
    </row>
    <row r="58" spans="1:8" x14ac:dyDescent="0.3">
      <c r="A58" s="53" t="s">
        <v>168</v>
      </c>
      <c r="B58" s="53">
        <v>40022</v>
      </c>
      <c r="C58" s="53">
        <v>2333419000</v>
      </c>
      <c r="D58" s="54">
        <v>1.6927965885116902</v>
      </c>
      <c r="F58" s="53" t="s">
        <v>168</v>
      </c>
      <c r="G58" s="53">
        <v>40022</v>
      </c>
      <c r="H58" s="53">
        <v>2333419000</v>
      </c>
    </row>
    <row r="59" spans="1:8" x14ac:dyDescent="0.3">
      <c r="A59" s="53" t="s">
        <v>169</v>
      </c>
      <c r="B59" s="53">
        <v>19027</v>
      </c>
      <c r="C59" s="53">
        <v>1562266000</v>
      </c>
      <c r="D59" s="54">
        <v>1.6683453058298732</v>
      </c>
      <c r="F59" s="53" t="s">
        <v>169</v>
      </c>
      <c r="G59" s="53">
        <v>19027</v>
      </c>
      <c r="H59" s="53">
        <v>1562266000</v>
      </c>
    </row>
    <row r="60" spans="1:8" x14ac:dyDescent="0.3">
      <c r="A60" s="53" t="s">
        <v>170</v>
      </c>
      <c r="B60" s="53">
        <v>11738</v>
      </c>
      <c r="C60" s="53">
        <v>1539827000</v>
      </c>
      <c r="D60" s="54">
        <v>1.6421905346567292</v>
      </c>
      <c r="F60" s="53" t="s">
        <v>170</v>
      </c>
      <c r="G60" s="53">
        <v>11738</v>
      </c>
      <c r="H60" s="53">
        <v>1539827000</v>
      </c>
    </row>
    <row r="61" spans="1:8" x14ac:dyDescent="0.3">
      <c r="A61" s="53" t="s">
        <v>171</v>
      </c>
      <c r="B61" s="53">
        <v>1832</v>
      </c>
      <c r="C61" s="53">
        <v>476236000</v>
      </c>
      <c r="D61" s="54">
        <v>1.6913338775007316</v>
      </c>
      <c r="F61" s="53" t="s">
        <v>171</v>
      </c>
      <c r="G61" s="53">
        <v>1832</v>
      </c>
      <c r="H61" s="53">
        <v>476236000</v>
      </c>
    </row>
    <row r="62" spans="1:8" x14ac:dyDescent="0.3">
      <c r="A62" s="53" t="s">
        <v>172</v>
      </c>
      <c r="B62" s="53">
        <v>407</v>
      </c>
      <c r="C62" s="53">
        <v>281522000</v>
      </c>
      <c r="D62" s="54">
        <v>1.7292506142506143</v>
      </c>
      <c r="F62" s="53" t="s">
        <v>172</v>
      </c>
      <c r="G62" s="53">
        <v>407</v>
      </c>
      <c r="H62" s="53">
        <v>281522000</v>
      </c>
    </row>
    <row r="63" spans="1:8" x14ac:dyDescent="0.3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3">
      <c r="A64" s="53" t="s">
        <v>151</v>
      </c>
      <c r="B64" s="53">
        <v>141670</v>
      </c>
      <c r="C64" s="53">
        <v>2447719000</v>
      </c>
      <c r="D64" s="54">
        <v>2.086956100034183</v>
      </c>
      <c r="F64" s="53" t="s">
        <v>151</v>
      </c>
      <c r="G64" s="53">
        <v>141670</v>
      </c>
      <c r="H64" s="53">
        <v>2447719000</v>
      </c>
    </row>
    <row r="65" spans="1:8" x14ac:dyDescent="0.3">
      <c r="A65" s="53" t="s">
        <v>165</v>
      </c>
      <c r="B65" s="53">
        <v>75468</v>
      </c>
      <c r="C65" s="53">
        <v>1686163000</v>
      </c>
      <c r="D65" s="54">
        <v>1.9799964122809539</v>
      </c>
      <c r="F65" s="53" t="s">
        <v>165</v>
      </c>
      <c r="G65" s="53">
        <v>75468</v>
      </c>
      <c r="H65" s="53">
        <v>1686163000</v>
      </c>
    </row>
    <row r="66" spans="1:8" x14ac:dyDescent="0.3">
      <c r="A66" s="53" t="s">
        <v>166</v>
      </c>
      <c r="B66" s="53">
        <v>47013</v>
      </c>
      <c r="C66" s="53">
        <v>1288053000</v>
      </c>
      <c r="D66" s="54">
        <v>1.8980534650419192</v>
      </c>
      <c r="F66" s="53" t="s">
        <v>166</v>
      </c>
      <c r="G66" s="53">
        <v>47013</v>
      </c>
      <c r="H66" s="53">
        <v>1288053000</v>
      </c>
    </row>
    <row r="67" spans="1:8" x14ac:dyDescent="0.3">
      <c r="A67" s="53" t="s">
        <v>167</v>
      </c>
      <c r="B67" s="53">
        <v>77419</v>
      </c>
      <c r="C67" s="53">
        <v>2927408000</v>
      </c>
      <c r="D67" s="54">
        <v>1.8441927986018503</v>
      </c>
      <c r="F67" s="53" t="s">
        <v>167</v>
      </c>
      <c r="G67" s="53">
        <v>77419</v>
      </c>
      <c r="H67" s="53">
        <v>2927408000</v>
      </c>
    </row>
    <row r="68" spans="1:8" x14ac:dyDescent="0.3">
      <c r="A68" s="53" t="s">
        <v>168</v>
      </c>
      <c r="B68" s="53">
        <v>22748</v>
      </c>
      <c r="C68" s="53">
        <v>1329043000</v>
      </c>
      <c r="D68" s="54">
        <v>1.7363462537966596</v>
      </c>
      <c r="F68" s="53" t="s">
        <v>168</v>
      </c>
      <c r="G68" s="53">
        <v>22748</v>
      </c>
      <c r="H68" s="53">
        <v>1329043000</v>
      </c>
    </row>
    <row r="69" spans="1:8" x14ac:dyDescent="0.3">
      <c r="A69" s="53" t="s">
        <v>169</v>
      </c>
      <c r="B69" s="53">
        <v>11669</v>
      </c>
      <c r="C69" s="53">
        <v>960688000</v>
      </c>
      <c r="D69" s="54">
        <v>1.6871644599171547</v>
      </c>
      <c r="F69" s="53" t="s">
        <v>169</v>
      </c>
      <c r="G69" s="53">
        <v>11669</v>
      </c>
      <c r="H69" s="53">
        <v>960688000</v>
      </c>
    </row>
    <row r="70" spans="1:8" x14ac:dyDescent="0.3">
      <c r="A70" s="53" t="s">
        <v>170</v>
      </c>
      <c r="B70" s="53">
        <v>7498</v>
      </c>
      <c r="C70" s="53">
        <v>986960000</v>
      </c>
      <c r="D70" s="54">
        <v>1.6416441015606402</v>
      </c>
      <c r="F70" s="53" t="s">
        <v>170</v>
      </c>
      <c r="G70" s="53">
        <v>7498</v>
      </c>
      <c r="H70" s="53">
        <v>986960000</v>
      </c>
    </row>
    <row r="71" spans="1:8" x14ac:dyDescent="0.3">
      <c r="A71" s="53" t="s">
        <v>171</v>
      </c>
      <c r="B71" s="53">
        <v>1359</v>
      </c>
      <c r="C71" s="53">
        <v>354273000</v>
      </c>
      <c r="D71" s="54">
        <v>1.5832133684401579</v>
      </c>
      <c r="F71" s="53" t="s">
        <v>171</v>
      </c>
      <c r="G71" s="53">
        <v>1359</v>
      </c>
      <c r="H71" s="53">
        <v>354273000</v>
      </c>
    </row>
    <row r="72" spans="1:8" x14ac:dyDescent="0.3">
      <c r="A72" s="53" t="s">
        <v>172</v>
      </c>
      <c r="B72" s="53">
        <v>249</v>
      </c>
      <c r="C72" s="53">
        <v>155143000</v>
      </c>
      <c r="D72" s="54">
        <v>1.557660642570281</v>
      </c>
      <c r="F72" s="53" t="s">
        <v>172</v>
      </c>
      <c r="G72" s="53">
        <v>249</v>
      </c>
      <c r="H72" s="53">
        <v>155143000</v>
      </c>
    </row>
    <row r="73" spans="1:8" x14ac:dyDescent="0.3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3">
      <c r="A74" s="53" t="s">
        <v>151</v>
      </c>
      <c r="B74" s="53">
        <v>54469</v>
      </c>
      <c r="C74" s="53">
        <v>942365000</v>
      </c>
      <c r="D74" s="54">
        <v>2.2110296204717201</v>
      </c>
      <c r="F74" s="53" t="s">
        <v>151</v>
      </c>
      <c r="G74" s="53">
        <v>54469</v>
      </c>
      <c r="H74" s="53">
        <v>942365000</v>
      </c>
    </row>
    <row r="75" spans="1:8" x14ac:dyDescent="0.3">
      <c r="A75" s="53" t="s">
        <v>165</v>
      </c>
      <c r="B75" s="53">
        <v>26718</v>
      </c>
      <c r="C75" s="53">
        <v>596699000</v>
      </c>
      <c r="D75" s="54">
        <v>2.1357545052641629</v>
      </c>
      <c r="F75" s="53" t="s">
        <v>165</v>
      </c>
      <c r="G75" s="53">
        <v>26718</v>
      </c>
      <c r="H75" s="53">
        <v>596699000</v>
      </c>
    </row>
    <row r="76" spans="1:8" x14ac:dyDescent="0.3">
      <c r="A76" s="53" t="s">
        <v>166</v>
      </c>
      <c r="B76" s="53">
        <v>16257</v>
      </c>
      <c r="C76" s="53">
        <v>445429000</v>
      </c>
      <c r="D76" s="54">
        <v>2.0470498082321651</v>
      </c>
      <c r="F76" s="53" t="s">
        <v>166</v>
      </c>
      <c r="G76" s="53">
        <v>16257</v>
      </c>
      <c r="H76" s="53">
        <v>445429000</v>
      </c>
    </row>
    <row r="77" spans="1:8" x14ac:dyDescent="0.3">
      <c r="A77" s="53" t="s">
        <v>167</v>
      </c>
      <c r="B77" s="53">
        <v>29034</v>
      </c>
      <c r="C77" s="53">
        <v>1105634000</v>
      </c>
      <c r="D77" s="54">
        <v>1.9721790213815935</v>
      </c>
      <c r="F77" s="53" t="s">
        <v>167</v>
      </c>
      <c r="G77" s="53">
        <v>29034</v>
      </c>
      <c r="H77" s="53">
        <v>1105634000</v>
      </c>
    </row>
    <row r="78" spans="1:8" x14ac:dyDescent="0.3">
      <c r="A78" s="53" t="s">
        <v>168</v>
      </c>
      <c r="B78" s="53">
        <v>9772</v>
      </c>
      <c r="C78" s="53">
        <v>572129000</v>
      </c>
      <c r="D78" s="54">
        <v>1.8073997371701176</v>
      </c>
      <c r="F78" s="53" t="s">
        <v>168</v>
      </c>
      <c r="G78" s="53">
        <v>9772</v>
      </c>
      <c r="H78" s="53">
        <v>572129000</v>
      </c>
    </row>
    <row r="79" spans="1:8" x14ac:dyDescent="0.3">
      <c r="A79" s="53" t="s">
        <v>169</v>
      </c>
      <c r="B79" s="53">
        <v>5436</v>
      </c>
      <c r="C79" s="53">
        <v>447842000</v>
      </c>
      <c r="D79" s="54">
        <v>1.7360827730447681</v>
      </c>
      <c r="F79" s="53" t="s">
        <v>169</v>
      </c>
      <c r="G79" s="53">
        <v>5436</v>
      </c>
      <c r="H79" s="53">
        <v>447842000</v>
      </c>
    </row>
    <row r="80" spans="1:8" x14ac:dyDescent="0.3">
      <c r="A80" s="53" t="s">
        <v>170</v>
      </c>
      <c r="B80" s="53">
        <v>3795</v>
      </c>
      <c r="C80" s="53">
        <v>499401000</v>
      </c>
      <c r="D80" s="54">
        <v>1.679510758572444</v>
      </c>
      <c r="F80" s="53" t="s">
        <v>170</v>
      </c>
      <c r="G80" s="53">
        <v>3795</v>
      </c>
      <c r="H80" s="53">
        <v>499401000</v>
      </c>
    </row>
    <row r="81" spans="1:8" x14ac:dyDescent="0.3">
      <c r="A81" s="53" t="s">
        <v>171</v>
      </c>
      <c r="B81" s="53">
        <v>662</v>
      </c>
      <c r="C81" s="53">
        <v>173199000</v>
      </c>
      <c r="D81" s="54">
        <v>1.6964261997554992</v>
      </c>
      <c r="F81" s="53" t="s">
        <v>171</v>
      </c>
      <c r="G81" s="53">
        <v>662</v>
      </c>
      <c r="H81" s="53">
        <v>173199000</v>
      </c>
    </row>
    <row r="82" spans="1:8" x14ac:dyDescent="0.3">
      <c r="A82" s="53" t="s">
        <v>172</v>
      </c>
      <c r="B82" s="53">
        <v>147</v>
      </c>
      <c r="C82" s="53">
        <v>101420000</v>
      </c>
      <c r="D82" s="54">
        <v>1.7248299319727891</v>
      </c>
      <c r="F82" s="53" t="s">
        <v>172</v>
      </c>
      <c r="G82" s="53">
        <v>147</v>
      </c>
      <c r="H82" s="53">
        <v>101420000</v>
      </c>
    </row>
    <row r="83" spans="1:8" x14ac:dyDescent="0.3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3">
      <c r="A84" s="53" t="s">
        <v>151</v>
      </c>
      <c r="B84" s="53">
        <v>13658</v>
      </c>
      <c r="C84" s="53">
        <v>246591000</v>
      </c>
      <c r="D84" s="54">
        <v>2.426946505997718</v>
      </c>
      <c r="F84" s="53" t="s">
        <v>151</v>
      </c>
      <c r="G84" s="53">
        <v>13658</v>
      </c>
      <c r="H84" s="53">
        <v>246591000</v>
      </c>
    </row>
    <row r="85" spans="1:8" x14ac:dyDescent="0.3">
      <c r="A85" s="53" t="s">
        <v>165</v>
      </c>
      <c r="B85" s="53">
        <v>10055</v>
      </c>
      <c r="C85" s="53">
        <v>224137000</v>
      </c>
      <c r="D85" s="54">
        <v>2.1946583783519706</v>
      </c>
      <c r="F85" s="53" t="s">
        <v>165</v>
      </c>
      <c r="G85" s="53">
        <v>10055</v>
      </c>
      <c r="H85" s="53">
        <v>224137000</v>
      </c>
    </row>
    <row r="86" spans="1:8" x14ac:dyDescent="0.3">
      <c r="A86" s="53" t="s">
        <v>166</v>
      </c>
      <c r="B86" s="53">
        <v>5574</v>
      </c>
      <c r="C86" s="53">
        <v>152540000</v>
      </c>
      <c r="D86" s="54">
        <v>2.1223495699146815</v>
      </c>
      <c r="F86" s="53" t="s">
        <v>166</v>
      </c>
      <c r="G86" s="53">
        <v>5574</v>
      </c>
      <c r="H86" s="53">
        <v>152540000</v>
      </c>
    </row>
    <row r="87" spans="1:8" x14ac:dyDescent="0.3">
      <c r="A87" s="53" t="s">
        <v>167</v>
      </c>
      <c r="B87" s="53">
        <v>10325</v>
      </c>
      <c r="C87" s="53">
        <v>395091000</v>
      </c>
      <c r="D87" s="54">
        <v>2.0307381255981656</v>
      </c>
      <c r="F87" s="53" t="s">
        <v>167</v>
      </c>
      <c r="G87" s="53">
        <v>10325</v>
      </c>
      <c r="H87" s="53">
        <v>395091000</v>
      </c>
    </row>
    <row r="88" spans="1:8" x14ac:dyDescent="0.3">
      <c r="A88" s="53" t="s">
        <v>168</v>
      </c>
      <c r="B88" s="53">
        <v>3931</v>
      </c>
      <c r="C88" s="53">
        <v>229691000</v>
      </c>
      <c r="D88" s="54">
        <v>1.8046423594057694</v>
      </c>
      <c r="F88" s="53" t="s">
        <v>168</v>
      </c>
      <c r="G88" s="53">
        <v>3931</v>
      </c>
      <c r="H88" s="53">
        <v>229691000</v>
      </c>
    </row>
    <row r="89" spans="1:8" x14ac:dyDescent="0.3">
      <c r="A89" s="53" t="s">
        <v>169</v>
      </c>
      <c r="B89" s="53">
        <v>2231</v>
      </c>
      <c r="C89" s="53">
        <v>184040000</v>
      </c>
      <c r="D89" s="54">
        <v>1.724225635581506</v>
      </c>
      <c r="F89" s="53" t="s">
        <v>169</v>
      </c>
      <c r="G89" s="53">
        <v>2231</v>
      </c>
      <c r="H89" s="53">
        <v>184040000</v>
      </c>
    </row>
    <row r="90" spans="1:8" x14ac:dyDescent="0.3">
      <c r="A90" s="53" t="s">
        <v>170</v>
      </c>
      <c r="B90" s="53">
        <v>1550</v>
      </c>
      <c r="C90" s="53">
        <v>205020000</v>
      </c>
      <c r="D90" s="54">
        <v>1.6583521907718006</v>
      </c>
      <c r="F90" s="53" t="s">
        <v>170</v>
      </c>
      <c r="G90" s="53">
        <v>1550</v>
      </c>
      <c r="H90" s="53">
        <v>205020000</v>
      </c>
    </row>
    <row r="91" spans="1:8" x14ac:dyDescent="0.3">
      <c r="A91" s="53" t="s">
        <v>171</v>
      </c>
      <c r="B91" s="53">
        <v>297</v>
      </c>
      <c r="C91" s="53">
        <v>77503000</v>
      </c>
      <c r="D91" s="54">
        <v>1.5825516636494434</v>
      </c>
      <c r="F91" s="53" t="s">
        <v>171</v>
      </c>
      <c r="G91" s="53">
        <v>297</v>
      </c>
      <c r="H91" s="53">
        <v>77503000</v>
      </c>
    </row>
    <row r="92" spans="1:8" x14ac:dyDescent="0.3">
      <c r="A92" s="53" t="s">
        <v>172</v>
      </c>
      <c r="B92" s="53">
        <v>50</v>
      </c>
      <c r="C92" s="53">
        <v>32381000</v>
      </c>
      <c r="D92" s="54">
        <v>1.6190500000000001</v>
      </c>
      <c r="F92" s="53" t="s">
        <v>172</v>
      </c>
      <c r="G92" s="53">
        <v>50</v>
      </c>
      <c r="H92" s="53">
        <v>32381000</v>
      </c>
    </row>
    <row r="93" spans="1:8" x14ac:dyDescent="0.3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3">
      <c r="A94" s="53" t="s">
        <v>151</v>
      </c>
      <c r="B94" s="53">
        <v>3232</v>
      </c>
      <c r="C94" s="53">
        <v>59411000</v>
      </c>
      <c r="D94" s="54">
        <v>2.6214092394856423</v>
      </c>
      <c r="F94" s="53" t="s">
        <v>151</v>
      </c>
      <c r="G94" s="53">
        <v>3232</v>
      </c>
      <c r="H94" s="53">
        <v>59411000</v>
      </c>
    </row>
    <row r="95" spans="1:8" x14ac:dyDescent="0.3">
      <c r="A95" s="53" t="s">
        <v>165</v>
      </c>
      <c r="B95" s="53">
        <v>4589</v>
      </c>
      <c r="C95" s="53">
        <v>102179000</v>
      </c>
      <c r="D95" s="54">
        <v>2.2163330150205427</v>
      </c>
      <c r="F95" s="53" t="s">
        <v>165</v>
      </c>
      <c r="G95" s="53">
        <v>4589</v>
      </c>
      <c r="H95" s="53">
        <v>102179000</v>
      </c>
    </row>
    <row r="96" spans="1:8" x14ac:dyDescent="0.3">
      <c r="A96" s="53" t="s">
        <v>166</v>
      </c>
      <c r="B96" s="53">
        <v>2082</v>
      </c>
      <c r="C96" s="53">
        <v>56814000</v>
      </c>
      <c r="D96" s="54">
        <v>2.2170631412690529</v>
      </c>
      <c r="F96" s="53" t="s">
        <v>166</v>
      </c>
      <c r="G96" s="53">
        <v>2082</v>
      </c>
      <c r="H96" s="53">
        <v>56814000</v>
      </c>
    </row>
    <row r="97" spans="1:9" x14ac:dyDescent="0.3">
      <c r="A97" s="53" t="s">
        <v>167</v>
      </c>
      <c r="B97" s="53">
        <v>3801</v>
      </c>
      <c r="C97" s="53">
        <v>145882000</v>
      </c>
      <c r="D97" s="54">
        <v>2.1239067530857869</v>
      </c>
      <c r="F97" s="53" t="s">
        <v>167</v>
      </c>
      <c r="G97" s="53">
        <v>3801</v>
      </c>
      <c r="H97" s="53">
        <v>145882000</v>
      </c>
    </row>
    <row r="98" spans="1:9" x14ac:dyDescent="0.3">
      <c r="A98" s="53" t="s">
        <v>168</v>
      </c>
      <c r="B98" s="53">
        <v>1618</v>
      </c>
      <c r="C98" s="53">
        <v>94944000</v>
      </c>
      <c r="D98" s="54">
        <v>1.858320007626681</v>
      </c>
      <c r="F98" s="53" t="s">
        <v>168</v>
      </c>
      <c r="G98" s="53">
        <v>1618</v>
      </c>
      <c r="H98" s="53">
        <v>94944000</v>
      </c>
    </row>
    <row r="99" spans="1:9" x14ac:dyDescent="0.3">
      <c r="A99" s="53" t="s">
        <v>169</v>
      </c>
      <c r="B99" s="53">
        <v>918</v>
      </c>
      <c r="C99" s="53">
        <v>75782000</v>
      </c>
      <c r="D99" s="54">
        <v>1.7924798088395055</v>
      </c>
      <c r="F99" s="53" t="s">
        <v>169</v>
      </c>
      <c r="G99" s="53">
        <v>918</v>
      </c>
      <c r="H99" s="53">
        <v>75782000</v>
      </c>
    </row>
    <row r="100" spans="1:9" x14ac:dyDescent="0.3">
      <c r="A100" s="53" t="s">
        <v>170</v>
      </c>
      <c r="B100" s="53">
        <v>639</v>
      </c>
      <c r="C100" s="53">
        <v>84351000</v>
      </c>
      <c r="D100" s="54">
        <v>1.7537317663421068</v>
      </c>
      <c r="F100" s="53" t="s">
        <v>170</v>
      </c>
      <c r="G100" s="53">
        <v>639</v>
      </c>
      <c r="H100" s="53">
        <v>84351000</v>
      </c>
    </row>
    <row r="101" spans="1:9" x14ac:dyDescent="0.3">
      <c r="A101" s="53" t="s">
        <v>171</v>
      </c>
      <c r="B101" s="53">
        <v>129</v>
      </c>
      <c r="C101" s="53">
        <v>34342000</v>
      </c>
      <c r="D101" s="54">
        <v>1.7802462405161055</v>
      </c>
      <c r="F101" s="53" t="s">
        <v>171</v>
      </c>
      <c r="G101" s="53">
        <v>129</v>
      </c>
      <c r="H101" s="53">
        <v>34342000</v>
      </c>
    </row>
    <row r="102" spans="1:9" x14ac:dyDescent="0.3">
      <c r="A102" s="53" t="s">
        <v>172</v>
      </c>
      <c r="B102" s="53">
        <v>25</v>
      </c>
      <c r="C102" s="53">
        <v>20517000</v>
      </c>
      <c r="D102" s="54">
        <v>2.0516999999999999</v>
      </c>
      <c r="F102" s="53" t="s">
        <v>172</v>
      </c>
      <c r="G102" s="53">
        <v>25</v>
      </c>
      <c r="H102" s="53">
        <v>20517000</v>
      </c>
    </row>
    <row r="103" spans="1:9" x14ac:dyDescent="0.3">
      <c r="A103" s="51" t="s">
        <v>56</v>
      </c>
      <c r="B103" s="51" t="s">
        <v>80</v>
      </c>
      <c r="C103" s="51" t="s">
        <v>81</v>
      </c>
      <c r="D103" s="52" t="s">
        <v>59</v>
      </c>
    </row>
    <row r="104" spans="1:9" x14ac:dyDescent="0.3">
      <c r="A104" s="51"/>
      <c r="B104" s="51"/>
      <c r="C104" s="51"/>
      <c r="D104" s="52"/>
      <c r="F104" s="53" t="s">
        <v>151</v>
      </c>
      <c r="G104" s="2">
        <v>1233.2168228372195</v>
      </c>
      <c r="H104" s="2">
        <v>22669135.105687514</v>
      </c>
    </row>
    <row r="105" spans="1:9" x14ac:dyDescent="0.3">
      <c r="A105" s="53" t="s">
        <v>165</v>
      </c>
      <c r="B105" s="53">
        <v>1751</v>
      </c>
      <c r="C105" s="53">
        <v>39328000</v>
      </c>
      <c r="D105" s="54">
        <v>2.2558872616105674</v>
      </c>
      <c r="F105" s="53" t="s">
        <v>165</v>
      </c>
      <c r="G105" s="55">
        <v>1751</v>
      </c>
      <c r="H105" s="55">
        <v>39328000</v>
      </c>
      <c r="I105" s="54"/>
    </row>
    <row r="106" spans="1:9" x14ac:dyDescent="0.3">
      <c r="A106" s="53" t="s">
        <v>166</v>
      </c>
      <c r="B106" s="53">
        <v>932</v>
      </c>
      <c r="C106" s="53">
        <v>25426000</v>
      </c>
      <c r="D106" s="54">
        <v>2.252163873817961</v>
      </c>
      <c r="F106" s="53" t="s">
        <v>166</v>
      </c>
      <c r="G106" s="55">
        <v>932</v>
      </c>
      <c r="H106" s="55">
        <v>25426000</v>
      </c>
      <c r="I106" s="54"/>
    </row>
    <row r="107" spans="1:9" x14ac:dyDescent="0.3">
      <c r="A107" s="53" t="s">
        <v>167</v>
      </c>
      <c r="B107" s="53">
        <v>1435</v>
      </c>
      <c r="C107" s="53">
        <v>54760000</v>
      </c>
      <c r="D107" s="54">
        <v>2.219795649721056</v>
      </c>
      <c r="F107" s="53" t="s">
        <v>167</v>
      </c>
      <c r="G107" s="55">
        <v>1435</v>
      </c>
      <c r="H107" s="55">
        <v>54760000</v>
      </c>
      <c r="I107" s="54"/>
    </row>
    <row r="108" spans="1:9" x14ac:dyDescent="0.3">
      <c r="A108" s="53" t="s">
        <v>168</v>
      </c>
      <c r="B108" s="53">
        <v>528</v>
      </c>
      <c r="C108" s="53">
        <v>30975000</v>
      </c>
      <c r="D108" s="54">
        <v>2.0091832795314719</v>
      </c>
      <c r="F108" s="53" t="s">
        <v>168</v>
      </c>
      <c r="G108" s="55">
        <v>528</v>
      </c>
      <c r="H108" s="55">
        <v>30975000</v>
      </c>
      <c r="I108" s="54"/>
    </row>
    <row r="109" spans="1:9" x14ac:dyDescent="0.3">
      <c r="A109" s="53" t="s">
        <v>169</v>
      </c>
      <c r="B109" s="53">
        <v>357</v>
      </c>
      <c r="C109" s="53">
        <v>29356000</v>
      </c>
      <c r="D109" s="54">
        <v>1.8963759403804503</v>
      </c>
      <c r="F109" s="53" t="s">
        <v>169</v>
      </c>
      <c r="G109" s="55">
        <v>357</v>
      </c>
      <c r="H109" s="55">
        <v>29356000</v>
      </c>
      <c r="I109" s="54"/>
    </row>
    <row r="110" spans="1:9" x14ac:dyDescent="0.3">
      <c r="A110" s="53" t="s">
        <v>170</v>
      </c>
      <c r="B110" s="53">
        <v>243</v>
      </c>
      <c r="C110" s="53">
        <v>32517000</v>
      </c>
      <c r="D110" s="54">
        <v>1.8760330578512396</v>
      </c>
      <c r="F110" s="53" t="s">
        <v>170</v>
      </c>
      <c r="G110" s="55">
        <v>243</v>
      </c>
      <c r="H110" s="55">
        <v>32517000</v>
      </c>
      <c r="I110" s="54"/>
    </row>
    <row r="111" spans="1:9" x14ac:dyDescent="0.3">
      <c r="A111" s="53" t="s">
        <v>171</v>
      </c>
      <c r="B111" s="53">
        <v>70</v>
      </c>
      <c r="C111" s="53">
        <v>18340000</v>
      </c>
      <c r="D111" s="54">
        <v>1.6919126643574762</v>
      </c>
      <c r="F111" s="53" t="s">
        <v>171</v>
      </c>
      <c r="G111" s="55">
        <v>70</v>
      </c>
      <c r="H111" s="55">
        <v>18340000</v>
      </c>
      <c r="I111" s="54"/>
    </row>
    <row r="112" spans="1:9" x14ac:dyDescent="0.3">
      <c r="A112" s="53" t="s">
        <v>172</v>
      </c>
      <c r="B112" s="53">
        <v>17</v>
      </c>
      <c r="C112" s="53">
        <v>11114000</v>
      </c>
      <c r="D112" s="54">
        <v>1.6344117647058822</v>
      </c>
      <c r="F112" s="53" t="s">
        <v>172</v>
      </c>
      <c r="G112" s="55">
        <v>17</v>
      </c>
      <c r="H112" s="55">
        <v>11114000</v>
      </c>
      <c r="I112" s="54"/>
    </row>
    <row r="113" spans="1:8" x14ac:dyDescent="0.3">
      <c r="A113" s="51" t="s">
        <v>56</v>
      </c>
      <c r="B113" s="51" t="s">
        <v>82</v>
      </c>
      <c r="C113" s="51" t="s">
        <v>83</v>
      </c>
      <c r="D113" s="52" t="s">
        <v>59</v>
      </c>
      <c r="G113" s="2"/>
      <c r="H113" s="2"/>
    </row>
    <row r="114" spans="1:8" x14ac:dyDescent="0.3">
      <c r="A114" s="51"/>
      <c r="B114" s="51"/>
      <c r="C114" s="51"/>
      <c r="D114" s="52"/>
      <c r="F114" s="53" t="s">
        <v>151</v>
      </c>
      <c r="G114" s="2">
        <v>367.64088036609286</v>
      </c>
      <c r="H114" s="2">
        <v>6758017.4329919377</v>
      </c>
    </row>
    <row r="115" spans="1:8" x14ac:dyDescent="0.3">
      <c r="A115" s="53" t="s">
        <v>165</v>
      </c>
      <c r="B115" s="53">
        <v>522</v>
      </c>
      <c r="C115" s="53">
        <v>12136000</v>
      </c>
      <c r="D115" s="54">
        <v>2.2594703647118735</v>
      </c>
      <c r="F115" s="53" t="s">
        <v>165</v>
      </c>
      <c r="G115" s="53">
        <v>522</v>
      </c>
      <c r="H115" s="53">
        <v>12136000</v>
      </c>
    </row>
    <row r="116" spans="1:8" x14ac:dyDescent="0.3">
      <c r="A116" s="53" t="s">
        <v>166</v>
      </c>
      <c r="B116" s="53">
        <v>472</v>
      </c>
      <c r="C116" s="53">
        <v>12826000</v>
      </c>
      <c r="D116" s="54">
        <v>2.1146671591778583</v>
      </c>
      <c r="F116" s="53" t="s">
        <v>166</v>
      </c>
      <c r="G116" s="53">
        <v>472</v>
      </c>
      <c r="H116" s="53">
        <v>12826000</v>
      </c>
    </row>
    <row r="117" spans="1:8" x14ac:dyDescent="0.3">
      <c r="A117" s="53" t="s">
        <v>167</v>
      </c>
      <c r="B117" s="53">
        <v>573</v>
      </c>
      <c r="C117" s="53">
        <v>22041000</v>
      </c>
      <c r="D117" s="54">
        <v>2.154731498729348</v>
      </c>
      <c r="F117" s="53" t="s">
        <v>167</v>
      </c>
      <c r="G117" s="53">
        <v>573</v>
      </c>
      <c r="H117" s="53">
        <v>22041000</v>
      </c>
    </row>
    <row r="118" spans="1:8" x14ac:dyDescent="0.3">
      <c r="A118" s="53" t="s">
        <v>168</v>
      </c>
      <c r="B118" s="53">
        <v>219</v>
      </c>
      <c r="C118" s="53">
        <v>12840000</v>
      </c>
      <c r="D118" s="54">
        <v>1.9436825274182818</v>
      </c>
      <c r="F118" s="53" t="s">
        <v>168</v>
      </c>
      <c r="G118" s="53">
        <v>219</v>
      </c>
      <c r="H118" s="53">
        <v>12840000</v>
      </c>
    </row>
    <row r="119" spans="1:8" x14ac:dyDescent="0.3">
      <c r="A119" s="53" t="s">
        <v>169</v>
      </c>
      <c r="B119" s="53">
        <v>130</v>
      </c>
      <c r="C119" s="53">
        <v>10658000</v>
      </c>
      <c r="D119" s="54">
        <v>1.881226586873572</v>
      </c>
      <c r="F119" s="53" t="s">
        <v>169</v>
      </c>
      <c r="G119" s="53">
        <v>130</v>
      </c>
      <c r="H119" s="53">
        <v>10658000</v>
      </c>
    </row>
    <row r="120" spans="1:8" x14ac:dyDescent="0.3">
      <c r="A120" s="53" t="s">
        <v>170</v>
      </c>
      <c r="B120" s="53">
        <v>83</v>
      </c>
      <c r="C120" s="53">
        <v>11133000</v>
      </c>
      <c r="D120" s="54">
        <v>1.8759688587274794</v>
      </c>
      <c r="F120" s="53" t="s">
        <v>170</v>
      </c>
      <c r="G120" s="53">
        <v>83</v>
      </c>
      <c r="H120" s="53">
        <v>11133000</v>
      </c>
    </row>
    <row r="121" spans="1:8" x14ac:dyDescent="0.3">
      <c r="A121" s="53" t="s">
        <v>171</v>
      </c>
      <c r="B121" s="53">
        <v>28</v>
      </c>
      <c r="C121" s="53">
        <v>7705000</v>
      </c>
      <c r="D121" s="54">
        <v>1.6128299486620326</v>
      </c>
      <c r="F121" s="53" t="s">
        <v>171</v>
      </c>
      <c r="G121" s="53">
        <v>28</v>
      </c>
      <c r="H121" s="53">
        <v>7705000</v>
      </c>
    </row>
    <row r="122" spans="1:8" x14ac:dyDescent="0.3">
      <c r="A122" s="53" t="s">
        <v>172</v>
      </c>
      <c r="B122" s="53">
        <v>5</v>
      </c>
      <c r="C122" s="53">
        <v>2945000</v>
      </c>
      <c r="D122" s="54">
        <v>1.4724999999999999</v>
      </c>
      <c r="F122" s="53" t="s">
        <v>172</v>
      </c>
      <c r="G122" s="53">
        <v>5</v>
      </c>
      <c r="H122" s="53">
        <v>2945000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C1" workbookViewId="0">
      <selection activeCell="O3" sqref="O3:O12"/>
    </sheetView>
  </sheetViews>
  <sheetFormatPr baseColWidth="10" defaultRowHeight="15.6" x14ac:dyDescent="0.3"/>
  <cols>
    <col min="12" max="12" width="12.296875" bestFit="1" customWidth="1"/>
  </cols>
  <sheetData>
    <row r="1" spans="1:15" x14ac:dyDescent="0.3">
      <c r="A1" s="79" t="s">
        <v>232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2900</v>
      </c>
      <c r="M3" t="s">
        <v>7</v>
      </c>
      <c r="N3" t="s">
        <v>8</v>
      </c>
      <c r="O3" t="s">
        <v>14</v>
      </c>
    </row>
    <row r="4" spans="1:15" x14ac:dyDescent="0.3">
      <c r="A4" s="53" t="s">
        <v>151</v>
      </c>
      <c r="B4" s="53">
        <v>205735</v>
      </c>
      <c r="C4" s="53">
        <v>3527496000</v>
      </c>
      <c r="D4" s="54">
        <v>1.5947456243229583</v>
      </c>
      <c r="F4" s="53" t="s">
        <v>151</v>
      </c>
      <c r="G4" s="53">
        <v>205735</v>
      </c>
      <c r="H4" s="53">
        <v>3527496000</v>
      </c>
      <c r="I4" s="2">
        <f>J4/6.55957</f>
        <v>2286.7352585611557</v>
      </c>
      <c r="J4" s="53">
        <v>15000</v>
      </c>
      <c r="K4" s="2">
        <f>G4+G14+G24+G34+G44+G54+G64+G74+G84+G94+G104+G114</f>
        <v>1993380.0607817157</v>
      </c>
      <c r="L4" s="2">
        <f>H4+H14+H24+H34+H44+H54+H64+H74+H84+H94+H104+H114</f>
        <v>34607875580.655853</v>
      </c>
      <c r="M4">
        <f>1-SUM(K4:$K$12)/$K$14</f>
        <v>0.75448035105359912</v>
      </c>
      <c r="N4">
        <f>SUM(L4:$L$12)/(J4*SUM(K4:$K$12))</f>
        <v>1.938462126923433</v>
      </c>
      <c r="O4">
        <f>(G4+G14+G34)/K4</f>
        <v>0.15548665610633913</v>
      </c>
    </row>
    <row r="5" spans="1:15" x14ac:dyDescent="0.3">
      <c r="A5" s="53" t="s">
        <v>165</v>
      </c>
      <c r="B5" s="53">
        <v>113220</v>
      </c>
      <c r="C5" s="53">
        <v>2695162000</v>
      </c>
      <c r="D5" s="54">
        <v>1.620494335919318</v>
      </c>
      <c r="F5" s="53" t="s">
        <v>165</v>
      </c>
      <c r="G5" s="53">
        <v>113220</v>
      </c>
      <c r="H5" s="53">
        <v>2695162000</v>
      </c>
      <c r="I5" s="2">
        <f t="shared" ref="I5:I12" si="0">J5/6.55957</f>
        <v>3048.9803447482077</v>
      </c>
      <c r="J5" s="53">
        <v>20000</v>
      </c>
      <c r="K5" s="2">
        <f t="shared" ref="K5:L11" si="1">G5+G15+G25+G35+G45+G55+G65+G75+G85+G95+G105+G115</f>
        <v>1825604</v>
      </c>
      <c r="L5" s="2">
        <f t="shared" si="1"/>
        <v>44175703000</v>
      </c>
      <c r="M5">
        <f>1-SUM(K5:$K$12)/$K$14</f>
        <v>0.84925396341296855</v>
      </c>
      <c r="N5">
        <f>SUM(L5:$L$12)/(J5*SUM(K5:$K$12))</f>
        <v>1.8221225949741566</v>
      </c>
      <c r="O5">
        <f t="shared" ref="O5:O12" si="2">(G5+G15+G35)/K5</f>
        <v>0.10247348274872316</v>
      </c>
    </row>
    <row r="6" spans="1:15" x14ac:dyDescent="0.3">
      <c r="A6" s="53">
        <v>30100</v>
      </c>
      <c r="B6" s="53">
        <v>28837</v>
      </c>
      <c r="C6" s="53">
        <v>986929000</v>
      </c>
      <c r="D6" s="54">
        <v>1.6838653773362324</v>
      </c>
      <c r="F6" s="53">
        <v>30100</v>
      </c>
      <c r="G6" s="53">
        <v>28837</v>
      </c>
      <c r="H6" s="53">
        <v>986929000</v>
      </c>
      <c r="I6" s="2">
        <f t="shared" si="0"/>
        <v>4573.4705171223113</v>
      </c>
      <c r="J6" s="53">
        <v>30000</v>
      </c>
      <c r="K6" s="2">
        <f t="shared" si="1"/>
        <v>650218</v>
      </c>
      <c r="L6" s="2">
        <f t="shared" si="1"/>
        <v>22320951000</v>
      </c>
      <c r="M6">
        <f>1-SUM(K6:$K$12)/$K$14</f>
        <v>0.93605080121712714</v>
      </c>
      <c r="N6">
        <f>SUM(L6:$L$12)/(J6*SUM(K6:$K$12))</f>
        <v>1.7687257257733553</v>
      </c>
      <c r="O6">
        <f t="shared" si="2"/>
        <v>7.7969234933514611E-2</v>
      </c>
    </row>
    <row r="7" spans="1:15" x14ac:dyDescent="0.3">
      <c r="A7" s="53">
        <v>40100</v>
      </c>
      <c r="B7" s="53">
        <v>10992</v>
      </c>
      <c r="C7" s="53">
        <v>488536000</v>
      </c>
      <c r="D7" s="54">
        <v>1.7197887938911913</v>
      </c>
      <c r="F7" s="53">
        <v>40100</v>
      </c>
      <c r="G7" s="53">
        <v>10992</v>
      </c>
      <c r="H7" s="53">
        <v>488536000</v>
      </c>
      <c r="I7" s="2">
        <f t="shared" si="0"/>
        <v>6097.9606894964154</v>
      </c>
      <c r="J7" s="53">
        <v>40000</v>
      </c>
      <c r="K7" s="2">
        <f t="shared" si="1"/>
        <v>278812</v>
      </c>
      <c r="L7" s="2">
        <f t="shared" si="1"/>
        <v>12395093000</v>
      </c>
      <c r="M7">
        <f>1-SUM(K7:$K$12)/$K$14</f>
        <v>0.96696488021966231</v>
      </c>
      <c r="N7">
        <f>SUM(L7:$L$12)/(J7*SUM(K7:$K$12))</f>
        <v>1.7648086222529251</v>
      </c>
      <c r="O7">
        <f t="shared" si="2"/>
        <v>7.4483881611982272E-2</v>
      </c>
    </row>
    <row r="8" spans="1:15" x14ac:dyDescent="0.3">
      <c r="A8" s="53" t="s">
        <v>168</v>
      </c>
      <c r="B8" s="53">
        <v>8314</v>
      </c>
      <c r="C8" s="53">
        <v>484154000</v>
      </c>
      <c r="D8" s="54">
        <v>1.7357472034228705</v>
      </c>
      <c r="F8" s="53" t="s">
        <v>168</v>
      </c>
      <c r="G8" s="53">
        <v>8314</v>
      </c>
      <c r="H8" s="53">
        <v>484154000</v>
      </c>
      <c r="I8" s="2">
        <f t="shared" si="0"/>
        <v>7622.4508618705195</v>
      </c>
      <c r="J8" s="53">
        <v>50000</v>
      </c>
      <c r="K8" s="2">
        <f t="shared" si="1"/>
        <v>222090</v>
      </c>
      <c r="L8" s="2">
        <f t="shared" si="1"/>
        <v>12941772000</v>
      </c>
      <c r="M8">
        <f>1-SUM(K8:$K$12)/$K$14</f>
        <v>0.98022076700663974</v>
      </c>
      <c r="N8">
        <f>SUM(L8:$L$12)/(J8*SUM(K8:$K$12))</f>
        <v>1.7621634640808812</v>
      </c>
      <c r="O8">
        <f t="shared" si="2"/>
        <v>7.4123103246431621E-2</v>
      </c>
    </row>
    <row r="9" spans="1:15" x14ac:dyDescent="0.3">
      <c r="A9" s="53" t="s">
        <v>169</v>
      </c>
      <c r="B9" s="53">
        <v>3800</v>
      </c>
      <c r="C9" s="53">
        <v>311880000</v>
      </c>
      <c r="D9" s="54">
        <v>1.7520298816047848</v>
      </c>
      <c r="F9" s="53" t="s">
        <v>169</v>
      </c>
      <c r="G9" s="53">
        <v>3800</v>
      </c>
      <c r="H9" s="53">
        <v>311880000</v>
      </c>
      <c r="I9" s="2">
        <f t="shared" si="0"/>
        <v>10671.431206618727</v>
      </c>
      <c r="J9" s="53">
        <v>70000</v>
      </c>
      <c r="K9" s="2">
        <f t="shared" si="1"/>
        <v>108010</v>
      </c>
      <c r="L9" s="2">
        <f t="shared" si="1"/>
        <v>8882485000</v>
      </c>
      <c r="M9">
        <f>1-SUM(K9:$K$12)/$K$14</f>
        <v>0.99077985304497318</v>
      </c>
      <c r="N9">
        <f>SUM(L9:$L$12)/(J9*SUM(K9:$K$12))</f>
        <v>1.7468054417839904</v>
      </c>
      <c r="O9">
        <f t="shared" si="2"/>
        <v>7.3409869456531801E-2</v>
      </c>
    </row>
    <row r="10" spans="1:15" x14ac:dyDescent="0.3">
      <c r="A10" s="53" t="s">
        <v>170</v>
      </c>
      <c r="B10" s="53">
        <v>2270</v>
      </c>
      <c r="C10" s="53">
        <v>298592000</v>
      </c>
      <c r="D10" s="54">
        <v>1.7675648364218794</v>
      </c>
      <c r="F10" s="53" t="s">
        <v>170</v>
      </c>
      <c r="G10" s="53">
        <v>2270</v>
      </c>
      <c r="H10" s="53">
        <v>298592000</v>
      </c>
      <c r="I10" s="2">
        <f t="shared" si="0"/>
        <v>15244.901723741039</v>
      </c>
      <c r="J10" s="53">
        <v>100000</v>
      </c>
      <c r="K10" s="2">
        <f t="shared" si="1"/>
        <v>69547</v>
      </c>
      <c r="L10" s="2">
        <f t="shared" si="1"/>
        <v>9192805000</v>
      </c>
      <c r="M10">
        <f>1-SUM(K10:$K$12)/$K$14</f>
        <v>0.9959150994901097</v>
      </c>
      <c r="N10">
        <f>SUM(L10:$L$12)/(J10*SUM(K10:$K$12))</f>
        <v>1.7261026792988663</v>
      </c>
      <c r="O10">
        <f t="shared" si="2"/>
        <v>7.3763066703092878E-2</v>
      </c>
    </row>
    <row r="11" spans="1:15" x14ac:dyDescent="0.3">
      <c r="A11" s="53" t="s">
        <v>171</v>
      </c>
      <c r="B11" s="53">
        <v>477</v>
      </c>
      <c r="C11" s="53">
        <v>124593000</v>
      </c>
      <c r="D11" s="54">
        <v>1.7555858280673537</v>
      </c>
      <c r="F11" s="53" t="s">
        <v>171</v>
      </c>
      <c r="G11" s="53">
        <v>477</v>
      </c>
      <c r="H11" s="53">
        <v>124593000</v>
      </c>
      <c r="I11" s="2">
        <f t="shared" si="0"/>
        <v>30489.803447482078</v>
      </c>
      <c r="J11" s="53">
        <v>200000</v>
      </c>
      <c r="K11" s="2">
        <f t="shared" si="1"/>
        <v>13350</v>
      </c>
      <c r="L11" s="2">
        <f t="shared" si="1"/>
        <v>3496519000</v>
      </c>
      <c r="M11">
        <f>1-SUM(K11:$K$12)/$K$14</f>
        <v>0.99922165429540477</v>
      </c>
      <c r="N11">
        <f>SUM(L11:$L$12)/(J11*SUM(K11:$K$12))</f>
        <v>1.7218019668926761</v>
      </c>
      <c r="O11">
        <f t="shared" si="2"/>
        <v>8.2846441947565547E-2</v>
      </c>
    </row>
    <row r="12" spans="1:15" x14ac:dyDescent="0.3">
      <c r="A12" s="53" t="s">
        <v>172</v>
      </c>
      <c r="B12" s="53">
        <v>114</v>
      </c>
      <c r="C12" s="53">
        <v>83021000</v>
      </c>
      <c r="D12" s="54">
        <v>1.8206359649122805</v>
      </c>
      <c r="F12" s="53" t="s">
        <v>172</v>
      </c>
      <c r="G12" s="53">
        <v>114</v>
      </c>
      <c r="H12" s="53">
        <v>83021000</v>
      </c>
      <c r="I12" s="2">
        <f t="shared" si="0"/>
        <v>60979.606894964156</v>
      </c>
      <c r="J12" s="53">
        <v>400000</v>
      </c>
      <c r="K12" s="2">
        <f>G12+G22+G32+G42+G52+G62+G72+G82+G92+G102+G112+G122</f>
        <v>3021</v>
      </c>
      <c r="L12" s="2">
        <f>H12+H22+H32+H42+H52+H62+H72+H82+H92+H102+H112+H122</f>
        <v>2141005000</v>
      </c>
      <c r="M12">
        <f>1-SUM(K12:$K$12)/$K$14</f>
        <v>0.99985636904443331</v>
      </c>
      <c r="N12">
        <f>SUM(L12:$L$12)/(J12*SUM(K12:$K$12))</f>
        <v>1.7717684541542535</v>
      </c>
      <c r="O12">
        <f t="shared" si="2"/>
        <v>0.12082092022509103</v>
      </c>
    </row>
    <row r="13" spans="1:15" x14ac:dyDescent="0.3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3">
      <c r="A14" s="53" t="s">
        <v>151</v>
      </c>
      <c r="B14" s="53">
        <v>87311</v>
      </c>
      <c r="C14" s="53">
        <v>1507409000</v>
      </c>
      <c r="D14" s="54">
        <v>1.893934559059665</v>
      </c>
      <c r="F14" s="53" t="s">
        <v>151</v>
      </c>
      <c r="G14" s="53">
        <v>87311</v>
      </c>
      <c r="H14" s="53">
        <v>1507409000</v>
      </c>
      <c r="K14" s="5">
        <v>21033070.399628457</v>
      </c>
    </row>
    <row r="15" spans="1:15" x14ac:dyDescent="0.3">
      <c r="A15" s="53" t="s">
        <v>165</v>
      </c>
      <c r="B15" s="53">
        <v>64387</v>
      </c>
      <c r="C15" s="53">
        <v>1538724000</v>
      </c>
      <c r="D15" s="54">
        <v>1.8818215224806467</v>
      </c>
      <c r="F15" s="53" t="s">
        <v>165</v>
      </c>
      <c r="G15" s="53">
        <v>64387</v>
      </c>
      <c r="H15" s="53">
        <v>1538724000</v>
      </c>
    </row>
    <row r="16" spans="1:15" x14ac:dyDescent="0.3">
      <c r="A16" s="53">
        <v>30100</v>
      </c>
      <c r="B16" s="53">
        <v>19388</v>
      </c>
      <c r="C16" s="53">
        <v>666033000</v>
      </c>
      <c r="D16" s="54">
        <v>1.9515798188122158</v>
      </c>
      <c r="F16" s="53">
        <v>30100</v>
      </c>
      <c r="G16" s="53">
        <v>19388</v>
      </c>
      <c r="H16" s="53">
        <v>666033000</v>
      </c>
    </row>
    <row r="17" spans="1:8" x14ac:dyDescent="0.3">
      <c r="A17" s="53">
        <v>40100</v>
      </c>
      <c r="B17" s="53">
        <v>8783</v>
      </c>
      <c r="C17" s="53">
        <v>391068000</v>
      </c>
      <c r="D17" s="54">
        <v>1.9671465316435475</v>
      </c>
      <c r="F17" s="53">
        <v>40100</v>
      </c>
      <c r="G17" s="53">
        <v>8783</v>
      </c>
      <c r="H17" s="53">
        <v>391068000</v>
      </c>
    </row>
    <row r="18" spans="1:8" x14ac:dyDescent="0.3">
      <c r="A18" s="53" t="s">
        <v>168</v>
      </c>
      <c r="B18" s="53">
        <v>7410</v>
      </c>
      <c r="C18" s="53">
        <v>432236000</v>
      </c>
      <c r="D18" s="54">
        <v>1.9843492112128491</v>
      </c>
      <c r="F18" s="53" t="s">
        <v>168</v>
      </c>
      <c r="G18" s="53">
        <v>7410</v>
      </c>
      <c r="H18" s="53">
        <v>432236000</v>
      </c>
    </row>
    <row r="19" spans="1:8" x14ac:dyDescent="0.3">
      <c r="A19" s="53" t="s">
        <v>169</v>
      </c>
      <c r="B19" s="53">
        <v>3805</v>
      </c>
      <c r="C19" s="53">
        <v>313429000</v>
      </c>
      <c r="D19" s="54">
        <v>2.0142590699220713</v>
      </c>
      <c r="F19" s="53" t="s">
        <v>169</v>
      </c>
      <c r="G19" s="53">
        <v>3805</v>
      </c>
      <c r="H19" s="53">
        <v>313429000</v>
      </c>
    </row>
    <row r="20" spans="1:8" x14ac:dyDescent="0.3">
      <c r="A20" s="53" t="s">
        <v>170</v>
      </c>
      <c r="B20" s="53">
        <v>2642</v>
      </c>
      <c r="C20" s="53">
        <v>351889000</v>
      </c>
      <c r="D20" s="54">
        <v>2.0529628372202344</v>
      </c>
      <c r="F20" s="53" t="s">
        <v>170</v>
      </c>
      <c r="G20" s="53">
        <v>2642</v>
      </c>
      <c r="H20" s="53">
        <v>351889000</v>
      </c>
    </row>
    <row r="21" spans="1:8" x14ac:dyDescent="0.3">
      <c r="A21" s="53" t="s">
        <v>171</v>
      </c>
      <c r="B21" s="53">
        <v>603</v>
      </c>
      <c r="C21" s="53">
        <v>161487000</v>
      </c>
      <c r="D21" s="54">
        <v>2.1649604280100712</v>
      </c>
      <c r="F21" s="53" t="s">
        <v>171</v>
      </c>
      <c r="G21" s="53">
        <v>603</v>
      </c>
      <c r="H21" s="53">
        <v>161487000</v>
      </c>
    </row>
    <row r="22" spans="1:8" x14ac:dyDescent="0.3">
      <c r="A22" s="53" t="s">
        <v>172</v>
      </c>
      <c r="B22" s="53">
        <v>236</v>
      </c>
      <c r="C22" s="53">
        <v>201975000</v>
      </c>
      <c r="D22" s="54">
        <v>2.1395656779661016</v>
      </c>
      <c r="F22" s="53" t="s">
        <v>172</v>
      </c>
      <c r="G22" s="53">
        <v>236</v>
      </c>
      <c r="H22" s="53">
        <v>201975000</v>
      </c>
    </row>
    <row r="23" spans="1:8" x14ac:dyDescent="0.3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3">
      <c r="A24" s="53" t="s">
        <v>151</v>
      </c>
      <c r="B24" s="53">
        <v>627821</v>
      </c>
      <c r="C24" s="53">
        <v>10897006000</v>
      </c>
      <c r="D24" s="54">
        <v>1.8922493353148864</v>
      </c>
      <c r="F24" s="53" t="s">
        <v>151</v>
      </c>
      <c r="G24" s="53">
        <v>627821</v>
      </c>
      <c r="H24" s="53">
        <v>10897006000</v>
      </c>
    </row>
    <row r="25" spans="1:8" x14ac:dyDescent="0.3">
      <c r="A25" s="53" t="s">
        <v>165</v>
      </c>
      <c r="B25" s="53">
        <v>578591</v>
      </c>
      <c r="C25" s="53">
        <v>13991757000</v>
      </c>
      <c r="D25" s="54">
        <v>1.7813691062851094</v>
      </c>
      <c r="F25" s="53" t="s">
        <v>165</v>
      </c>
      <c r="G25" s="53">
        <v>578591</v>
      </c>
      <c r="H25" s="53">
        <v>13991757000</v>
      </c>
    </row>
    <row r="26" spans="1:8" x14ac:dyDescent="0.3">
      <c r="A26" s="53">
        <v>30100</v>
      </c>
      <c r="B26" s="53">
        <v>197755</v>
      </c>
      <c r="C26" s="53">
        <v>6781229000</v>
      </c>
      <c r="D26" s="54">
        <v>1.7551466900859749</v>
      </c>
      <c r="F26" s="53">
        <v>30100</v>
      </c>
      <c r="G26" s="53">
        <v>197755</v>
      </c>
      <c r="H26" s="53">
        <v>6781229000</v>
      </c>
    </row>
    <row r="27" spans="1:8" x14ac:dyDescent="0.3">
      <c r="A27" s="53">
        <v>40100</v>
      </c>
      <c r="B27" s="53">
        <v>81130</v>
      </c>
      <c r="C27" s="53">
        <v>3603775000</v>
      </c>
      <c r="D27" s="54">
        <v>1.7809158174793063</v>
      </c>
      <c r="F27" s="53">
        <v>40100</v>
      </c>
      <c r="G27" s="53">
        <v>81130</v>
      </c>
      <c r="H27" s="53">
        <v>3603775000</v>
      </c>
    </row>
    <row r="28" spans="1:8" x14ac:dyDescent="0.3">
      <c r="A28" s="53" t="s">
        <v>168</v>
      </c>
      <c r="B28" s="53">
        <v>62024</v>
      </c>
      <c r="C28" s="53">
        <v>3611224000</v>
      </c>
      <c r="D28" s="54">
        <v>1.8018523124585024</v>
      </c>
      <c r="F28" s="53" t="s">
        <v>168</v>
      </c>
      <c r="G28" s="53">
        <v>62024</v>
      </c>
      <c r="H28" s="53">
        <v>3611224000</v>
      </c>
    </row>
    <row r="29" spans="1:8" x14ac:dyDescent="0.3">
      <c r="A29" s="53" t="s">
        <v>169</v>
      </c>
      <c r="B29" s="53">
        <v>29561</v>
      </c>
      <c r="C29" s="53">
        <v>2429468000</v>
      </c>
      <c r="D29" s="54">
        <v>1.8118225336618887</v>
      </c>
      <c r="F29" s="53" t="s">
        <v>169</v>
      </c>
      <c r="G29" s="53">
        <v>29561</v>
      </c>
      <c r="H29" s="53">
        <v>2429468000</v>
      </c>
    </row>
    <row r="30" spans="1:8" x14ac:dyDescent="0.3">
      <c r="A30" s="53" t="s">
        <v>170</v>
      </c>
      <c r="B30" s="53">
        <v>19347</v>
      </c>
      <c r="C30" s="53">
        <v>2563849000</v>
      </c>
      <c r="D30" s="54">
        <v>1.8079879470454192</v>
      </c>
      <c r="F30" s="53" t="s">
        <v>170</v>
      </c>
      <c r="G30" s="53">
        <v>19347</v>
      </c>
      <c r="H30" s="53">
        <v>2563849000</v>
      </c>
    </row>
    <row r="31" spans="1:8" x14ac:dyDescent="0.3">
      <c r="A31" s="53" t="s">
        <v>171</v>
      </c>
      <c r="B31" s="53">
        <v>4123</v>
      </c>
      <c r="C31" s="53">
        <v>1089627000</v>
      </c>
      <c r="D31" s="54">
        <v>1.8048057062936631</v>
      </c>
      <c r="F31" s="53" t="s">
        <v>171</v>
      </c>
      <c r="G31" s="53">
        <v>4123</v>
      </c>
      <c r="H31" s="53">
        <v>1089627000</v>
      </c>
    </row>
    <row r="32" spans="1:8" x14ac:dyDescent="0.3">
      <c r="A32" s="53" t="s">
        <v>172</v>
      </c>
      <c r="B32" s="53">
        <v>1081</v>
      </c>
      <c r="C32" s="53">
        <v>789754000</v>
      </c>
      <c r="D32" s="54">
        <v>1.8264431082331174</v>
      </c>
      <c r="F32" s="53" t="s">
        <v>172</v>
      </c>
      <c r="G32" s="53">
        <v>1081</v>
      </c>
      <c r="H32" s="53">
        <v>789754000</v>
      </c>
    </row>
    <row r="33" spans="1:8" x14ac:dyDescent="0.3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3">
      <c r="A34" s="53" t="s">
        <v>151</v>
      </c>
      <c r="B34" s="53">
        <v>16898</v>
      </c>
      <c r="C34" s="53">
        <v>290555000</v>
      </c>
      <c r="D34" s="54">
        <v>1.6156181015452538</v>
      </c>
      <c r="F34" s="53" t="s">
        <v>151</v>
      </c>
      <c r="G34" s="53">
        <v>16898</v>
      </c>
      <c r="H34" s="53">
        <v>290555000</v>
      </c>
    </row>
    <row r="35" spans="1:8" x14ac:dyDescent="0.3">
      <c r="A35" s="53" t="s">
        <v>165</v>
      </c>
      <c r="B35" s="53">
        <v>9469</v>
      </c>
      <c r="C35" s="53">
        <v>226014000</v>
      </c>
      <c r="D35" s="54">
        <v>1.6384473032619979</v>
      </c>
      <c r="F35" s="53" t="s">
        <v>165</v>
      </c>
      <c r="G35" s="53">
        <v>9469</v>
      </c>
      <c r="H35" s="53">
        <v>226014000</v>
      </c>
    </row>
    <row r="36" spans="1:8" x14ac:dyDescent="0.3">
      <c r="A36" s="53">
        <v>30100</v>
      </c>
      <c r="B36" s="53">
        <v>2472</v>
      </c>
      <c r="C36" s="53">
        <v>84576000</v>
      </c>
      <c r="D36" s="54">
        <v>1.6900127405339915</v>
      </c>
      <c r="F36" s="53">
        <v>30100</v>
      </c>
      <c r="G36" s="53">
        <v>2472</v>
      </c>
      <c r="H36" s="53">
        <v>84576000</v>
      </c>
    </row>
    <row r="37" spans="1:8" x14ac:dyDescent="0.3">
      <c r="A37" s="53">
        <v>40100</v>
      </c>
      <c r="B37" s="53">
        <v>992</v>
      </c>
      <c r="C37" s="53">
        <v>44059000</v>
      </c>
      <c r="D37" s="54">
        <v>1.712471954570987</v>
      </c>
      <c r="F37" s="53">
        <v>40100</v>
      </c>
      <c r="G37" s="53">
        <v>992</v>
      </c>
      <c r="H37" s="53">
        <v>44059000</v>
      </c>
    </row>
    <row r="38" spans="1:8" x14ac:dyDescent="0.3">
      <c r="A38" s="53" t="s">
        <v>168</v>
      </c>
      <c r="B38" s="53">
        <v>738</v>
      </c>
      <c r="C38" s="53">
        <v>42923000</v>
      </c>
      <c r="D38" s="54">
        <v>1.7342302525909574</v>
      </c>
      <c r="F38" s="53" t="s">
        <v>168</v>
      </c>
      <c r="G38" s="53">
        <v>738</v>
      </c>
      <c r="H38" s="53">
        <v>42923000</v>
      </c>
    </row>
    <row r="39" spans="1:8" x14ac:dyDescent="0.3">
      <c r="A39" s="53" t="s">
        <v>169</v>
      </c>
      <c r="B39" s="53">
        <v>324</v>
      </c>
      <c r="C39" s="53">
        <v>26503000</v>
      </c>
      <c r="D39" s="54">
        <v>1.7581352784431943</v>
      </c>
      <c r="F39" s="53" t="s">
        <v>169</v>
      </c>
      <c r="G39" s="53">
        <v>324</v>
      </c>
      <c r="H39" s="53">
        <v>26503000</v>
      </c>
    </row>
    <row r="40" spans="1:8" x14ac:dyDescent="0.3">
      <c r="A40" s="53" t="s">
        <v>170</v>
      </c>
      <c r="B40" s="53">
        <v>218</v>
      </c>
      <c r="C40" s="53">
        <v>28525000</v>
      </c>
      <c r="D40" s="54">
        <v>1.7491774634631776</v>
      </c>
      <c r="F40" s="53" t="s">
        <v>170</v>
      </c>
      <c r="G40" s="53">
        <v>218</v>
      </c>
      <c r="H40" s="53">
        <v>28525000</v>
      </c>
    </row>
    <row r="41" spans="1:8" x14ac:dyDescent="0.3">
      <c r="A41" s="53" t="s">
        <v>171</v>
      </c>
      <c r="B41" s="53">
        <v>26</v>
      </c>
      <c r="C41" s="53">
        <v>6673000</v>
      </c>
      <c r="D41" s="54">
        <v>2.0506819760851283</v>
      </c>
      <c r="F41" s="53" t="s">
        <v>171</v>
      </c>
      <c r="G41" s="53">
        <v>26</v>
      </c>
      <c r="H41" s="53">
        <v>6673000</v>
      </c>
    </row>
    <row r="42" spans="1:8" x14ac:dyDescent="0.3">
      <c r="A42" s="53" t="s">
        <v>172</v>
      </c>
      <c r="B42" s="53">
        <v>15</v>
      </c>
      <c r="C42" s="53">
        <v>10151000</v>
      </c>
      <c r="D42" s="54">
        <v>1.6918333333333335</v>
      </c>
      <c r="F42" s="53" t="s">
        <v>172</v>
      </c>
      <c r="G42" s="53">
        <v>15</v>
      </c>
      <c r="H42" s="53">
        <v>10151000</v>
      </c>
    </row>
    <row r="43" spans="1:8" x14ac:dyDescent="0.3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3">
      <c r="A44" s="53" t="s">
        <v>151</v>
      </c>
      <c r="B44" s="53">
        <v>473982</v>
      </c>
      <c r="C44" s="53">
        <v>8259409000</v>
      </c>
      <c r="D44" s="54">
        <v>1.8462986471229093</v>
      </c>
      <c r="F44" s="53" t="s">
        <v>151</v>
      </c>
      <c r="G44" s="53">
        <v>473982</v>
      </c>
      <c r="H44" s="53">
        <v>8259409000</v>
      </c>
    </row>
    <row r="45" spans="1:8" x14ac:dyDescent="0.3">
      <c r="A45" s="53" t="s">
        <v>165</v>
      </c>
      <c r="B45" s="53">
        <v>486827</v>
      </c>
      <c r="C45" s="53">
        <v>11789916000</v>
      </c>
      <c r="D45" s="54">
        <v>1.6954959258839435</v>
      </c>
      <c r="F45" s="53" t="s">
        <v>165</v>
      </c>
      <c r="G45" s="53">
        <v>486827</v>
      </c>
      <c r="H45" s="53">
        <v>11789916000</v>
      </c>
    </row>
    <row r="46" spans="1:8" x14ac:dyDescent="0.3">
      <c r="A46" s="53">
        <v>30100</v>
      </c>
      <c r="B46" s="53">
        <v>166274</v>
      </c>
      <c r="C46" s="53">
        <v>5693632000</v>
      </c>
      <c r="D46" s="54">
        <v>1.6429515383962181</v>
      </c>
      <c r="F46" s="53">
        <v>30100</v>
      </c>
      <c r="G46" s="53">
        <v>166274</v>
      </c>
      <c r="H46" s="53">
        <v>5693632000</v>
      </c>
    </row>
    <row r="47" spans="1:8" x14ac:dyDescent="0.3">
      <c r="A47" s="53">
        <v>40100</v>
      </c>
      <c r="B47" s="53">
        <v>64441</v>
      </c>
      <c r="C47" s="53">
        <v>2860673000</v>
      </c>
      <c r="D47" s="54">
        <v>1.6651857876881366</v>
      </c>
      <c r="F47" s="53">
        <v>40100</v>
      </c>
      <c r="G47" s="53">
        <v>64441</v>
      </c>
      <c r="H47" s="53">
        <v>2860673000</v>
      </c>
    </row>
    <row r="48" spans="1:8" x14ac:dyDescent="0.3">
      <c r="A48" s="53" t="s">
        <v>168</v>
      </c>
      <c r="B48" s="53">
        <v>46013</v>
      </c>
      <c r="C48" s="53">
        <v>2671140000</v>
      </c>
      <c r="D48" s="54">
        <v>1.6857398466359383</v>
      </c>
      <c r="F48" s="53" t="s">
        <v>168</v>
      </c>
      <c r="G48" s="53">
        <v>46013</v>
      </c>
      <c r="H48" s="53">
        <v>2671140000</v>
      </c>
    </row>
    <row r="49" spans="1:8" x14ac:dyDescent="0.3">
      <c r="A49" s="53" t="s">
        <v>169</v>
      </c>
      <c r="B49" s="53">
        <v>20364</v>
      </c>
      <c r="C49" s="53">
        <v>1672969000</v>
      </c>
      <c r="D49" s="54">
        <v>1.6921921942402836</v>
      </c>
      <c r="F49" s="53" t="s">
        <v>169</v>
      </c>
      <c r="G49" s="53">
        <v>20364</v>
      </c>
      <c r="H49" s="53">
        <v>1672969000</v>
      </c>
    </row>
    <row r="50" spans="1:8" x14ac:dyDescent="0.3">
      <c r="A50" s="53" t="s">
        <v>170</v>
      </c>
      <c r="B50" s="53">
        <v>12561</v>
      </c>
      <c r="C50" s="53">
        <v>1658362000</v>
      </c>
      <c r="D50" s="54">
        <v>1.6733404807644641</v>
      </c>
      <c r="F50" s="53" t="s">
        <v>170</v>
      </c>
      <c r="G50" s="53">
        <v>12561</v>
      </c>
      <c r="H50" s="53">
        <v>1658362000</v>
      </c>
    </row>
    <row r="51" spans="1:8" x14ac:dyDescent="0.3">
      <c r="A51" s="53" t="s">
        <v>171</v>
      </c>
      <c r="B51" s="53">
        <v>2172</v>
      </c>
      <c r="C51" s="53">
        <v>567024000</v>
      </c>
      <c r="D51" s="54">
        <v>1.6828919380036529</v>
      </c>
      <c r="F51" s="53" t="s">
        <v>171</v>
      </c>
      <c r="G51" s="53">
        <v>2172</v>
      </c>
      <c r="H51" s="53">
        <v>567024000</v>
      </c>
    </row>
    <row r="52" spans="1:8" x14ac:dyDescent="0.3">
      <c r="A52" s="53" t="s">
        <v>172</v>
      </c>
      <c r="B52" s="53">
        <v>461</v>
      </c>
      <c r="C52" s="53">
        <v>319630000</v>
      </c>
      <c r="D52" s="54">
        <v>1.7333514099783081</v>
      </c>
      <c r="F52" s="53" t="s">
        <v>172</v>
      </c>
      <c r="G52" s="53">
        <v>461</v>
      </c>
      <c r="H52" s="53">
        <v>319630000</v>
      </c>
    </row>
    <row r="53" spans="1:8" x14ac:dyDescent="0.3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3">
      <c r="A54" s="53" t="s">
        <v>151</v>
      </c>
      <c r="B54" s="53">
        <v>347423</v>
      </c>
      <c r="C54" s="53">
        <v>6034817000</v>
      </c>
      <c r="D54" s="54">
        <v>2.0112142416346837</v>
      </c>
      <c r="F54" s="53" t="s">
        <v>151</v>
      </c>
      <c r="G54" s="53">
        <v>347423</v>
      </c>
      <c r="H54" s="53">
        <v>6034817000</v>
      </c>
    </row>
    <row r="55" spans="1:8" x14ac:dyDescent="0.3">
      <c r="A55" s="53" t="s">
        <v>165</v>
      </c>
      <c r="B55" s="53">
        <v>353037</v>
      </c>
      <c r="C55" s="53">
        <v>8596535000</v>
      </c>
      <c r="D55" s="54">
        <v>1.8546090746969417</v>
      </c>
      <c r="F55" s="53" t="s">
        <v>165</v>
      </c>
      <c r="G55" s="53">
        <v>353037</v>
      </c>
      <c r="H55" s="53">
        <v>8596535000</v>
      </c>
    </row>
    <row r="56" spans="1:8" x14ac:dyDescent="0.3">
      <c r="A56" s="53">
        <v>30100</v>
      </c>
      <c r="B56" s="53">
        <v>143050</v>
      </c>
      <c r="C56" s="53">
        <v>4919836000</v>
      </c>
      <c r="D56" s="54">
        <v>1.7427000145929441</v>
      </c>
      <c r="F56" s="53">
        <v>30100</v>
      </c>
      <c r="G56" s="53">
        <v>143050</v>
      </c>
      <c r="H56" s="53">
        <v>4919836000</v>
      </c>
    </row>
    <row r="57" spans="1:8" x14ac:dyDescent="0.3">
      <c r="A57" s="53">
        <v>40100</v>
      </c>
      <c r="B57" s="53">
        <v>63493</v>
      </c>
      <c r="C57" s="53">
        <v>2821770000</v>
      </c>
      <c r="D57" s="54">
        <v>1.7168511298539613</v>
      </c>
      <c r="F57" s="53">
        <v>40100</v>
      </c>
      <c r="G57" s="53">
        <v>63493</v>
      </c>
      <c r="H57" s="53">
        <v>2821770000</v>
      </c>
    </row>
    <row r="58" spans="1:8" x14ac:dyDescent="0.3">
      <c r="A58" s="53" t="s">
        <v>168</v>
      </c>
      <c r="B58" s="53">
        <v>51010</v>
      </c>
      <c r="C58" s="53">
        <v>2972725000</v>
      </c>
      <c r="D58" s="54">
        <v>1.7026442266974766</v>
      </c>
      <c r="F58" s="53" t="s">
        <v>168</v>
      </c>
      <c r="G58" s="53">
        <v>51010</v>
      </c>
      <c r="H58" s="53">
        <v>2972725000</v>
      </c>
    </row>
    <row r="59" spans="1:8" x14ac:dyDescent="0.3">
      <c r="A59" s="53" t="s">
        <v>169</v>
      </c>
      <c r="B59" s="53">
        <v>24821</v>
      </c>
      <c r="C59" s="53">
        <v>2041661000</v>
      </c>
      <c r="D59" s="54">
        <v>1.6726906568849116</v>
      </c>
      <c r="F59" s="53" t="s">
        <v>169</v>
      </c>
      <c r="G59" s="53">
        <v>24821</v>
      </c>
      <c r="H59" s="53">
        <v>2041661000</v>
      </c>
    </row>
    <row r="60" spans="1:8" x14ac:dyDescent="0.3">
      <c r="A60" s="53" t="s">
        <v>170</v>
      </c>
      <c r="B60" s="53">
        <v>15219</v>
      </c>
      <c r="C60" s="53">
        <v>2003456000</v>
      </c>
      <c r="D60" s="54">
        <v>1.6450627202728503</v>
      </c>
      <c r="F60" s="53" t="s">
        <v>170</v>
      </c>
      <c r="G60" s="53">
        <v>15219</v>
      </c>
      <c r="H60" s="53">
        <v>2003456000</v>
      </c>
    </row>
    <row r="61" spans="1:8" x14ac:dyDescent="0.3">
      <c r="A61" s="53" t="s">
        <v>171</v>
      </c>
      <c r="B61" s="53">
        <v>2612</v>
      </c>
      <c r="C61" s="53">
        <v>677640000</v>
      </c>
      <c r="D61" s="54">
        <v>1.6325095589491752</v>
      </c>
      <c r="F61" s="53" t="s">
        <v>171</v>
      </c>
      <c r="G61" s="53">
        <v>2612</v>
      </c>
      <c r="H61" s="53">
        <v>677640000</v>
      </c>
    </row>
    <row r="62" spans="1:8" x14ac:dyDescent="0.3">
      <c r="A62" s="53" t="s">
        <v>172</v>
      </c>
      <c r="B62" s="53">
        <v>491</v>
      </c>
      <c r="C62" s="53">
        <v>336002000</v>
      </c>
      <c r="D62" s="54">
        <v>1.7108044806517311</v>
      </c>
      <c r="F62" s="53" t="s">
        <v>172</v>
      </c>
      <c r="G62" s="53">
        <v>491</v>
      </c>
      <c r="H62" s="53">
        <v>336002000</v>
      </c>
    </row>
    <row r="63" spans="1:8" x14ac:dyDescent="0.3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3">
      <c r="A64" s="53" t="s">
        <v>151</v>
      </c>
      <c r="B64" s="53">
        <v>162267</v>
      </c>
      <c r="C64" s="53">
        <v>2805758000</v>
      </c>
      <c r="D64" s="54">
        <v>2.1365156788402984</v>
      </c>
      <c r="F64" s="53" t="s">
        <v>151</v>
      </c>
      <c r="G64" s="53">
        <v>162267</v>
      </c>
      <c r="H64" s="53">
        <v>2805758000</v>
      </c>
    </row>
    <row r="65" spans="1:8" x14ac:dyDescent="0.3">
      <c r="A65" s="53" t="s">
        <v>165</v>
      </c>
      <c r="B65" s="53">
        <v>141077</v>
      </c>
      <c r="C65" s="53">
        <v>3429268000</v>
      </c>
      <c r="D65" s="54">
        <v>2.0253008263824563</v>
      </c>
      <c r="F65" s="53" t="s">
        <v>165</v>
      </c>
      <c r="G65" s="53">
        <v>141077</v>
      </c>
      <c r="H65" s="53">
        <v>3429268000</v>
      </c>
    </row>
    <row r="66" spans="1:8" x14ac:dyDescent="0.3">
      <c r="A66" s="53">
        <v>30100</v>
      </c>
      <c r="B66" s="53">
        <v>60689</v>
      </c>
      <c r="C66" s="53">
        <v>2092464000</v>
      </c>
      <c r="D66" s="54">
        <v>1.8771534027229875</v>
      </c>
      <c r="F66" s="53">
        <v>30100</v>
      </c>
      <c r="G66" s="53">
        <v>60689</v>
      </c>
      <c r="H66" s="53">
        <v>2092464000</v>
      </c>
    </row>
    <row r="67" spans="1:8" x14ac:dyDescent="0.3">
      <c r="A67" s="53">
        <v>40100</v>
      </c>
      <c r="B67" s="53">
        <v>31276</v>
      </c>
      <c r="C67" s="53">
        <v>1393881000</v>
      </c>
      <c r="D67" s="54">
        <v>1.7974725812202972</v>
      </c>
      <c r="F67" s="53">
        <v>40100</v>
      </c>
      <c r="G67" s="53">
        <v>31276</v>
      </c>
      <c r="H67" s="53">
        <v>1393881000</v>
      </c>
    </row>
    <row r="68" spans="1:8" x14ac:dyDescent="0.3">
      <c r="A68" s="53" t="s">
        <v>168</v>
      </c>
      <c r="B68" s="53">
        <v>28106</v>
      </c>
      <c r="C68" s="53">
        <v>1643596000</v>
      </c>
      <c r="D68" s="54">
        <v>1.7536306709572018</v>
      </c>
      <c r="F68" s="53" t="s">
        <v>168</v>
      </c>
      <c r="G68" s="53">
        <v>28106</v>
      </c>
      <c r="H68" s="53">
        <v>1643596000</v>
      </c>
    </row>
    <row r="69" spans="1:8" x14ac:dyDescent="0.3">
      <c r="A69" s="53" t="s">
        <v>169</v>
      </c>
      <c r="B69" s="53">
        <v>14644</v>
      </c>
      <c r="C69" s="53">
        <v>1205284000</v>
      </c>
      <c r="D69" s="54">
        <v>1.6990107107686547</v>
      </c>
      <c r="F69" s="53" t="s">
        <v>169</v>
      </c>
      <c r="G69" s="53">
        <v>14644</v>
      </c>
      <c r="H69" s="53">
        <v>1205284000</v>
      </c>
    </row>
    <row r="70" spans="1:8" x14ac:dyDescent="0.3">
      <c r="A70" s="53" t="s">
        <v>170</v>
      </c>
      <c r="B70" s="53">
        <v>9678</v>
      </c>
      <c r="C70" s="53">
        <v>1279186000</v>
      </c>
      <c r="D70" s="54">
        <v>1.6466120437607199</v>
      </c>
      <c r="F70" s="53" t="s">
        <v>170</v>
      </c>
      <c r="G70" s="53">
        <v>9678</v>
      </c>
      <c r="H70" s="53">
        <v>1279186000</v>
      </c>
    </row>
    <row r="71" spans="1:8" x14ac:dyDescent="0.3">
      <c r="A71" s="53" t="s">
        <v>171</v>
      </c>
      <c r="B71" s="53">
        <v>1777</v>
      </c>
      <c r="C71" s="53">
        <v>460798000</v>
      </c>
      <c r="D71" s="54">
        <v>1.573576934229941</v>
      </c>
      <c r="F71" s="53" t="s">
        <v>171</v>
      </c>
      <c r="G71" s="53">
        <v>1777</v>
      </c>
      <c r="H71" s="53">
        <v>460798000</v>
      </c>
    </row>
    <row r="72" spans="1:8" x14ac:dyDescent="0.3">
      <c r="A72" s="53" t="s">
        <v>172</v>
      </c>
      <c r="B72" s="53">
        <v>329</v>
      </c>
      <c r="C72" s="53">
        <v>202324000</v>
      </c>
      <c r="D72" s="54">
        <v>1.5374164133738601</v>
      </c>
      <c r="F72" s="53" t="s">
        <v>172</v>
      </c>
      <c r="G72" s="53">
        <v>329</v>
      </c>
      <c r="H72" s="53">
        <v>202324000</v>
      </c>
    </row>
    <row r="73" spans="1:8" x14ac:dyDescent="0.3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3">
      <c r="A74" s="53" t="s">
        <v>151</v>
      </c>
      <c r="B74" s="53">
        <v>52676</v>
      </c>
      <c r="C74" s="53">
        <v>930523000</v>
      </c>
      <c r="D74" s="54">
        <v>2.322875818966768</v>
      </c>
      <c r="F74" s="53" t="s">
        <v>151</v>
      </c>
      <c r="G74" s="53">
        <v>52676</v>
      </c>
      <c r="H74" s="53">
        <v>930523000</v>
      </c>
    </row>
    <row r="75" spans="1:8" x14ac:dyDescent="0.3">
      <c r="A75" s="53" t="s">
        <v>165</v>
      </c>
      <c r="B75" s="53">
        <v>49215</v>
      </c>
      <c r="C75" s="53">
        <v>1190339000</v>
      </c>
      <c r="D75" s="54">
        <v>2.1785354787210109</v>
      </c>
      <c r="F75" s="53" t="s">
        <v>165</v>
      </c>
      <c r="G75" s="53">
        <v>49215</v>
      </c>
      <c r="H75" s="53">
        <v>1190339000</v>
      </c>
    </row>
    <row r="76" spans="1:8" x14ac:dyDescent="0.3">
      <c r="A76" s="53">
        <v>30100</v>
      </c>
      <c r="B76" s="53">
        <v>20741</v>
      </c>
      <c r="C76" s="53">
        <v>715590000</v>
      </c>
      <c r="D76" s="54">
        <v>2.026678260772651</v>
      </c>
      <c r="F76" s="53">
        <v>30100</v>
      </c>
      <c r="G76" s="53">
        <v>20741</v>
      </c>
      <c r="H76" s="53">
        <v>715590000</v>
      </c>
    </row>
    <row r="77" spans="1:8" x14ac:dyDescent="0.3">
      <c r="A77" s="53">
        <v>40100</v>
      </c>
      <c r="B77" s="53">
        <v>11423</v>
      </c>
      <c r="C77" s="53">
        <v>510376000</v>
      </c>
      <c r="D77" s="54">
        <v>1.9095886346456805</v>
      </c>
      <c r="F77" s="53">
        <v>40100</v>
      </c>
      <c r="G77" s="53">
        <v>11423</v>
      </c>
      <c r="H77" s="53">
        <v>510376000</v>
      </c>
    </row>
    <row r="78" spans="1:8" x14ac:dyDescent="0.3">
      <c r="A78" s="53" t="s">
        <v>168</v>
      </c>
      <c r="B78" s="53">
        <v>11623</v>
      </c>
      <c r="C78" s="53">
        <v>680567000</v>
      </c>
      <c r="D78" s="54">
        <v>1.8330002473588651</v>
      </c>
      <c r="F78" s="53" t="s">
        <v>168</v>
      </c>
      <c r="G78" s="53">
        <v>11623</v>
      </c>
      <c r="H78" s="53">
        <v>680567000</v>
      </c>
    </row>
    <row r="79" spans="1:8" x14ac:dyDescent="0.3">
      <c r="A79" s="53" t="s">
        <v>169</v>
      </c>
      <c r="B79" s="53">
        <v>6483</v>
      </c>
      <c r="C79" s="53">
        <v>533332000</v>
      </c>
      <c r="D79" s="54">
        <v>1.7603346847412136</v>
      </c>
      <c r="F79" s="53" t="s">
        <v>169</v>
      </c>
      <c r="G79" s="53">
        <v>6483</v>
      </c>
      <c r="H79" s="53">
        <v>533332000</v>
      </c>
    </row>
    <row r="80" spans="1:8" x14ac:dyDescent="0.3">
      <c r="A80" s="53" t="s">
        <v>170</v>
      </c>
      <c r="B80" s="53">
        <v>4668</v>
      </c>
      <c r="C80" s="53">
        <v>617217000</v>
      </c>
      <c r="D80" s="54">
        <v>1.6943808227814467</v>
      </c>
      <c r="F80" s="53" t="s">
        <v>170</v>
      </c>
      <c r="G80" s="53">
        <v>4668</v>
      </c>
      <c r="H80" s="53">
        <v>617217000</v>
      </c>
    </row>
    <row r="81" spans="1:8" x14ac:dyDescent="0.3">
      <c r="A81" s="53" t="s">
        <v>171</v>
      </c>
      <c r="B81" s="53">
        <v>933</v>
      </c>
      <c r="C81" s="53">
        <v>244478000</v>
      </c>
      <c r="D81" s="54">
        <v>1.6382923678686496</v>
      </c>
      <c r="F81" s="53" t="s">
        <v>171</v>
      </c>
      <c r="G81" s="53">
        <v>933</v>
      </c>
      <c r="H81" s="53">
        <v>244478000</v>
      </c>
    </row>
    <row r="82" spans="1:8" x14ac:dyDescent="0.3">
      <c r="A82" s="53" t="s">
        <v>172</v>
      </c>
      <c r="B82" s="53">
        <v>170</v>
      </c>
      <c r="C82" s="53">
        <v>117110000</v>
      </c>
      <c r="D82" s="54">
        <v>1.7222058823529414</v>
      </c>
      <c r="F82" s="53" t="s">
        <v>172</v>
      </c>
      <c r="G82" s="53">
        <v>170</v>
      </c>
      <c r="H82" s="53">
        <v>117110000</v>
      </c>
    </row>
    <row r="83" spans="1:8" x14ac:dyDescent="0.3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3">
      <c r="A84" s="53" t="s">
        <v>151</v>
      </c>
      <c r="B84" s="53">
        <v>11719</v>
      </c>
      <c r="C84" s="53">
        <v>215866000</v>
      </c>
      <c r="D84" s="54">
        <v>2.5529277946099671</v>
      </c>
      <c r="F84" s="53" t="s">
        <v>151</v>
      </c>
      <c r="G84" s="53">
        <v>11719</v>
      </c>
      <c r="H84" s="53">
        <v>215866000</v>
      </c>
    </row>
    <row r="85" spans="1:8" x14ac:dyDescent="0.3">
      <c r="A85" s="53" t="s">
        <v>165</v>
      </c>
      <c r="B85" s="53">
        <v>18114</v>
      </c>
      <c r="C85" s="53">
        <v>434952000</v>
      </c>
      <c r="D85" s="54">
        <v>2.2225817556382697</v>
      </c>
      <c r="F85" s="53" t="s">
        <v>165</v>
      </c>
      <c r="G85" s="53">
        <v>18114</v>
      </c>
      <c r="H85" s="53">
        <v>434952000</v>
      </c>
    </row>
    <row r="86" spans="1:8" x14ac:dyDescent="0.3">
      <c r="A86" s="53">
        <v>30100</v>
      </c>
      <c r="B86" s="53">
        <v>6990</v>
      </c>
      <c r="C86" s="53">
        <v>241684000</v>
      </c>
      <c r="D86" s="54">
        <v>2.0936746472430428</v>
      </c>
      <c r="F86" s="53">
        <v>30100</v>
      </c>
      <c r="G86" s="53">
        <v>6990</v>
      </c>
      <c r="H86" s="53">
        <v>241684000</v>
      </c>
    </row>
    <row r="87" spans="1:8" x14ac:dyDescent="0.3">
      <c r="A87" s="53">
        <v>40100</v>
      </c>
      <c r="B87" s="53">
        <v>4090</v>
      </c>
      <c r="C87" s="53">
        <v>182828000</v>
      </c>
      <c r="D87" s="54">
        <v>1.9412712718985476</v>
      </c>
      <c r="F87" s="53">
        <v>40100</v>
      </c>
      <c r="G87" s="53">
        <v>4090</v>
      </c>
      <c r="H87" s="53">
        <v>182828000</v>
      </c>
    </row>
    <row r="88" spans="1:8" x14ac:dyDescent="0.3">
      <c r="A88" s="53" t="s">
        <v>168</v>
      </c>
      <c r="B88" s="53">
        <v>4432</v>
      </c>
      <c r="C88" s="53">
        <v>260567000</v>
      </c>
      <c r="D88" s="54">
        <v>1.8440771070240165</v>
      </c>
      <c r="F88" s="53" t="s">
        <v>168</v>
      </c>
      <c r="G88" s="53">
        <v>4432</v>
      </c>
      <c r="H88" s="53">
        <v>260567000</v>
      </c>
    </row>
    <row r="89" spans="1:8" x14ac:dyDescent="0.3">
      <c r="A89" s="53" t="s">
        <v>169</v>
      </c>
      <c r="B89" s="53">
        <v>2640</v>
      </c>
      <c r="C89" s="53">
        <v>218541000</v>
      </c>
      <c r="D89" s="54">
        <v>1.7524099196163387</v>
      </c>
      <c r="F89" s="53" t="s">
        <v>169</v>
      </c>
      <c r="G89" s="53">
        <v>2640</v>
      </c>
      <c r="H89" s="53">
        <v>218541000</v>
      </c>
    </row>
    <row r="90" spans="1:8" x14ac:dyDescent="0.3">
      <c r="A90" s="53" t="s">
        <v>170</v>
      </c>
      <c r="B90" s="53">
        <v>1810</v>
      </c>
      <c r="C90" s="53">
        <v>241424000</v>
      </c>
      <c r="D90" s="54">
        <v>1.6970268504283621</v>
      </c>
      <c r="F90" s="53" t="s">
        <v>170</v>
      </c>
      <c r="G90" s="53">
        <v>1810</v>
      </c>
      <c r="H90" s="53">
        <v>241424000</v>
      </c>
    </row>
    <row r="91" spans="1:8" x14ac:dyDescent="0.3">
      <c r="A91" s="53" t="s">
        <v>171</v>
      </c>
      <c r="B91" s="53">
        <v>376</v>
      </c>
      <c r="C91" s="53">
        <v>98826000</v>
      </c>
      <c r="D91" s="54">
        <v>1.6007827521319067</v>
      </c>
      <c r="F91" s="53" t="s">
        <v>171</v>
      </c>
      <c r="G91" s="53">
        <v>376</v>
      </c>
      <c r="H91" s="53">
        <v>98826000</v>
      </c>
    </row>
    <row r="92" spans="1:8" x14ac:dyDescent="0.3">
      <c r="A92" s="53" t="s">
        <v>172</v>
      </c>
      <c r="B92" s="53">
        <v>63</v>
      </c>
      <c r="C92" s="53">
        <v>41793000</v>
      </c>
      <c r="D92" s="54">
        <v>1.658452380952381</v>
      </c>
      <c r="F92" s="53" t="s">
        <v>172</v>
      </c>
      <c r="G92" s="53">
        <v>63</v>
      </c>
      <c r="H92" s="53">
        <v>41793000</v>
      </c>
    </row>
    <row r="93" spans="1:8" x14ac:dyDescent="0.3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3">
      <c r="A94" s="51"/>
      <c r="B94" s="51"/>
      <c r="C94" s="51"/>
      <c r="D94" s="52"/>
      <c r="F94" s="53" t="s">
        <v>151</v>
      </c>
      <c r="G94" s="2">
        <v>5124.5555371535829</v>
      </c>
      <c r="H94" s="2">
        <v>94395196.312244669</v>
      </c>
    </row>
    <row r="95" spans="1:8" x14ac:dyDescent="0.3">
      <c r="A95" s="53" t="s">
        <v>165</v>
      </c>
      <c r="B95" s="53">
        <v>7921</v>
      </c>
      <c r="C95" s="53">
        <v>188954000</v>
      </c>
      <c r="D95" s="54">
        <v>2.1810102118953898</v>
      </c>
      <c r="F95" s="53" t="s">
        <v>165</v>
      </c>
      <c r="G95" s="55">
        <v>7921</v>
      </c>
      <c r="H95" s="55">
        <v>188954000</v>
      </c>
    </row>
    <row r="96" spans="1:8" x14ac:dyDescent="0.3">
      <c r="A96" s="53">
        <v>30100</v>
      </c>
      <c r="B96" s="53">
        <v>2536</v>
      </c>
      <c r="C96" s="53">
        <v>87889000</v>
      </c>
      <c r="D96" s="54">
        <v>2.145375060989331</v>
      </c>
      <c r="F96" s="53">
        <v>30100</v>
      </c>
      <c r="G96" s="55">
        <v>2536</v>
      </c>
      <c r="H96" s="55">
        <v>87889000</v>
      </c>
    </row>
    <row r="97" spans="1:8" x14ac:dyDescent="0.3">
      <c r="A97" s="53">
        <v>40100</v>
      </c>
      <c r="B97" s="53">
        <v>1477</v>
      </c>
      <c r="C97" s="53">
        <v>66153000</v>
      </c>
      <c r="D97" s="54">
        <v>1.9815969200013503</v>
      </c>
      <c r="F97" s="53">
        <v>40100</v>
      </c>
      <c r="G97" s="55">
        <v>1477</v>
      </c>
      <c r="H97" s="55">
        <v>66153000</v>
      </c>
    </row>
    <row r="98" spans="1:8" x14ac:dyDescent="0.3">
      <c r="A98" s="53" t="s">
        <v>168</v>
      </c>
      <c r="B98" s="53">
        <v>1640</v>
      </c>
      <c r="C98" s="53">
        <v>96613000</v>
      </c>
      <c r="D98" s="54">
        <v>1.8684454295828234</v>
      </c>
      <c r="F98" s="53" t="s">
        <v>168</v>
      </c>
      <c r="G98" s="55">
        <v>1640</v>
      </c>
      <c r="H98" s="55">
        <v>96613000</v>
      </c>
    </row>
    <row r="99" spans="1:8" x14ac:dyDescent="0.3">
      <c r="A99" s="53" t="s">
        <v>169</v>
      </c>
      <c r="B99" s="53">
        <v>1046</v>
      </c>
      <c r="C99" s="53">
        <v>86149000</v>
      </c>
      <c r="D99" s="54">
        <v>1.745356561333737</v>
      </c>
      <c r="F99" s="53" t="s">
        <v>169</v>
      </c>
      <c r="G99" s="55">
        <v>1046</v>
      </c>
      <c r="H99" s="55">
        <v>86149000</v>
      </c>
    </row>
    <row r="100" spans="1:8" x14ac:dyDescent="0.3">
      <c r="A100" s="53" t="s">
        <v>170</v>
      </c>
      <c r="B100" s="53">
        <v>757</v>
      </c>
      <c r="C100" s="53">
        <v>100201000</v>
      </c>
      <c r="D100" s="54">
        <v>1.6696686611033507</v>
      </c>
      <c r="F100" s="53" t="s">
        <v>170</v>
      </c>
      <c r="G100" s="55">
        <v>757</v>
      </c>
      <c r="H100" s="55">
        <v>100201000</v>
      </c>
    </row>
    <row r="101" spans="1:8" x14ac:dyDescent="0.3">
      <c r="A101" s="53" t="s">
        <v>171</v>
      </c>
      <c r="B101" s="53">
        <v>152</v>
      </c>
      <c r="C101" s="53">
        <v>39427000</v>
      </c>
      <c r="D101" s="54">
        <v>1.5783633606925351</v>
      </c>
      <c r="F101" s="53" t="s">
        <v>171</v>
      </c>
      <c r="G101" s="55">
        <v>152</v>
      </c>
      <c r="H101" s="55">
        <v>39427000</v>
      </c>
    </row>
    <row r="102" spans="1:8" x14ac:dyDescent="0.3">
      <c r="A102" s="53" t="s">
        <v>172</v>
      </c>
      <c r="B102" s="53">
        <v>25</v>
      </c>
      <c r="C102" s="53">
        <v>16475000</v>
      </c>
      <c r="D102" s="54">
        <v>1.6475</v>
      </c>
      <c r="F102" s="53" t="s">
        <v>172</v>
      </c>
      <c r="G102" s="55">
        <v>25</v>
      </c>
      <c r="H102" s="55">
        <v>16475000</v>
      </c>
    </row>
    <row r="103" spans="1:8" x14ac:dyDescent="0.3">
      <c r="A103" s="51" t="s">
        <v>56</v>
      </c>
      <c r="B103" s="51" t="s">
        <v>80</v>
      </c>
      <c r="C103" s="51" t="s">
        <v>81</v>
      </c>
      <c r="D103" s="52" t="s">
        <v>59</v>
      </c>
      <c r="G103" s="2"/>
      <c r="H103" s="2"/>
    </row>
    <row r="104" spans="1:8" x14ac:dyDescent="0.3">
      <c r="A104" s="51"/>
      <c r="B104" s="51"/>
      <c r="C104" s="51"/>
      <c r="D104" s="52"/>
      <c r="F104" s="53" t="s">
        <v>151</v>
      </c>
      <c r="G104" s="2">
        <v>1771.3714254168046</v>
      </c>
      <c r="H104" s="2">
        <v>32628966.986860987</v>
      </c>
    </row>
    <row r="105" spans="1:8" x14ac:dyDescent="0.3">
      <c r="A105" s="53" t="s">
        <v>165</v>
      </c>
      <c r="B105" s="53">
        <v>2738</v>
      </c>
      <c r="C105" s="53">
        <v>68028000</v>
      </c>
      <c r="D105" s="54">
        <v>2.3426946099260495</v>
      </c>
      <c r="F105" s="53" t="s">
        <v>165</v>
      </c>
      <c r="G105" s="55">
        <v>2738</v>
      </c>
      <c r="H105" s="55">
        <v>68028000</v>
      </c>
    </row>
    <row r="106" spans="1:8" x14ac:dyDescent="0.3">
      <c r="A106" s="53">
        <v>30100</v>
      </c>
      <c r="B106" s="53">
        <v>1029</v>
      </c>
      <c r="C106" s="53">
        <v>35522000</v>
      </c>
      <c r="D106" s="54">
        <v>2.2733029588361151</v>
      </c>
      <c r="F106" s="53">
        <v>30100</v>
      </c>
      <c r="G106" s="55">
        <v>1029</v>
      </c>
      <c r="H106" s="55">
        <v>35522000</v>
      </c>
    </row>
    <row r="107" spans="1:8" x14ac:dyDescent="0.3">
      <c r="A107" s="53">
        <v>40100</v>
      </c>
      <c r="B107" s="53">
        <v>527</v>
      </c>
      <c r="C107" s="53">
        <v>23547000</v>
      </c>
      <c r="D107" s="54">
        <v>2.1831312130632323</v>
      </c>
      <c r="F107" s="53">
        <v>40100</v>
      </c>
      <c r="G107" s="55">
        <v>527</v>
      </c>
      <c r="H107" s="55">
        <v>23547000</v>
      </c>
    </row>
    <row r="108" spans="1:8" x14ac:dyDescent="0.3">
      <c r="A108" s="53" t="s">
        <v>168</v>
      </c>
      <c r="B108" s="53">
        <v>545</v>
      </c>
      <c r="C108" s="53">
        <v>32206000</v>
      </c>
      <c r="D108" s="54">
        <v>2.0947319536581692</v>
      </c>
      <c r="F108" s="53" t="s">
        <v>168</v>
      </c>
      <c r="G108" s="55">
        <v>545</v>
      </c>
      <c r="H108" s="55">
        <v>32206000</v>
      </c>
    </row>
    <row r="109" spans="1:8" x14ac:dyDescent="0.3">
      <c r="A109" s="53" t="s">
        <v>169</v>
      </c>
      <c r="B109" s="53">
        <v>376</v>
      </c>
      <c r="C109" s="53">
        <v>31131000</v>
      </c>
      <c r="D109" s="54">
        <v>1.9705107293128961</v>
      </c>
      <c r="F109" s="53" t="s">
        <v>169</v>
      </c>
      <c r="G109" s="55">
        <v>376</v>
      </c>
      <c r="H109" s="55">
        <v>31131000</v>
      </c>
    </row>
    <row r="110" spans="1:8" x14ac:dyDescent="0.3">
      <c r="A110" s="53" t="s">
        <v>170</v>
      </c>
      <c r="B110" s="53">
        <v>285</v>
      </c>
      <c r="C110" s="53">
        <v>38086000</v>
      </c>
      <c r="D110" s="54">
        <v>1.9313047695010561</v>
      </c>
      <c r="F110" s="53" t="s">
        <v>170</v>
      </c>
      <c r="G110" s="55">
        <v>285</v>
      </c>
      <c r="H110" s="55">
        <v>38086000</v>
      </c>
    </row>
    <row r="111" spans="1:8" x14ac:dyDescent="0.3">
      <c r="A111" s="53" t="s">
        <v>171</v>
      </c>
      <c r="B111" s="53">
        <v>64</v>
      </c>
      <c r="C111" s="53">
        <v>16660000</v>
      </c>
      <c r="D111" s="54">
        <v>1.890196206244704</v>
      </c>
      <c r="F111" s="53" t="s">
        <v>171</v>
      </c>
      <c r="G111" s="55">
        <v>64</v>
      </c>
      <c r="H111" s="55">
        <v>16660000</v>
      </c>
    </row>
    <row r="112" spans="1:8" x14ac:dyDescent="0.3">
      <c r="A112" s="53" t="s">
        <v>172</v>
      </c>
      <c r="B112" s="53">
        <v>28</v>
      </c>
      <c r="C112" s="53">
        <v>18137000</v>
      </c>
      <c r="D112" s="54">
        <v>1.619375</v>
      </c>
      <c r="F112" s="53" t="s">
        <v>172</v>
      </c>
      <c r="G112" s="55">
        <v>28</v>
      </c>
      <c r="H112" s="55">
        <v>18137000</v>
      </c>
    </row>
    <row r="113" spans="1:8" x14ac:dyDescent="0.3">
      <c r="A113" s="51" t="s">
        <v>56</v>
      </c>
      <c r="B113" s="51" t="s">
        <v>82</v>
      </c>
      <c r="C113" s="51" t="s">
        <v>83</v>
      </c>
      <c r="D113" s="52" t="s">
        <v>59</v>
      </c>
      <c r="G113" s="2"/>
      <c r="H113" s="2"/>
    </row>
    <row r="114" spans="1:8" x14ac:dyDescent="0.3">
      <c r="A114" s="51"/>
      <c r="B114" s="51"/>
      <c r="C114" s="51"/>
      <c r="D114" s="52"/>
      <c r="F114" s="53" t="s">
        <v>151</v>
      </c>
      <c r="G114" s="2">
        <v>652.13381914541242</v>
      </c>
      <c r="H114" s="2">
        <v>12012417.356740642</v>
      </c>
    </row>
    <row r="115" spans="1:8" x14ac:dyDescent="0.3">
      <c r="A115" s="53" t="s">
        <v>165</v>
      </c>
      <c r="B115" s="53">
        <v>1008</v>
      </c>
      <c r="C115" s="53">
        <v>26054000</v>
      </c>
      <c r="D115" s="54">
        <v>2.3383313951221303</v>
      </c>
      <c r="F115" s="53" t="s">
        <v>165</v>
      </c>
      <c r="G115" s="53">
        <v>1008</v>
      </c>
      <c r="H115" s="53">
        <v>26054000</v>
      </c>
    </row>
    <row r="116" spans="1:8" x14ac:dyDescent="0.3">
      <c r="A116" s="53">
        <v>30100</v>
      </c>
      <c r="B116" s="53">
        <v>457</v>
      </c>
      <c r="C116" s="53">
        <v>15567000</v>
      </c>
      <c r="D116" s="54">
        <v>2.1716300245234805</v>
      </c>
      <c r="F116" s="53">
        <v>30100</v>
      </c>
      <c r="G116" s="53">
        <v>457</v>
      </c>
      <c r="H116" s="53">
        <v>15567000</v>
      </c>
    </row>
    <row r="117" spans="1:8" x14ac:dyDescent="0.3">
      <c r="A117" s="53">
        <v>40100</v>
      </c>
      <c r="B117" s="53">
        <v>188</v>
      </c>
      <c r="C117" s="53">
        <v>8427000</v>
      </c>
      <c r="D117" s="54">
        <v>2.1368099637270461</v>
      </c>
      <c r="F117" s="53">
        <v>40100</v>
      </c>
      <c r="G117" s="53">
        <v>188</v>
      </c>
      <c r="H117" s="53">
        <v>8427000</v>
      </c>
    </row>
    <row r="118" spans="1:8" x14ac:dyDescent="0.3">
      <c r="A118" s="53" t="s">
        <v>168</v>
      </c>
      <c r="B118" s="53">
        <v>235</v>
      </c>
      <c r="C118" s="53">
        <v>13821000</v>
      </c>
      <c r="D118" s="54">
        <v>2.0074579523124294</v>
      </c>
      <c r="F118" s="53" t="s">
        <v>168</v>
      </c>
      <c r="G118" s="53">
        <v>235</v>
      </c>
      <c r="H118" s="53">
        <v>13821000</v>
      </c>
    </row>
    <row r="119" spans="1:8" x14ac:dyDescent="0.3">
      <c r="A119" s="53" t="s">
        <v>169</v>
      </c>
      <c r="B119" s="53">
        <v>146</v>
      </c>
      <c r="C119" s="53">
        <v>12138000</v>
      </c>
      <c r="D119" s="54">
        <v>1.9329275412349416</v>
      </c>
      <c r="F119" s="53" t="s">
        <v>169</v>
      </c>
      <c r="G119" s="53">
        <v>146</v>
      </c>
      <c r="H119" s="53">
        <v>12138000</v>
      </c>
    </row>
    <row r="120" spans="1:8" x14ac:dyDescent="0.3">
      <c r="A120" s="53" t="s">
        <v>170</v>
      </c>
      <c r="B120" s="53">
        <v>92</v>
      </c>
      <c r="C120" s="53">
        <v>12018000</v>
      </c>
      <c r="D120" s="54">
        <v>1.9193399193399194</v>
      </c>
      <c r="F120" s="53" t="s">
        <v>170</v>
      </c>
      <c r="G120" s="53">
        <v>92</v>
      </c>
      <c r="H120" s="53">
        <v>12018000</v>
      </c>
    </row>
    <row r="121" spans="1:8" x14ac:dyDescent="0.3">
      <c r="A121" s="53" t="s">
        <v>171</v>
      </c>
      <c r="B121" s="53">
        <v>35</v>
      </c>
      <c r="C121" s="53">
        <v>9286000</v>
      </c>
      <c r="D121" s="54">
        <v>1.6176795323268598</v>
      </c>
      <c r="F121" s="53" t="s">
        <v>171</v>
      </c>
      <c r="G121" s="53">
        <v>35</v>
      </c>
      <c r="H121" s="53">
        <v>9286000</v>
      </c>
    </row>
    <row r="122" spans="1:8" x14ac:dyDescent="0.3">
      <c r="A122" s="53" t="s">
        <v>172</v>
      </c>
      <c r="B122" s="53">
        <v>8</v>
      </c>
      <c r="C122" s="53">
        <v>4633000</v>
      </c>
      <c r="D122" s="54">
        <v>1.4478124999999999</v>
      </c>
      <c r="F122" s="53" t="s">
        <v>172</v>
      </c>
      <c r="G122" s="53">
        <v>8</v>
      </c>
      <c r="H122" s="53">
        <v>4633000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C1" workbookViewId="0">
      <selection activeCell="O3" sqref="O3:O12"/>
    </sheetView>
  </sheetViews>
  <sheetFormatPr baseColWidth="10" defaultRowHeight="15.6" x14ac:dyDescent="0.3"/>
  <cols>
    <col min="12" max="12" width="12.296875" bestFit="1" customWidth="1"/>
  </cols>
  <sheetData>
    <row r="1" spans="1:15" x14ac:dyDescent="0.3">
      <c r="A1" s="79" t="s">
        <v>233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3100</v>
      </c>
      <c r="M3" t="s">
        <v>7</v>
      </c>
      <c r="N3" t="s">
        <v>8</v>
      </c>
      <c r="O3" t="s">
        <v>14</v>
      </c>
    </row>
    <row r="4" spans="1:15" x14ac:dyDescent="0.3">
      <c r="A4" s="53" t="s">
        <v>151</v>
      </c>
      <c r="B4" s="53">
        <v>275627</v>
      </c>
      <c r="C4" s="53">
        <v>4718812000</v>
      </c>
      <c r="D4" s="54">
        <v>1.5922413953139485</v>
      </c>
      <c r="F4" s="53" t="s">
        <v>151</v>
      </c>
      <c r="G4" s="53">
        <v>275627</v>
      </c>
      <c r="H4" s="53">
        <v>4718812000</v>
      </c>
      <c r="I4" s="2">
        <f>J4/6.55957</f>
        <v>2286.7352585611557</v>
      </c>
      <c r="J4" s="53">
        <v>15000</v>
      </c>
      <c r="K4" s="2">
        <f>G4+G15+G26+G37+G48+G59+G70+G81+G92+G103+G114+G125</f>
        <v>2203150.9552218048</v>
      </c>
      <c r="L4" s="2">
        <f>H4+H15+H26+H37+H48+H59+H70+H81+H92+H103+H114+H125</f>
        <v>38314605558.893059</v>
      </c>
      <c r="M4">
        <f>1-SUM(K4:$K$13)/$K$15</f>
        <v>0.71538984173949816</v>
      </c>
      <c r="N4">
        <f>SUM(L4:$L$13)/(J4*SUM(K4:$K$13))</f>
        <v>1.9930799003453212</v>
      </c>
      <c r="O4">
        <f>(G4+G15+G37)/K4</f>
        <v>0.18234247591970182</v>
      </c>
    </row>
    <row r="5" spans="1:15" x14ac:dyDescent="0.3">
      <c r="A5" s="53" t="s">
        <v>165</v>
      </c>
      <c r="B5" s="53">
        <v>104854</v>
      </c>
      <c r="C5" s="53">
        <v>2330247000</v>
      </c>
      <c r="D5" s="54">
        <v>1.6182983974618932</v>
      </c>
      <c r="F5" s="53" t="s">
        <v>165</v>
      </c>
      <c r="G5" s="53">
        <v>104854</v>
      </c>
      <c r="H5" s="53">
        <v>2330247000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1363814</v>
      </c>
      <c r="L5" s="2">
        <f t="shared" si="1"/>
        <v>30507366000</v>
      </c>
      <c r="M5">
        <f>1-SUM(K5:$K$13)/$K$15</f>
        <v>0.81855871298738347</v>
      </c>
      <c r="N5">
        <f>SUM(L5:$L$13)/(J5*SUM(K5:$K$13))</f>
        <v>1.8503424573567164</v>
      </c>
      <c r="O5">
        <f t="shared" ref="O5:O13" si="2">(G5+G16+G38)/K5</f>
        <v>0.12204670138303317</v>
      </c>
    </row>
    <row r="6" spans="1:15" x14ac:dyDescent="0.3">
      <c r="A6" s="53" t="s">
        <v>166</v>
      </c>
      <c r="B6" s="53">
        <v>47171</v>
      </c>
      <c r="C6" s="53">
        <v>1288469000</v>
      </c>
      <c r="D6" s="54">
        <v>1.654574503187052</v>
      </c>
      <c r="F6" s="53" t="s">
        <v>166</v>
      </c>
      <c r="G6" s="53">
        <v>47171</v>
      </c>
      <c r="H6" s="53">
        <v>1288469000</v>
      </c>
      <c r="I6" s="2">
        <f t="shared" si="0"/>
        <v>3811.2254309352597</v>
      </c>
      <c r="J6" s="53">
        <v>25000</v>
      </c>
      <c r="K6" s="2">
        <f t="shared" si="1"/>
        <v>821839</v>
      </c>
      <c r="L6" s="2">
        <f t="shared" si="1"/>
        <v>22496692000</v>
      </c>
      <c r="M6">
        <f>1-SUM(K6:$K$13)/$K$15</f>
        <v>0.88242322060933076</v>
      </c>
      <c r="N6">
        <f>SUM(L6:$L$13)/(J6*SUM(K6:$K$13))</f>
        <v>1.7983058663094937</v>
      </c>
      <c r="O6">
        <f t="shared" si="2"/>
        <v>9.3399072081028031E-2</v>
      </c>
    </row>
    <row r="7" spans="1:15" x14ac:dyDescent="0.3">
      <c r="A7" s="53">
        <v>30100</v>
      </c>
      <c r="B7" s="53">
        <v>38492</v>
      </c>
      <c r="C7" s="53">
        <v>1315707000</v>
      </c>
      <c r="D7" s="54">
        <v>1.6855235393613759</v>
      </c>
      <c r="F7" s="53">
        <v>30100</v>
      </c>
      <c r="G7" s="53">
        <v>38492</v>
      </c>
      <c r="H7" s="53">
        <v>1315707000</v>
      </c>
      <c r="I7" s="2">
        <f t="shared" si="0"/>
        <v>4573.4705171223113</v>
      </c>
      <c r="J7" s="53">
        <v>30000</v>
      </c>
      <c r="K7" s="2">
        <f t="shared" si="1"/>
        <v>815005</v>
      </c>
      <c r="L7" s="2">
        <f t="shared" si="1"/>
        <v>27969170000</v>
      </c>
      <c r="M7">
        <f>1-SUM(K7:$K$13)/$K$15</f>
        <v>0.92090819222533815</v>
      </c>
      <c r="N7">
        <f>SUM(L7:$L$13)/(J7*SUM(K7:$K$13))</f>
        <v>1.7837932926384013</v>
      </c>
      <c r="O7">
        <f t="shared" si="2"/>
        <v>8.0314844694204329E-2</v>
      </c>
    </row>
    <row r="8" spans="1:15" x14ac:dyDescent="0.3">
      <c r="A8" s="53">
        <v>40100</v>
      </c>
      <c r="B8" s="53">
        <v>14611</v>
      </c>
      <c r="C8" s="53">
        <v>648940000</v>
      </c>
      <c r="D8" s="54">
        <v>1.7276663102554466</v>
      </c>
      <c r="F8" s="53">
        <v>40100</v>
      </c>
      <c r="G8" s="53">
        <v>14611</v>
      </c>
      <c r="H8" s="53">
        <v>648940000</v>
      </c>
      <c r="I8" s="2">
        <f t="shared" si="0"/>
        <v>6097.9606894964154</v>
      </c>
      <c r="J8" s="53">
        <v>40000</v>
      </c>
      <c r="K8" s="2">
        <f t="shared" si="1"/>
        <v>348740</v>
      </c>
      <c r="L8" s="2">
        <f t="shared" si="1"/>
        <v>15505223000</v>
      </c>
      <c r="M8">
        <f>1-SUM(K8:$K$13)/$K$15</f>
        <v>0.95907314216310469</v>
      </c>
      <c r="N8">
        <f>SUM(L8:$L$13)/(J8*SUM(K8:$K$13))</f>
        <v>1.7853596171559007</v>
      </c>
      <c r="O8">
        <f t="shared" si="2"/>
        <v>7.5640878591500829E-2</v>
      </c>
    </row>
    <row r="9" spans="1:15" x14ac:dyDescent="0.3">
      <c r="A9" s="53" t="s">
        <v>168</v>
      </c>
      <c r="B9" s="53">
        <v>10898</v>
      </c>
      <c r="C9" s="53">
        <v>634039000</v>
      </c>
      <c r="D9" s="54">
        <v>1.7500631270630016</v>
      </c>
      <c r="F9" s="53" t="s">
        <v>168</v>
      </c>
      <c r="G9" s="53">
        <v>10898</v>
      </c>
      <c r="H9" s="53">
        <v>634039000</v>
      </c>
      <c r="I9" s="2">
        <f t="shared" si="0"/>
        <v>7622.4508618705195</v>
      </c>
      <c r="J9" s="53">
        <v>50000</v>
      </c>
      <c r="K9" s="2">
        <f t="shared" si="1"/>
        <v>277606</v>
      </c>
      <c r="L9" s="2">
        <f t="shared" si="1"/>
        <v>16178417000</v>
      </c>
      <c r="M9">
        <f>1-SUM(K9:$K$13)/$K$15</f>
        <v>0.9754038942950507</v>
      </c>
      <c r="N9">
        <f>SUM(L9:$L$13)/(J9*SUM(K9:$K$13))</f>
        <v>1.7862094070386201</v>
      </c>
      <c r="O9">
        <f t="shared" si="2"/>
        <v>7.5506293091647872E-2</v>
      </c>
    </row>
    <row r="10" spans="1:15" x14ac:dyDescent="0.3">
      <c r="A10" s="53" t="s">
        <v>169</v>
      </c>
      <c r="B10" s="53">
        <v>4994</v>
      </c>
      <c r="C10" s="53">
        <v>410268000</v>
      </c>
      <c r="D10" s="54">
        <v>1.7690660203842097</v>
      </c>
      <c r="F10" s="53" t="s">
        <v>169</v>
      </c>
      <c r="G10" s="53">
        <v>4994</v>
      </c>
      <c r="H10" s="53">
        <v>410268000</v>
      </c>
      <c r="I10" s="2">
        <f t="shared" si="0"/>
        <v>10671.431206618727</v>
      </c>
      <c r="J10" s="53">
        <v>70000</v>
      </c>
      <c r="K10" s="2">
        <f t="shared" si="1"/>
        <v>135475</v>
      </c>
      <c r="L10" s="2">
        <f t="shared" si="1"/>
        <v>11142920000</v>
      </c>
      <c r="M10">
        <f>1-SUM(K10:$K$13)/$K$15</f>
        <v>0.98840359256981425</v>
      </c>
      <c r="N10">
        <f>SUM(L10:$L$13)/(J10*SUM(K10:$K$13))</f>
        <v>1.7728260549774932</v>
      </c>
      <c r="O10">
        <f t="shared" si="2"/>
        <v>7.5135633880789809E-2</v>
      </c>
    </row>
    <row r="11" spans="1:15" x14ac:dyDescent="0.3">
      <c r="A11" s="53" t="s">
        <v>170</v>
      </c>
      <c r="B11" s="53">
        <v>3054</v>
      </c>
      <c r="C11" s="53">
        <v>402302000</v>
      </c>
      <c r="D11" s="54">
        <v>1.7807464979234571</v>
      </c>
      <c r="F11" s="53" t="s">
        <v>170</v>
      </c>
      <c r="G11" s="53">
        <v>3054</v>
      </c>
      <c r="H11" s="53">
        <v>402302000</v>
      </c>
      <c r="I11" s="2">
        <f t="shared" si="0"/>
        <v>15244.901723741039</v>
      </c>
      <c r="J11" s="53">
        <v>100000</v>
      </c>
      <c r="K11" s="2">
        <f t="shared" si="1"/>
        <v>89888</v>
      </c>
      <c r="L11" s="2">
        <f t="shared" si="1"/>
        <v>11911146000</v>
      </c>
      <c r="M11">
        <f>1-SUM(K11:$K$13)/$K$15</f>
        <v>0.99474759854869643</v>
      </c>
      <c r="N11">
        <f>SUM(L11:$L$13)/(J11*SUM(K11:$K$13))</f>
        <v>1.7464196177026496</v>
      </c>
      <c r="O11">
        <f t="shared" si="2"/>
        <v>7.4392577429690285E-2</v>
      </c>
    </row>
    <row r="12" spans="1:15" x14ac:dyDescent="0.3">
      <c r="A12" s="53" t="s">
        <v>171</v>
      </c>
      <c r="B12" s="53">
        <v>640</v>
      </c>
      <c r="C12" s="53">
        <v>170258000</v>
      </c>
      <c r="D12" s="54">
        <v>1.7783858070964518</v>
      </c>
      <c r="F12" s="53" t="s">
        <v>171</v>
      </c>
      <c r="G12" s="53">
        <v>640</v>
      </c>
      <c r="H12" s="53">
        <v>170258000</v>
      </c>
      <c r="I12" s="2">
        <f t="shared" si="0"/>
        <v>30489.803447482078</v>
      </c>
      <c r="J12" s="53">
        <v>200000</v>
      </c>
      <c r="K12" s="2">
        <f t="shared" si="1"/>
        <v>18136</v>
      </c>
      <c r="L12" s="2">
        <f t="shared" si="1"/>
        <v>4756082000</v>
      </c>
      <c r="M12">
        <f>1-SUM(K12:$K$13)/$K$15</f>
        <v>0.99895686232009162</v>
      </c>
      <c r="N12">
        <f>SUM(L12:$L$13)/(J12*SUM(K12:$K$13))</f>
        <v>1.723243625426468</v>
      </c>
      <c r="O12">
        <f t="shared" si="2"/>
        <v>8.0778561976179969E-2</v>
      </c>
    </row>
    <row r="13" spans="1:15" x14ac:dyDescent="0.3">
      <c r="A13" s="53" t="s">
        <v>172</v>
      </c>
      <c r="B13" s="53">
        <v>160</v>
      </c>
      <c r="C13" s="53">
        <v>114426000</v>
      </c>
      <c r="D13" s="54">
        <v>1.78790625</v>
      </c>
      <c r="F13" s="53" t="s">
        <v>172</v>
      </c>
      <c r="G13" s="53">
        <v>160</v>
      </c>
      <c r="H13" s="53">
        <v>114426000</v>
      </c>
      <c r="I13" s="2">
        <f t="shared" si="0"/>
        <v>60979.606894964156</v>
      </c>
      <c r="J13" s="53">
        <v>400000</v>
      </c>
      <c r="K13" s="2">
        <f t="shared" si="1"/>
        <v>4140</v>
      </c>
      <c r="L13" s="2">
        <f>H13+H24+H35+H46+H57+H68+H79+H90+H101+H112+H123+H134</f>
        <v>2921313000</v>
      </c>
      <c r="M13">
        <f>1-SUM(K13:$K$13)/$K$15</f>
        <v>0.9998061326093185</v>
      </c>
      <c r="N13">
        <f>SUM(L13:$L$13)/(J13*SUM(K13:$K$13))</f>
        <v>1.7640778985507246</v>
      </c>
      <c r="O13">
        <f t="shared" si="2"/>
        <v>0.11280193236714976</v>
      </c>
    </row>
    <row r="14" spans="1:15" x14ac:dyDescent="0.3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3">
      <c r="A15" s="53" t="s">
        <v>151</v>
      </c>
      <c r="B15" s="53">
        <v>103626</v>
      </c>
      <c r="C15" s="53">
        <v>1786239000</v>
      </c>
      <c r="D15" s="54">
        <v>1.9094823680032096</v>
      </c>
      <c r="F15" s="53" t="s">
        <v>151</v>
      </c>
      <c r="G15" s="53">
        <v>103626</v>
      </c>
      <c r="H15" s="53">
        <v>1786239000</v>
      </c>
      <c r="K15" s="5">
        <v>21354803.329468094</v>
      </c>
    </row>
    <row r="16" spans="1:15" x14ac:dyDescent="0.3">
      <c r="A16" s="53" t="s">
        <v>165</v>
      </c>
      <c r="B16" s="53">
        <v>52525</v>
      </c>
      <c r="C16" s="53">
        <v>1172205000</v>
      </c>
      <c r="D16" s="54">
        <v>1.8930541359232314</v>
      </c>
      <c r="F16" s="53" t="s">
        <v>165</v>
      </c>
      <c r="G16" s="53">
        <v>52525</v>
      </c>
      <c r="H16" s="53">
        <v>1172205000</v>
      </c>
    </row>
    <row r="17" spans="1:8" x14ac:dyDescent="0.3">
      <c r="A17" s="53" t="s">
        <v>166</v>
      </c>
      <c r="B17" s="53">
        <v>25598</v>
      </c>
      <c r="C17" s="53">
        <v>699395000</v>
      </c>
      <c r="D17" s="54">
        <v>1.9389052220904546</v>
      </c>
      <c r="F17" s="53" t="s">
        <v>166</v>
      </c>
      <c r="G17" s="53">
        <v>25598</v>
      </c>
      <c r="H17" s="53">
        <v>699395000</v>
      </c>
    </row>
    <row r="18" spans="1:8" x14ac:dyDescent="0.3">
      <c r="A18" s="53">
        <v>30100</v>
      </c>
      <c r="B18" s="53">
        <v>23586</v>
      </c>
      <c r="C18" s="53">
        <v>809122000</v>
      </c>
      <c r="D18" s="54">
        <v>1.9642649680507982</v>
      </c>
      <c r="F18" s="53">
        <v>30100</v>
      </c>
      <c r="G18" s="53">
        <v>23586</v>
      </c>
      <c r="H18" s="53">
        <v>809122000</v>
      </c>
    </row>
    <row r="19" spans="1:8" x14ac:dyDescent="0.3">
      <c r="A19" s="53">
        <v>40100</v>
      </c>
      <c r="B19" s="53">
        <v>10486</v>
      </c>
      <c r="C19" s="53">
        <v>467227000</v>
      </c>
      <c r="D19" s="54">
        <v>1.9837970933303888</v>
      </c>
      <c r="F19" s="53">
        <v>40100</v>
      </c>
      <c r="G19" s="53">
        <v>10486</v>
      </c>
      <c r="H19" s="53">
        <v>467227000</v>
      </c>
    </row>
    <row r="20" spans="1:8" x14ac:dyDescent="0.3">
      <c r="A20" s="53" t="s">
        <v>168</v>
      </c>
      <c r="B20" s="53">
        <v>9065</v>
      </c>
      <c r="C20" s="53">
        <v>529117000</v>
      </c>
      <c r="D20" s="54">
        <v>1.9908501930821678</v>
      </c>
      <c r="F20" s="53" t="s">
        <v>168</v>
      </c>
      <c r="G20" s="53">
        <v>9065</v>
      </c>
      <c r="H20" s="53">
        <v>529117000</v>
      </c>
    </row>
    <row r="21" spans="1:8" x14ac:dyDescent="0.3">
      <c r="A21" s="53" t="s">
        <v>169</v>
      </c>
      <c r="B21" s="53">
        <v>4726</v>
      </c>
      <c r="C21" s="53">
        <v>389434000</v>
      </c>
      <c r="D21" s="54">
        <v>2.0102516826141463</v>
      </c>
      <c r="F21" s="53" t="s">
        <v>169</v>
      </c>
      <c r="G21" s="53">
        <v>4726</v>
      </c>
      <c r="H21" s="53">
        <v>389434000</v>
      </c>
    </row>
    <row r="22" spans="1:8" x14ac:dyDescent="0.3">
      <c r="A22" s="53" t="s">
        <v>170</v>
      </c>
      <c r="B22" s="53">
        <v>3336</v>
      </c>
      <c r="C22" s="53">
        <v>444674000</v>
      </c>
      <c r="D22" s="54">
        <v>2.0382470108622548</v>
      </c>
      <c r="F22" s="53" t="s">
        <v>170</v>
      </c>
      <c r="G22" s="53">
        <v>3336</v>
      </c>
      <c r="H22" s="53">
        <v>444674000</v>
      </c>
    </row>
    <row r="23" spans="1:8" x14ac:dyDescent="0.3">
      <c r="A23" s="53" t="s">
        <v>171</v>
      </c>
      <c r="B23" s="53">
        <v>761</v>
      </c>
      <c r="C23" s="53">
        <v>203675000</v>
      </c>
      <c r="D23" s="54">
        <v>2.1470096691615952</v>
      </c>
      <c r="F23" s="53" t="s">
        <v>171</v>
      </c>
      <c r="G23" s="53">
        <v>761</v>
      </c>
      <c r="H23" s="53">
        <v>203675000</v>
      </c>
    </row>
    <row r="24" spans="1:8" x14ac:dyDescent="0.3">
      <c r="A24" s="53" t="s">
        <v>172</v>
      </c>
      <c r="B24" s="53">
        <v>285</v>
      </c>
      <c r="C24" s="53">
        <v>245704000</v>
      </c>
      <c r="D24" s="54">
        <v>2.155298245614035</v>
      </c>
      <c r="F24" s="53" t="s">
        <v>172</v>
      </c>
      <c r="G24" s="53">
        <v>285</v>
      </c>
      <c r="H24" s="53">
        <v>245704000</v>
      </c>
    </row>
    <row r="25" spans="1:8" x14ac:dyDescent="0.3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3">
      <c r="A26" s="53" t="s">
        <v>151</v>
      </c>
      <c r="B26" s="53">
        <v>684333</v>
      </c>
      <c r="C26" s="53">
        <v>11907113000</v>
      </c>
      <c r="D26" s="54">
        <v>1.95086479598671</v>
      </c>
      <c r="F26" s="53" t="s">
        <v>151</v>
      </c>
      <c r="G26" s="53">
        <v>684333</v>
      </c>
      <c r="H26" s="53">
        <v>11907113000</v>
      </c>
    </row>
    <row r="27" spans="1:8" x14ac:dyDescent="0.3">
      <c r="A27" s="53" t="s">
        <v>165</v>
      </c>
      <c r="B27" s="53">
        <v>433060</v>
      </c>
      <c r="C27" s="53">
        <v>9689079000</v>
      </c>
      <c r="D27" s="54">
        <v>1.8088124951480116</v>
      </c>
      <c r="F27" s="53" t="s">
        <v>165</v>
      </c>
      <c r="G27" s="53">
        <v>433060</v>
      </c>
      <c r="H27" s="53">
        <v>9689079000</v>
      </c>
    </row>
    <row r="28" spans="1:8" x14ac:dyDescent="0.3">
      <c r="A28" s="53" t="s">
        <v>166</v>
      </c>
      <c r="B28" s="53">
        <v>259718</v>
      </c>
      <c r="C28" s="53">
        <v>7106972000</v>
      </c>
      <c r="D28" s="54">
        <v>1.7646782249439135</v>
      </c>
      <c r="F28" s="53" t="s">
        <v>166</v>
      </c>
      <c r="G28" s="53">
        <v>259718</v>
      </c>
      <c r="H28" s="53">
        <v>7106972000</v>
      </c>
    </row>
    <row r="29" spans="1:8" x14ac:dyDescent="0.3">
      <c r="A29" s="53">
        <v>30100</v>
      </c>
      <c r="B29" s="53">
        <v>252248</v>
      </c>
      <c r="C29" s="53">
        <v>8644188000</v>
      </c>
      <c r="D29" s="54">
        <v>1.7617597772837676</v>
      </c>
      <c r="F29" s="53">
        <v>30100</v>
      </c>
      <c r="G29" s="53">
        <v>252248</v>
      </c>
      <c r="H29" s="53">
        <v>8644188000</v>
      </c>
    </row>
    <row r="30" spans="1:8" x14ac:dyDescent="0.3">
      <c r="A30" s="53">
        <v>40100</v>
      </c>
      <c r="B30" s="53">
        <v>103213</v>
      </c>
      <c r="C30" s="53">
        <v>4584011000</v>
      </c>
      <c r="D30" s="54">
        <v>1.7924376919640217</v>
      </c>
      <c r="F30" s="53">
        <v>40100</v>
      </c>
      <c r="G30" s="53">
        <v>103213</v>
      </c>
      <c r="H30" s="53">
        <v>4584011000</v>
      </c>
    </row>
    <row r="31" spans="1:8" x14ac:dyDescent="0.3">
      <c r="A31" s="53" t="s">
        <v>168</v>
      </c>
      <c r="B31" s="53">
        <v>78720</v>
      </c>
      <c r="C31" s="53">
        <v>4581266000</v>
      </c>
      <c r="D31" s="54">
        <v>1.8173047608499229</v>
      </c>
      <c r="F31" s="53" t="s">
        <v>168</v>
      </c>
      <c r="G31" s="53">
        <v>78720</v>
      </c>
      <c r="H31" s="53">
        <v>4581266000</v>
      </c>
    </row>
    <row r="32" spans="1:8" x14ac:dyDescent="0.3">
      <c r="A32" s="53" t="s">
        <v>169</v>
      </c>
      <c r="B32" s="53">
        <v>37297</v>
      </c>
      <c r="C32" s="53">
        <v>3069580000</v>
      </c>
      <c r="D32" s="54">
        <v>1.8323242861736211</v>
      </c>
      <c r="F32" s="53" t="s">
        <v>169</v>
      </c>
      <c r="G32" s="53">
        <v>37297</v>
      </c>
      <c r="H32" s="53">
        <v>3069580000</v>
      </c>
    </row>
    <row r="33" spans="1:8" x14ac:dyDescent="0.3">
      <c r="A33" s="53" t="s">
        <v>170</v>
      </c>
      <c r="B33" s="53">
        <v>24923</v>
      </c>
      <c r="C33" s="53">
        <v>3309763000</v>
      </c>
      <c r="D33" s="54">
        <v>1.8230369228862071</v>
      </c>
      <c r="F33" s="53" t="s">
        <v>170</v>
      </c>
      <c r="G33" s="53">
        <v>24923</v>
      </c>
      <c r="H33" s="53">
        <v>3309763000</v>
      </c>
    </row>
    <row r="34" spans="1:8" x14ac:dyDescent="0.3">
      <c r="A34" s="53" t="s">
        <v>171</v>
      </c>
      <c r="B34" s="53">
        <v>5489</v>
      </c>
      <c r="C34" s="53">
        <v>1449620000</v>
      </c>
      <c r="D34" s="54">
        <v>1.8056322019495665</v>
      </c>
      <c r="F34" s="53" t="s">
        <v>171</v>
      </c>
      <c r="G34" s="53">
        <v>5489</v>
      </c>
      <c r="H34" s="53">
        <v>1449620000</v>
      </c>
    </row>
    <row r="35" spans="1:8" x14ac:dyDescent="0.3">
      <c r="A35" s="53" t="s">
        <v>172</v>
      </c>
      <c r="B35" s="53">
        <v>1436</v>
      </c>
      <c r="C35" s="53">
        <v>1052431000</v>
      </c>
      <c r="D35" s="54">
        <v>1.8322266713091924</v>
      </c>
      <c r="F35" s="53" t="s">
        <v>172</v>
      </c>
      <c r="G35" s="53">
        <v>1436</v>
      </c>
      <c r="H35" s="53">
        <v>1052431000</v>
      </c>
    </row>
    <row r="36" spans="1:8" x14ac:dyDescent="0.3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3">
      <c r="A37" s="53" t="s">
        <v>151</v>
      </c>
      <c r="B37" s="53">
        <v>22475</v>
      </c>
      <c r="C37" s="53">
        <v>386698000</v>
      </c>
      <c r="D37" s="54">
        <v>1.6402985394417524</v>
      </c>
      <c r="F37" s="53" t="s">
        <v>151</v>
      </c>
      <c r="G37" s="53">
        <v>22475</v>
      </c>
      <c r="H37" s="53">
        <v>386698000</v>
      </c>
    </row>
    <row r="38" spans="1:8" x14ac:dyDescent="0.3">
      <c r="A38" s="53" t="s">
        <v>165</v>
      </c>
      <c r="B38" s="53">
        <v>9070</v>
      </c>
      <c r="C38" s="53">
        <v>201511000</v>
      </c>
      <c r="D38" s="54">
        <v>1.6645747287284247</v>
      </c>
      <c r="F38" s="53" t="s">
        <v>165</v>
      </c>
      <c r="G38" s="53">
        <v>9070</v>
      </c>
      <c r="H38" s="53">
        <v>201511000</v>
      </c>
    </row>
    <row r="39" spans="1:8" x14ac:dyDescent="0.3">
      <c r="A39" s="53" t="s">
        <v>166</v>
      </c>
      <c r="B39" s="53">
        <v>3990</v>
      </c>
      <c r="C39" s="53">
        <v>109131000</v>
      </c>
      <c r="D39" s="54">
        <v>1.7201615803490833</v>
      </c>
      <c r="F39" s="53" t="s">
        <v>166</v>
      </c>
      <c r="G39" s="53">
        <v>3990</v>
      </c>
      <c r="H39" s="53">
        <v>109131000</v>
      </c>
    </row>
    <row r="40" spans="1:8" x14ac:dyDescent="0.3">
      <c r="A40" s="53">
        <v>30100</v>
      </c>
      <c r="B40" s="53">
        <v>3379</v>
      </c>
      <c r="C40" s="53">
        <v>115593000</v>
      </c>
      <c r="D40" s="54">
        <v>1.7570974258496392</v>
      </c>
      <c r="F40" s="53">
        <v>30100</v>
      </c>
      <c r="G40" s="53">
        <v>3379</v>
      </c>
      <c r="H40" s="53">
        <v>115593000</v>
      </c>
    </row>
    <row r="41" spans="1:8" x14ac:dyDescent="0.3">
      <c r="A41" s="53">
        <v>40100</v>
      </c>
      <c r="B41" s="53">
        <v>1282</v>
      </c>
      <c r="C41" s="53">
        <v>57057000</v>
      </c>
      <c r="D41" s="54">
        <v>1.8230848247734284</v>
      </c>
      <c r="F41" s="53">
        <v>40100</v>
      </c>
      <c r="G41" s="53">
        <v>1282</v>
      </c>
      <c r="H41" s="53">
        <v>57057000</v>
      </c>
    </row>
    <row r="42" spans="1:8" x14ac:dyDescent="0.3">
      <c r="A42" s="53" t="s">
        <v>168</v>
      </c>
      <c r="B42" s="53">
        <v>998</v>
      </c>
      <c r="C42" s="53">
        <v>58578000</v>
      </c>
      <c r="D42" s="54">
        <v>1.8569274494489283</v>
      </c>
      <c r="F42" s="53" t="s">
        <v>168</v>
      </c>
      <c r="G42" s="53">
        <v>998</v>
      </c>
      <c r="H42" s="53">
        <v>58578000</v>
      </c>
    </row>
    <row r="43" spans="1:8" x14ac:dyDescent="0.3">
      <c r="A43" s="53" t="s">
        <v>169</v>
      </c>
      <c r="B43" s="53">
        <v>459</v>
      </c>
      <c r="C43" s="53">
        <v>37828000</v>
      </c>
      <c r="D43" s="54">
        <v>1.9077090413762492</v>
      </c>
      <c r="F43" s="53" t="s">
        <v>169</v>
      </c>
      <c r="G43" s="53">
        <v>459</v>
      </c>
      <c r="H43" s="53">
        <v>37828000</v>
      </c>
    </row>
    <row r="44" spans="1:8" x14ac:dyDescent="0.3">
      <c r="A44" s="53" t="s">
        <v>170</v>
      </c>
      <c r="B44" s="53">
        <v>297</v>
      </c>
      <c r="C44" s="53">
        <v>39838000</v>
      </c>
      <c r="D44" s="54">
        <v>1.9503473028277205</v>
      </c>
      <c r="F44" s="53" t="s">
        <v>170</v>
      </c>
      <c r="G44" s="53">
        <v>297</v>
      </c>
      <c r="H44" s="53">
        <v>39838000</v>
      </c>
    </row>
    <row r="45" spans="1:8" x14ac:dyDescent="0.3">
      <c r="A45" s="53" t="s">
        <v>171</v>
      </c>
      <c r="B45" s="53">
        <v>64</v>
      </c>
      <c r="C45" s="53">
        <v>17865000</v>
      </c>
      <c r="D45" s="54">
        <v>2.0300896063596112</v>
      </c>
      <c r="F45" s="53" t="s">
        <v>171</v>
      </c>
      <c r="G45" s="53">
        <v>64</v>
      </c>
      <c r="H45" s="53">
        <v>17865000</v>
      </c>
    </row>
    <row r="46" spans="1:8" x14ac:dyDescent="0.3">
      <c r="A46" s="53" t="s">
        <v>172</v>
      </c>
      <c r="B46" s="53">
        <v>22</v>
      </c>
      <c r="C46" s="53">
        <v>17070000</v>
      </c>
      <c r="D46" s="54">
        <v>1.9397727272727274</v>
      </c>
      <c r="F46" s="53" t="s">
        <v>172</v>
      </c>
      <c r="G46" s="53">
        <v>22</v>
      </c>
      <c r="H46" s="53">
        <v>17070000</v>
      </c>
    </row>
    <row r="47" spans="1:8" x14ac:dyDescent="0.3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3">
      <c r="A48" s="53" t="s">
        <v>151</v>
      </c>
      <c r="B48" s="53">
        <v>497746</v>
      </c>
      <c r="C48" s="53">
        <v>8695942000</v>
      </c>
      <c r="D48" s="54">
        <v>1.9159549052069667</v>
      </c>
      <c r="F48" s="53" t="s">
        <v>151</v>
      </c>
      <c r="G48" s="53">
        <v>497746</v>
      </c>
      <c r="H48" s="53">
        <v>8695942000</v>
      </c>
    </row>
    <row r="49" spans="1:8" x14ac:dyDescent="0.3">
      <c r="A49" s="53" t="s">
        <v>165</v>
      </c>
      <c r="B49" s="53">
        <v>355934</v>
      </c>
      <c r="C49" s="53">
        <v>7970752000</v>
      </c>
      <c r="D49" s="54">
        <v>1.7285873133552569</v>
      </c>
      <c r="F49" s="53" t="s">
        <v>165</v>
      </c>
      <c r="G49" s="53">
        <v>355934</v>
      </c>
      <c r="H49" s="53">
        <v>7970752000</v>
      </c>
    </row>
    <row r="50" spans="1:8" x14ac:dyDescent="0.3">
      <c r="A50" s="53" t="s">
        <v>166</v>
      </c>
      <c r="B50" s="53">
        <v>222818</v>
      </c>
      <c r="C50" s="53">
        <v>6099288000</v>
      </c>
      <c r="D50" s="54">
        <v>1.6643595597075975</v>
      </c>
      <c r="F50" s="53" t="s">
        <v>166</v>
      </c>
      <c r="G50" s="53">
        <v>222818</v>
      </c>
      <c r="H50" s="53">
        <v>6099288000</v>
      </c>
    </row>
    <row r="51" spans="1:8" x14ac:dyDescent="0.3">
      <c r="A51" s="53">
        <v>30100</v>
      </c>
      <c r="B51" s="53">
        <v>212929</v>
      </c>
      <c r="C51" s="53">
        <v>7293222000</v>
      </c>
      <c r="D51" s="54">
        <v>1.652806460065914</v>
      </c>
      <c r="F51" s="53">
        <v>30100</v>
      </c>
      <c r="G51" s="53">
        <v>212929</v>
      </c>
      <c r="H51" s="53">
        <v>7293222000</v>
      </c>
    </row>
    <row r="52" spans="1:8" x14ac:dyDescent="0.3">
      <c r="A52" s="53">
        <v>40100</v>
      </c>
      <c r="B52" s="53">
        <v>83771</v>
      </c>
      <c r="C52" s="53">
        <v>3718810000</v>
      </c>
      <c r="D52" s="54">
        <v>1.6748790539153027</v>
      </c>
      <c r="F52" s="53">
        <v>40100</v>
      </c>
      <c r="G52" s="53">
        <v>83771</v>
      </c>
      <c r="H52" s="53">
        <v>3718810000</v>
      </c>
    </row>
    <row r="53" spans="1:8" x14ac:dyDescent="0.3">
      <c r="A53" s="53" t="s">
        <v>168</v>
      </c>
      <c r="B53" s="53">
        <v>59641</v>
      </c>
      <c r="C53" s="53">
        <v>3463182000</v>
      </c>
      <c r="D53" s="54">
        <v>1.7006575495990068</v>
      </c>
      <c r="F53" s="53" t="s">
        <v>168</v>
      </c>
      <c r="G53" s="53">
        <v>59641</v>
      </c>
      <c r="H53" s="53">
        <v>3463182000</v>
      </c>
    </row>
    <row r="54" spans="1:8" x14ac:dyDescent="0.3">
      <c r="A54" s="53" t="s">
        <v>169</v>
      </c>
      <c r="B54" s="53">
        <v>26042</v>
      </c>
      <c r="C54" s="53">
        <v>2137810000</v>
      </c>
      <c r="D54" s="54">
        <v>1.7163296941713047</v>
      </c>
      <c r="F54" s="53" t="s">
        <v>169</v>
      </c>
      <c r="G54" s="53">
        <v>26042</v>
      </c>
      <c r="H54" s="53">
        <v>2137810000</v>
      </c>
    </row>
    <row r="55" spans="1:8" x14ac:dyDescent="0.3">
      <c r="A55" s="53" t="s">
        <v>170</v>
      </c>
      <c r="B55" s="53">
        <v>16331</v>
      </c>
      <c r="C55" s="53">
        <v>2154523000</v>
      </c>
      <c r="D55" s="54">
        <v>1.6978961390711427</v>
      </c>
      <c r="F55" s="53" t="s">
        <v>170</v>
      </c>
      <c r="G55" s="53">
        <v>16331</v>
      </c>
      <c r="H55" s="53">
        <v>2154523000</v>
      </c>
    </row>
    <row r="56" spans="1:8" x14ac:dyDescent="0.3">
      <c r="A56" s="53" t="s">
        <v>171</v>
      </c>
      <c r="B56" s="53">
        <v>3071</v>
      </c>
      <c r="C56" s="53">
        <v>798178000</v>
      </c>
      <c r="D56" s="54">
        <v>1.6837454928449755</v>
      </c>
      <c r="F56" s="53" t="s">
        <v>171</v>
      </c>
      <c r="G56" s="53">
        <v>3071</v>
      </c>
      <c r="H56" s="53">
        <v>798178000</v>
      </c>
    </row>
    <row r="57" spans="1:8" x14ac:dyDescent="0.3">
      <c r="A57" s="53" t="s">
        <v>172</v>
      </c>
      <c r="B57" s="53">
        <v>649</v>
      </c>
      <c r="C57" s="53">
        <v>455155000</v>
      </c>
      <c r="D57" s="54">
        <v>1.753293528505393</v>
      </c>
      <c r="F57" s="53" t="s">
        <v>172</v>
      </c>
      <c r="G57" s="53">
        <v>649</v>
      </c>
      <c r="H57" s="53">
        <v>455155000</v>
      </c>
    </row>
    <row r="58" spans="1:8" x14ac:dyDescent="0.3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3">
      <c r="A59" s="53" t="s">
        <v>151</v>
      </c>
      <c r="B59" s="53">
        <v>381587</v>
      </c>
      <c r="C59" s="53">
        <v>6638817000</v>
      </c>
      <c r="D59" s="54">
        <v>2.0772585357540967</v>
      </c>
      <c r="F59" s="53" t="s">
        <v>151</v>
      </c>
      <c r="G59" s="53">
        <v>381587</v>
      </c>
      <c r="H59" s="53">
        <v>6638817000</v>
      </c>
    </row>
    <row r="60" spans="1:8" x14ac:dyDescent="0.3">
      <c r="A60" s="53" t="s">
        <v>165</v>
      </c>
      <c r="B60" s="53">
        <v>248566</v>
      </c>
      <c r="C60" s="53">
        <v>5569224000</v>
      </c>
      <c r="D60" s="54">
        <v>1.8956345960529846</v>
      </c>
      <c r="F60" s="53" t="s">
        <v>165</v>
      </c>
      <c r="G60" s="53">
        <v>248566</v>
      </c>
      <c r="H60" s="53">
        <v>5569224000</v>
      </c>
    </row>
    <row r="61" spans="1:8" x14ac:dyDescent="0.3">
      <c r="A61" s="53" t="s">
        <v>166</v>
      </c>
      <c r="B61" s="53">
        <v>165742</v>
      </c>
      <c r="C61" s="53">
        <v>4541639000</v>
      </c>
      <c r="D61" s="54">
        <v>1.8044040542021045</v>
      </c>
      <c r="F61" s="53" t="s">
        <v>166</v>
      </c>
      <c r="G61" s="53">
        <v>165742</v>
      </c>
      <c r="H61" s="53">
        <v>4541639000</v>
      </c>
    </row>
    <row r="62" spans="1:8" x14ac:dyDescent="0.3">
      <c r="A62" s="53">
        <v>30100</v>
      </c>
      <c r="B62" s="53">
        <v>177849</v>
      </c>
      <c r="C62" s="53">
        <v>6116873000</v>
      </c>
      <c r="D62" s="54">
        <v>1.7659168130786642</v>
      </c>
      <c r="F62" s="53">
        <v>30100</v>
      </c>
      <c r="G62" s="53">
        <v>177849</v>
      </c>
      <c r="H62" s="53">
        <v>6116873000</v>
      </c>
    </row>
    <row r="63" spans="1:8" x14ac:dyDescent="0.3">
      <c r="A63" s="53">
        <v>40100</v>
      </c>
      <c r="B63" s="53">
        <v>79498</v>
      </c>
      <c r="C63" s="53">
        <v>3536097000</v>
      </c>
      <c r="D63" s="54">
        <v>1.7432459915499037</v>
      </c>
      <c r="F63" s="53">
        <v>40100</v>
      </c>
      <c r="G63" s="53">
        <v>79498</v>
      </c>
      <c r="H63" s="53">
        <v>3536097000</v>
      </c>
    </row>
    <row r="64" spans="1:8" x14ac:dyDescent="0.3">
      <c r="A64" s="53" t="s">
        <v>168</v>
      </c>
      <c r="B64" s="53">
        <v>63846</v>
      </c>
      <c r="C64" s="53">
        <v>3722018000</v>
      </c>
      <c r="D64" s="54">
        <v>1.7323287208384803</v>
      </c>
      <c r="F64" s="53" t="s">
        <v>168</v>
      </c>
      <c r="G64" s="53">
        <v>63846</v>
      </c>
      <c r="H64" s="53">
        <v>3722018000</v>
      </c>
    </row>
    <row r="65" spans="1:8" x14ac:dyDescent="0.3">
      <c r="A65" s="53" t="s">
        <v>169</v>
      </c>
      <c r="B65" s="53">
        <v>31210</v>
      </c>
      <c r="C65" s="53">
        <v>2564903000</v>
      </c>
      <c r="D65" s="54">
        <v>1.7027282009849367</v>
      </c>
      <c r="F65" s="53" t="s">
        <v>169</v>
      </c>
      <c r="G65" s="53">
        <v>31210</v>
      </c>
      <c r="H65" s="53">
        <v>2564903000</v>
      </c>
    </row>
    <row r="66" spans="1:8" x14ac:dyDescent="0.3">
      <c r="A66" s="53" t="s">
        <v>170</v>
      </c>
      <c r="B66" s="53">
        <v>20315</v>
      </c>
      <c r="C66" s="53">
        <v>2681359000</v>
      </c>
      <c r="D66" s="54">
        <v>1.6628564406657826</v>
      </c>
      <c r="F66" s="53" t="s">
        <v>170</v>
      </c>
      <c r="G66" s="53">
        <v>20315</v>
      </c>
      <c r="H66" s="53">
        <v>2681359000</v>
      </c>
    </row>
    <row r="67" spans="1:8" x14ac:dyDescent="0.3">
      <c r="A67" s="53" t="s">
        <v>171</v>
      </c>
      <c r="B67" s="53">
        <v>3610</v>
      </c>
      <c r="C67" s="53">
        <v>939967000</v>
      </c>
      <c r="D67" s="54">
        <v>1.6406302165606979</v>
      </c>
      <c r="F67" s="53" t="s">
        <v>171</v>
      </c>
      <c r="G67" s="53">
        <v>3610</v>
      </c>
      <c r="H67" s="53">
        <v>939967000</v>
      </c>
    </row>
    <row r="68" spans="1:8" x14ac:dyDescent="0.3">
      <c r="A68" s="53" t="s">
        <v>172</v>
      </c>
      <c r="B68" s="53">
        <v>716</v>
      </c>
      <c r="C68" s="53">
        <v>480216000</v>
      </c>
      <c r="D68" s="54">
        <v>1.676731843575419</v>
      </c>
      <c r="F68" s="53" t="s">
        <v>172</v>
      </c>
      <c r="G68" s="53">
        <v>716</v>
      </c>
      <c r="H68" s="53">
        <v>480216000</v>
      </c>
    </row>
    <row r="69" spans="1:8" x14ac:dyDescent="0.3">
      <c r="A69" s="51" t="s">
        <v>56</v>
      </c>
      <c r="B69" s="51" t="s">
        <v>72</v>
      </c>
      <c r="C69" s="51" t="s">
        <v>73</v>
      </c>
      <c r="D69" s="52" t="s">
        <v>59</v>
      </c>
    </row>
    <row r="70" spans="1:8" x14ac:dyDescent="0.3">
      <c r="A70" s="53" t="s">
        <v>151</v>
      </c>
      <c r="B70" s="53">
        <v>180200</v>
      </c>
      <c r="C70" s="53">
        <v>3129308000</v>
      </c>
      <c r="D70" s="54">
        <v>2.2003422090451901</v>
      </c>
      <c r="F70" s="53" t="s">
        <v>151</v>
      </c>
      <c r="G70" s="53">
        <v>180200</v>
      </c>
      <c r="H70" s="53">
        <v>3129308000</v>
      </c>
    </row>
    <row r="71" spans="1:8" x14ac:dyDescent="0.3">
      <c r="A71" s="53" t="s">
        <v>165</v>
      </c>
      <c r="B71" s="53">
        <v>101552</v>
      </c>
      <c r="C71" s="53">
        <v>2271228000</v>
      </c>
      <c r="D71" s="54">
        <v>2.0706917972601193</v>
      </c>
      <c r="F71" s="53" t="s">
        <v>165</v>
      </c>
      <c r="G71" s="53">
        <v>101552</v>
      </c>
      <c r="H71" s="53">
        <v>2271228000</v>
      </c>
    </row>
    <row r="72" spans="1:8" x14ac:dyDescent="0.3">
      <c r="A72" s="53" t="s">
        <v>166</v>
      </c>
      <c r="B72" s="53">
        <v>63636</v>
      </c>
      <c r="C72" s="53">
        <v>1744016000</v>
      </c>
      <c r="D72" s="54">
        <v>1.9843871166898499</v>
      </c>
      <c r="F72" s="53" t="s">
        <v>166</v>
      </c>
      <c r="G72" s="53">
        <v>63636</v>
      </c>
      <c r="H72" s="53">
        <v>1744016000</v>
      </c>
    </row>
    <row r="73" spans="1:8" x14ac:dyDescent="0.3">
      <c r="A73" s="53">
        <v>30100</v>
      </c>
      <c r="B73" s="53">
        <v>71345</v>
      </c>
      <c r="C73" s="53">
        <v>2460383000</v>
      </c>
      <c r="D73" s="54">
        <v>1.9250706146220169</v>
      </c>
      <c r="F73" s="53">
        <v>30100</v>
      </c>
      <c r="G73" s="53">
        <v>71345</v>
      </c>
      <c r="H73" s="53">
        <v>2460383000</v>
      </c>
    </row>
    <row r="74" spans="1:8" x14ac:dyDescent="0.3">
      <c r="A74" s="53">
        <v>40100</v>
      </c>
      <c r="B74" s="53">
        <v>36432</v>
      </c>
      <c r="C74" s="53">
        <v>1624554000</v>
      </c>
      <c r="D74" s="54">
        <v>1.8468590899750872</v>
      </c>
      <c r="F74" s="53">
        <v>40100</v>
      </c>
      <c r="G74" s="53">
        <v>36432</v>
      </c>
      <c r="H74" s="53">
        <v>1624554000</v>
      </c>
    </row>
    <row r="75" spans="1:8" x14ac:dyDescent="0.3">
      <c r="A75" s="53" t="s">
        <v>168</v>
      </c>
      <c r="B75" s="53">
        <v>33901</v>
      </c>
      <c r="C75" s="53">
        <v>1984326000</v>
      </c>
      <c r="D75" s="54">
        <v>1.79601260181698</v>
      </c>
      <c r="F75" s="53" t="s">
        <v>168</v>
      </c>
      <c r="G75" s="53">
        <v>33901</v>
      </c>
      <c r="H75" s="53">
        <v>1984326000</v>
      </c>
    </row>
    <row r="76" spans="1:8" x14ac:dyDescent="0.3">
      <c r="A76" s="53" t="s">
        <v>169</v>
      </c>
      <c r="B76" s="53">
        <v>18055</v>
      </c>
      <c r="C76" s="53">
        <v>1486533000</v>
      </c>
      <c r="D76" s="54">
        <v>1.7371812056665319</v>
      </c>
      <c r="F76" s="53" t="s">
        <v>169</v>
      </c>
      <c r="G76" s="53">
        <v>18055</v>
      </c>
      <c r="H76" s="53">
        <v>1486533000</v>
      </c>
    </row>
    <row r="77" spans="1:8" x14ac:dyDescent="0.3">
      <c r="A77" s="53" t="s">
        <v>170</v>
      </c>
      <c r="B77" s="53">
        <v>12535</v>
      </c>
      <c r="C77" s="53">
        <v>1667300000</v>
      </c>
      <c r="D77" s="54">
        <v>1.6763048248119983</v>
      </c>
      <c r="F77" s="53" t="s">
        <v>170</v>
      </c>
      <c r="G77" s="53">
        <v>12535</v>
      </c>
      <c r="H77" s="53">
        <v>1667300000</v>
      </c>
    </row>
    <row r="78" spans="1:8" x14ac:dyDescent="0.3">
      <c r="A78" s="53" t="s">
        <v>171</v>
      </c>
      <c r="B78" s="53">
        <v>2469</v>
      </c>
      <c r="C78" s="53">
        <v>644313000</v>
      </c>
      <c r="D78" s="54">
        <v>1.5800333926265857</v>
      </c>
      <c r="F78" s="53" t="s">
        <v>171</v>
      </c>
      <c r="G78" s="53">
        <v>2469</v>
      </c>
      <c r="H78" s="53">
        <v>644313000</v>
      </c>
    </row>
    <row r="79" spans="1:8" x14ac:dyDescent="0.3">
      <c r="A79" s="53" t="s">
        <v>172</v>
      </c>
      <c r="B79" s="53">
        <v>470</v>
      </c>
      <c r="C79" s="53">
        <v>284895000</v>
      </c>
      <c r="D79" s="54">
        <v>1.5153989361702127</v>
      </c>
      <c r="F79" s="53" t="s">
        <v>172</v>
      </c>
      <c r="G79" s="53">
        <v>470</v>
      </c>
      <c r="H79" s="53">
        <v>284895000</v>
      </c>
    </row>
    <row r="80" spans="1:8" x14ac:dyDescent="0.3">
      <c r="A80" s="51" t="s">
        <v>56</v>
      </c>
      <c r="B80" s="51" t="s">
        <v>74</v>
      </c>
      <c r="C80" s="51" t="s">
        <v>75</v>
      </c>
      <c r="D80" s="52" t="s">
        <v>59</v>
      </c>
    </row>
    <row r="81" spans="1:8" x14ac:dyDescent="0.3">
      <c r="A81" s="53" t="s">
        <v>151</v>
      </c>
      <c r="B81" s="53">
        <v>45870</v>
      </c>
      <c r="C81" s="53">
        <v>831940000</v>
      </c>
      <c r="D81" s="54">
        <v>2.4652902174122957</v>
      </c>
      <c r="F81" s="53" t="s">
        <v>151</v>
      </c>
      <c r="G81" s="53">
        <v>45870</v>
      </c>
      <c r="H81" s="53">
        <v>831940000</v>
      </c>
    </row>
    <row r="82" spans="1:8" x14ac:dyDescent="0.3">
      <c r="A82" s="53" t="s">
        <v>165</v>
      </c>
      <c r="B82" s="53">
        <v>37068</v>
      </c>
      <c r="C82" s="53">
        <v>827169000</v>
      </c>
      <c r="D82" s="54">
        <v>2.2086379660310107</v>
      </c>
      <c r="F82" s="53" t="s">
        <v>165</v>
      </c>
      <c r="G82" s="53">
        <v>37068</v>
      </c>
      <c r="H82" s="53">
        <v>827169000</v>
      </c>
    </row>
    <row r="83" spans="1:8" x14ac:dyDescent="0.3">
      <c r="A83" s="53" t="s">
        <v>166</v>
      </c>
      <c r="B83" s="53">
        <v>20678</v>
      </c>
      <c r="C83" s="53">
        <v>566466000</v>
      </c>
      <c r="D83" s="54">
        <v>2.1518570104483117</v>
      </c>
      <c r="F83" s="53" t="s">
        <v>166</v>
      </c>
      <c r="G83" s="53">
        <v>20678</v>
      </c>
      <c r="H83" s="53">
        <v>566466000</v>
      </c>
    </row>
    <row r="84" spans="1:8" x14ac:dyDescent="0.3">
      <c r="A84" s="53">
        <v>30100</v>
      </c>
      <c r="B84" s="53">
        <v>23334</v>
      </c>
      <c r="C84" s="53">
        <v>805874000</v>
      </c>
      <c r="D84" s="54">
        <v>2.0782764564811078</v>
      </c>
      <c r="F84" s="53">
        <v>30100</v>
      </c>
      <c r="G84" s="53">
        <v>23334</v>
      </c>
      <c r="H84" s="53">
        <v>805874000</v>
      </c>
    </row>
    <row r="85" spans="1:8" x14ac:dyDescent="0.3">
      <c r="A85" s="53">
        <v>40100</v>
      </c>
      <c r="B85" s="53">
        <v>12789</v>
      </c>
      <c r="C85" s="53">
        <v>571304000</v>
      </c>
      <c r="D85" s="54">
        <v>1.9568993776512953</v>
      </c>
      <c r="F85" s="53">
        <v>40100</v>
      </c>
      <c r="G85" s="53">
        <v>12789</v>
      </c>
      <c r="H85" s="53">
        <v>571304000</v>
      </c>
    </row>
    <row r="86" spans="1:8" x14ac:dyDescent="0.3">
      <c r="A86" s="53" t="s">
        <v>168</v>
      </c>
      <c r="B86" s="53">
        <v>13272</v>
      </c>
      <c r="C86" s="53">
        <v>778080000</v>
      </c>
      <c r="D86" s="54">
        <v>1.8712791800020192</v>
      </c>
      <c r="F86" s="53" t="s">
        <v>168</v>
      </c>
      <c r="G86" s="53">
        <v>13272</v>
      </c>
      <c r="H86" s="53">
        <v>778080000</v>
      </c>
    </row>
    <row r="87" spans="1:8" x14ac:dyDescent="0.3">
      <c r="A87" s="53" t="s">
        <v>169</v>
      </c>
      <c r="B87" s="53">
        <v>7980</v>
      </c>
      <c r="C87" s="53">
        <v>657652000</v>
      </c>
      <c r="D87" s="54">
        <v>1.7801816225363232</v>
      </c>
      <c r="F87" s="53" t="s">
        <v>169</v>
      </c>
      <c r="G87" s="53">
        <v>7980</v>
      </c>
      <c r="H87" s="53">
        <v>657652000</v>
      </c>
    </row>
    <row r="88" spans="1:8" x14ac:dyDescent="0.3">
      <c r="A88" s="53" t="s">
        <v>170</v>
      </c>
      <c r="B88" s="53">
        <v>5577</v>
      </c>
      <c r="C88" s="53">
        <v>742487000</v>
      </c>
      <c r="D88" s="54">
        <v>1.726615478568881</v>
      </c>
      <c r="F88" s="53" t="s">
        <v>170</v>
      </c>
      <c r="G88" s="53">
        <v>5577</v>
      </c>
      <c r="H88" s="53">
        <v>742487000</v>
      </c>
    </row>
    <row r="89" spans="1:8" x14ac:dyDescent="0.3">
      <c r="A89" s="53" t="s">
        <v>171</v>
      </c>
      <c r="B89" s="53">
        <v>1236</v>
      </c>
      <c r="C89" s="53">
        <v>323913000</v>
      </c>
      <c r="D89" s="54">
        <v>1.6205748015185293</v>
      </c>
      <c r="F89" s="53" t="s">
        <v>171</v>
      </c>
      <c r="G89" s="53">
        <v>1236</v>
      </c>
      <c r="H89" s="53">
        <v>323913000</v>
      </c>
    </row>
    <row r="90" spans="1:8" x14ac:dyDescent="0.3">
      <c r="A90" s="53" t="s">
        <v>172</v>
      </c>
      <c r="B90" s="53">
        <v>226</v>
      </c>
      <c r="C90" s="53">
        <v>150180000</v>
      </c>
      <c r="D90" s="54">
        <v>1.661283185840708</v>
      </c>
      <c r="F90" s="53" t="s">
        <v>172</v>
      </c>
      <c r="G90" s="53">
        <v>226</v>
      </c>
      <c r="H90" s="53">
        <v>150180000</v>
      </c>
    </row>
    <row r="91" spans="1:8" x14ac:dyDescent="0.3">
      <c r="A91" s="51" t="s">
        <v>56</v>
      </c>
      <c r="B91" s="51" t="s">
        <v>76</v>
      </c>
      <c r="C91" s="51" t="s">
        <v>77</v>
      </c>
      <c r="D91" s="52" t="s">
        <v>59</v>
      </c>
    </row>
    <row r="92" spans="1:8" x14ac:dyDescent="0.3">
      <c r="A92" s="53" t="s">
        <v>151</v>
      </c>
      <c r="B92" s="53">
        <v>7934</v>
      </c>
      <c r="C92" s="53">
        <v>149174000</v>
      </c>
      <c r="D92" s="54">
        <v>2.7098102777840913</v>
      </c>
      <c r="F92" s="53" t="s">
        <v>151</v>
      </c>
      <c r="G92" s="53">
        <v>7934</v>
      </c>
      <c r="H92" s="53">
        <v>149174000</v>
      </c>
    </row>
    <row r="93" spans="1:8" x14ac:dyDescent="0.3">
      <c r="A93" s="53" t="s">
        <v>165</v>
      </c>
      <c r="B93" s="53">
        <v>14382</v>
      </c>
      <c r="C93" s="53">
        <v>320596000</v>
      </c>
      <c r="D93" s="54">
        <v>2.2344414683389027</v>
      </c>
      <c r="F93" s="53" t="s">
        <v>165</v>
      </c>
      <c r="G93" s="53">
        <v>14382</v>
      </c>
      <c r="H93" s="53">
        <v>320596000</v>
      </c>
    </row>
    <row r="94" spans="1:8" x14ac:dyDescent="0.3">
      <c r="A94" s="53" t="s">
        <v>166</v>
      </c>
      <c r="B94" s="53">
        <v>7277</v>
      </c>
      <c r="C94" s="53">
        <v>198936000</v>
      </c>
      <c r="D94" s="54">
        <v>2.2279612514409366</v>
      </c>
      <c r="F94" s="53" t="s">
        <v>166</v>
      </c>
      <c r="G94" s="53">
        <v>7277</v>
      </c>
      <c r="H94" s="53">
        <v>198936000</v>
      </c>
    </row>
    <row r="95" spans="1:8" x14ac:dyDescent="0.3">
      <c r="A95" s="53">
        <v>30100</v>
      </c>
      <c r="B95" s="53">
        <v>7379</v>
      </c>
      <c r="C95" s="53">
        <v>254891000</v>
      </c>
      <c r="D95" s="54">
        <v>2.1681331910736792</v>
      </c>
      <c r="F95" s="53">
        <v>30100</v>
      </c>
      <c r="G95" s="53">
        <v>7379</v>
      </c>
      <c r="H95" s="53">
        <v>254891000</v>
      </c>
    </row>
    <row r="96" spans="1:8" x14ac:dyDescent="0.3">
      <c r="A96" s="53">
        <v>40100</v>
      </c>
      <c r="B96" s="53">
        <v>4378</v>
      </c>
      <c r="C96" s="53">
        <v>195326000</v>
      </c>
      <c r="D96" s="54">
        <v>2.0069722966653463</v>
      </c>
      <c r="F96" s="53">
        <v>40100</v>
      </c>
      <c r="G96" s="53">
        <v>4378</v>
      </c>
      <c r="H96" s="53">
        <v>195326000</v>
      </c>
    </row>
    <row r="97" spans="1:8" x14ac:dyDescent="0.3">
      <c r="A97" s="53" t="s">
        <v>168</v>
      </c>
      <c r="B97" s="53">
        <v>4722</v>
      </c>
      <c r="C97" s="53">
        <v>277946000</v>
      </c>
      <c r="D97" s="54">
        <v>1.9044015430531103</v>
      </c>
      <c r="F97" s="53" t="s">
        <v>168</v>
      </c>
      <c r="G97" s="53">
        <v>4722</v>
      </c>
      <c r="H97" s="53">
        <v>277946000</v>
      </c>
    </row>
    <row r="98" spans="1:8" x14ac:dyDescent="0.3">
      <c r="A98" s="53" t="s">
        <v>169</v>
      </c>
      <c r="B98" s="53">
        <v>3035</v>
      </c>
      <c r="C98" s="53">
        <v>250483000</v>
      </c>
      <c r="D98" s="54">
        <v>1.7859761463110295</v>
      </c>
      <c r="F98" s="53" t="s">
        <v>169</v>
      </c>
      <c r="G98" s="53">
        <v>3035</v>
      </c>
      <c r="H98" s="53">
        <v>250483000</v>
      </c>
    </row>
    <row r="99" spans="1:8" x14ac:dyDescent="0.3">
      <c r="A99" s="53" t="s">
        <v>170</v>
      </c>
      <c r="B99" s="53">
        <v>2198</v>
      </c>
      <c r="C99" s="53">
        <v>293153000</v>
      </c>
      <c r="D99" s="54">
        <v>1.7195852353518175</v>
      </c>
      <c r="F99" s="53" t="s">
        <v>170</v>
      </c>
      <c r="G99" s="53">
        <v>2198</v>
      </c>
      <c r="H99" s="53">
        <v>293153000</v>
      </c>
    </row>
    <row r="100" spans="1:8" x14ac:dyDescent="0.3">
      <c r="A100" s="53" t="s">
        <v>171</v>
      </c>
      <c r="B100" s="53">
        <v>468</v>
      </c>
      <c r="C100" s="53">
        <v>122199000</v>
      </c>
      <c r="D100" s="54">
        <v>1.6191102309807661</v>
      </c>
      <c r="F100" s="53" t="s">
        <v>171</v>
      </c>
      <c r="G100" s="53">
        <v>468</v>
      </c>
      <c r="H100" s="53">
        <v>122199000</v>
      </c>
    </row>
    <row r="101" spans="1:8" x14ac:dyDescent="0.3">
      <c r="A101" s="53" t="s">
        <v>172</v>
      </c>
      <c r="B101" s="53">
        <v>93</v>
      </c>
      <c r="C101" s="53">
        <v>59556000</v>
      </c>
      <c r="D101" s="54">
        <v>1.600967741935484</v>
      </c>
      <c r="F101" s="53" t="s">
        <v>172</v>
      </c>
      <c r="G101" s="53">
        <v>93</v>
      </c>
      <c r="H101" s="53">
        <v>59556000</v>
      </c>
    </row>
    <row r="102" spans="1:8" x14ac:dyDescent="0.3">
      <c r="A102" s="51" t="s">
        <v>56</v>
      </c>
      <c r="B102" s="51" t="s">
        <v>78</v>
      </c>
      <c r="C102" s="51" t="s">
        <v>79</v>
      </c>
      <c r="D102" s="52" t="s">
        <v>59</v>
      </c>
    </row>
    <row r="103" spans="1:8" x14ac:dyDescent="0.3">
      <c r="A103" s="51"/>
      <c r="B103" s="51"/>
      <c r="C103" s="51"/>
      <c r="D103" s="52"/>
      <c r="F103" s="53">
        <v>15100</v>
      </c>
      <c r="G103" s="2">
        <v>2975.6637463496036</v>
      </c>
      <c r="H103" s="2">
        <v>55948029.203170627</v>
      </c>
    </row>
    <row r="104" spans="1:8" x14ac:dyDescent="0.3">
      <c r="A104" s="53" t="s">
        <v>165</v>
      </c>
      <c r="B104" s="53">
        <v>5394</v>
      </c>
      <c r="C104" s="53">
        <v>122259000</v>
      </c>
      <c r="D104" s="54">
        <v>2.2907258731456328</v>
      </c>
      <c r="F104" s="53">
        <v>20100</v>
      </c>
      <c r="G104" s="55">
        <v>5394</v>
      </c>
      <c r="H104" s="55">
        <v>122259000</v>
      </c>
    </row>
    <row r="105" spans="1:8" x14ac:dyDescent="0.3">
      <c r="A105" s="53" t="s">
        <v>166</v>
      </c>
      <c r="B105" s="53">
        <v>3082</v>
      </c>
      <c r="C105" s="53">
        <v>84167000</v>
      </c>
      <c r="D105" s="54">
        <v>2.2778225140040016</v>
      </c>
      <c r="F105" s="53">
        <v>25100</v>
      </c>
      <c r="G105" s="55">
        <v>3082</v>
      </c>
      <c r="H105" s="55">
        <v>84167000</v>
      </c>
    </row>
    <row r="106" spans="1:8" x14ac:dyDescent="0.3">
      <c r="A106" s="53">
        <v>30100</v>
      </c>
      <c r="B106" s="53">
        <v>2746</v>
      </c>
      <c r="C106" s="53">
        <v>94372000</v>
      </c>
      <c r="D106" s="54">
        <v>2.2701848993494043</v>
      </c>
      <c r="F106" s="53">
        <v>30100</v>
      </c>
      <c r="G106" s="55">
        <v>2746</v>
      </c>
      <c r="H106" s="55">
        <v>94372000</v>
      </c>
    </row>
    <row r="107" spans="1:8" x14ac:dyDescent="0.3">
      <c r="A107" s="53">
        <v>40100</v>
      </c>
      <c r="B107" s="53">
        <v>1529</v>
      </c>
      <c r="C107" s="53">
        <v>68306000</v>
      </c>
      <c r="D107" s="54">
        <v>2.1267940653636721</v>
      </c>
      <c r="F107" s="53">
        <v>40100</v>
      </c>
      <c r="G107" s="55">
        <v>1529</v>
      </c>
      <c r="H107" s="55">
        <v>68306000</v>
      </c>
    </row>
    <row r="108" spans="1:8" x14ac:dyDescent="0.3">
      <c r="A108" s="53" t="s">
        <v>168</v>
      </c>
      <c r="B108" s="53">
        <v>1715</v>
      </c>
      <c r="C108" s="53">
        <v>101124000</v>
      </c>
      <c r="D108" s="54">
        <v>2.0142398314370507</v>
      </c>
      <c r="F108" s="53">
        <v>50100</v>
      </c>
      <c r="G108" s="55">
        <v>1715</v>
      </c>
      <c r="H108" s="55">
        <v>101124000</v>
      </c>
    </row>
    <row r="109" spans="1:8" x14ac:dyDescent="0.3">
      <c r="A109" s="53" t="s">
        <v>169</v>
      </c>
      <c r="B109" s="53">
        <v>1135</v>
      </c>
      <c r="C109" s="53">
        <v>93583000</v>
      </c>
      <c r="D109" s="54">
        <v>1.894073884075514</v>
      </c>
      <c r="F109" s="53">
        <v>70100</v>
      </c>
      <c r="G109" s="55">
        <v>1135</v>
      </c>
      <c r="H109" s="55">
        <v>93583000</v>
      </c>
    </row>
    <row r="110" spans="1:8" x14ac:dyDescent="0.3">
      <c r="A110" s="53" t="s">
        <v>170</v>
      </c>
      <c r="B110" s="53">
        <v>866</v>
      </c>
      <c r="C110" s="53">
        <v>115404000</v>
      </c>
      <c r="D110" s="54">
        <v>1.8345145504539984</v>
      </c>
      <c r="F110" s="53">
        <v>100100</v>
      </c>
      <c r="G110" s="55">
        <v>866</v>
      </c>
      <c r="H110" s="55">
        <v>115404000</v>
      </c>
    </row>
    <row r="111" spans="1:8" x14ac:dyDescent="0.3">
      <c r="A111" s="53" t="s">
        <v>171</v>
      </c>
      <c r="B111" s="53">
        <v>214</v>
      </c>
      <c r="C111" s="53">
        <v>56886000</v>
      </c>
      <c r="D111" s="54">
        <v>1.7660041574543468</v>
      </c>
      <c r="F111" s="53">
        <v>200100</v>
      </c>
      <c r="G111" s="55">
        <v>214</v>
      </c>
      <c r="H111" s="55">
        <v>56886000</v>
      </c>
    </row>
    <row r="112" spans="1:8" x14ac:dyDescent="0.3">
      <c r="A112" s="53" t="s">
        <v>172</v>
      </c>
      <c r="B112" s="53">
        <v>43</v>
      </c>
      <c r="C112" s="53">
        <v>33932000</v>
      </c>
      <c r="D112" s="54">
        <v>1.9727906976744187</v>
      </c>
      <c r="F112" s="53">
        <v>400000</v>
      </c>
      <c r="G112" s="55">
        <v>43</v>
      </c>
      <c r="H112" s="55">
        <v>33932000</v>
      </c>
    </row>
    <row r="113" spans="1:8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3">
      <c r="A114" s="51"/>
      <c r="B114" s="51"/>
      <c r="C114" s="51"/>
      <c r="D114" s="52"/>
      <c r="F114" s="53">
        <v>15100</v>
      </c>
      <c r="G114" s="2">
        <v>677.9923515505493</v>
      </c>
      <c r="H114" s="2">
        <v>12747520.928938953</v>
      </c>
    </row>
    <row r="115" spans="1:8" x14ac:dyDescent="0.3">
      <c r="A115" s="53" t="s">
        <v>165</v>
      </c>
      <c r="B115" s="53">
        <v>1229</v>
      </c>
      <c r="C115" s="53">
        <v>28924000</v>
      </c>
      <c r="D115" s="54">
        <v>2.4608695428057432</v>
      </c>
      <c r="F115" s="53">
        <v>20100</v>
      </c>
      <c r="G115" s="55">
        <v>1229</v>
      </c>
      <c r="H115" s="55">
        <v>28924000</v>
      </c>
    </row>
    <row r="116" spans="1:8" x14ac:dyDescent="0.3">
      <c r="A116" s="53" t="s">
        <v>166</v>
      </c>
      <c r="B116" s="53">
        <v>1381</v>
      </c>
      <c r="C116" s="53">
        <v>37751000</v>
      </c>
      <c r="D116" s="54">
        <v>2.248952458469498</v>
      </c>
      <c r="F116" s="53">
        <v>25100</v>
      </c>
      <c r="G116" s="55">
        <v>1381</v>
      </c>
      <c r="H116" s="55">
        <v>37751000</v>
      </c>
    </row>
    <row r="117" spans="1:8" x14ac:dyDescent="0.3">
      <c r="A117" s="53">
        <v>30100</v>
      </c>
      <c r="B117" s="53">
        <v>1176</v>
      </c>
      <c r="C117" s="53">
        <v>40416000</v>
      </c>
      <c r="D117" s="54">
        <v>2.2952726999282489</v>
      </c>
      <c r="F117" s="53">
        <v>30100</v>
      </c>
      <c r="G117" s="55">
        <v>1176</v>
      </c>
      <c r="H117" s="55">
        <v>40416000</v>
      </c>
    </row>
    <row r="118" spans="1:8" x14ac:dyDescent="0.3">
      <c r="A118" s="53">
        <v>40100</v>
      </c>
      <c r="B118" s="53">
        <v>537</v>
      </c>
      <c r="C118" s="53">
        <v>24067000</v>
      </c>
      <c r="D118" s="54">
        <v>2.2307323959428111</v>
      </c>
      <c r="F118" s="53">
        <v>40100</v>
      </c>
      <c r="G118" s="55">
        <v>537</v>
      </c>
      <c r="H118" s="55">
        <v>24067000</v>
      </c>
    </row>
    <row r="119" spans="1:8" x14ac:dyDescent="0.3">
      <c r="A119" s="53" t="s">
        <v>168</v>
      </c>
      <c r="B119" s="53">
        <v>623</v>
      </c>
      <c r="C119" s="53">
        <v>36510000</v>
      </c>
      <c r="D119" s="54">
        <v>2.1113767016375968</v>
      </c>
      <c r="F119" s="53">
        <v>50100</v>
      </c>
      <c r="G119" s="55">
        <v>623</v>
      </c>
      <c r="H119" s="55">
        <v>36510000</v>
      </c>
    </row>
    <row r="120" spans="1:8" x14ac:dyDescent="0.3">
      <c r="A120" s="53" t="s">
        <v>169</v>
      </c>
      <c r="B120" s="53">
        <v>387</v>
      </c>
      <c r="C120" s="53">
        <v>31901000</v>
      </c>
      <c r="D120" s="54">
        <v>2.0051659083810955</v>
      </c>
      <c r="F120" s="53">
        <v>70100</v>
      </c>
      <c r="G120" s="55">
        <v>387</v>
      </c>
      <c r="H120" s="55">
        <v>31901000</v>
      </c>
    </row>
    <row r="121" spans="1:8" x14ac:dyDescent="0.3">
      <c r="A121" s="53" t="s">
        <v>170</v>
      </c>
      <c r="B121" s="53">
        <v>348</v>
      </c>
      <c r="C121" s="53">
        <v>46504000</v>
      </c>
      <c r="D121" s="54">
        <v>1.8949173097644714</v>
      </c>
      <c r="F121" s="53">
        <v>100100</v>
      </c>
      <c r="G121" s="55">
        <v>348</v>
      </c>
      <c r="H121" s="55">
        <v>46504000</v>
      </c>
    </row>
    <row r="122" spans="1:8" x14ac:dyDescent="0.3">
      <c r="A122" s="53" t="s">
        <v>171</v>
      </c>
      <c r="B122" s="53">
        <v>82</v>
      </c>
      <c r="C122" s="53">
        <v>20929000</v>
      </c>
      <c r="D122" s="54">
        <v>1.8340829585207397</v>
      </c>
      <c r="F122" s="53">
        <v>200100</v>
      </c>
      <c r="G122" s="55">
        <v>82</v>
      </c>
      <c r="H122" s="55">
        <v>20929000</v>
      </c>
    </row>
    <row r="123" spans="1:8" x14ac:dyDescent="0.3">
      <c r="A123" s="53" t="s">
        <v>172</v>
      </c>
      <c r="B123" s="53">
        <v>28</v>
      </c>
      <c r="C123" s="53">
        <v>19441000</v>
      </c>
      <c r="D123" s="54">
        <v>1.7358035714285713</v>
      </c>
      <c r="F123" s="53">
        <v>400000</v>
      </c>
      <c r="G123" s="55">
        <v>28</v>
      </c>
      <c r="H123" s="55">
        <v>19441000</v>
      </c>
    </row>
    <row r="124" spans="1:8" x14ac:dyDescent="0.3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3">
      <c r="A125" s="51"/>
      <c r="B125" s="51"/>
      <c r="C125" s="51"/>
      <c r="D125" s="52"/>
      <c r="F125" s="53">
        <v>15100</v>
      </c>
      <c r="G125" s="2">
        <v>99.2991239048811</v>
      </c>
      <c r="H125" s="2">
        <v>1867008.7609511891</v>
      </c>
    </row>
    <row r="126" spans="1:8" x14ac:dyDescent="0.3">
      <c r="A126" s="53" t="s">
        <v>165</v>
      </c>
      <c r="B126" s="53">
        <v>180</v>
      </c>
      <c r="C126" s="53">
        <v>4172000</v>
      </c>
      <c r="D126" s="54">
        <v>2.453307234320202</v>
      </c>
      <c r="F126" s="53">
        <v>20100</v>
      </c>
      <c r="G126" s="53">
        <v>180</v>
      </c>
      <c r="H126" s="53">
        <v>4172000</v>
      </c>
    </row>
    <row r="127" spans="1:8" x14ac:dyDescent="0.3">
      <c r="A127" s="53" t="s">
        <v>166</v>
      </c>
      <c r="B127" s="53">
        <v>748</v>
      </c>
      <c r="C127" s="53">
        <v>20462000</v>
      </c>
      <c r="D127" s="54">
        <v>2.0575633972048317</v>
      </c>
      <c r="F127" s="53">
        <v>25100</v>
      </c>
      <c r="G127" s="53">
        <v>748</v>
      </c>
      <c r="H127" s="53">
        <v>20462000</v>
      </c>
    </row>
    <row r="128" spans="1:8" x14ac:dyDescent="0.3">
      <c r="A128" s="53">
        <v>30100</v>
      </c>
      <c r="B128" s="53">
        <v>542</v>
      </c>
      <c r="C128" s="53">
        <v>18529000</v>
      </c>
      <c r="D128" s="54">
        <v>2.191800203318067</v>
      </c>
      <c r="F128" s="53">
        <v>30100</v>
      </c>
      <c r="G128" s="53">
        <v>542</v>
      </c>
      <c r="H128" s="53">
        <v>18529000</v>
      </c>
    </row>
    <row r="129" spans="1:8" x14ac:dyDescent="0.3">
      <c r="A129" s="53">
        <v>40100</v>
      </c>
      <c r="B129" s="53">
        <v>214</v>
      </c>
      <c r="C129" s="53">
        <v>9524000</v>
      </c>
      <c r="D129" s="54">
        <v>2.2370039089603813</v>
      </c>
      <c r="F129" s="53">
        <v>40100</v>
      </c>
      <c r="G129" s="53">
        <v>214</v>
      </c>
      <c r="H129" s="53">
        <v>9524000</v>
      </c>
    </row>
    <row r="130" spans="1:8" x14ac:dyDescent="0.3">
      <c r="A130" s="53" t="s">
        <v>168</v>
      </c>
      <c r="B130" s="53">
        <v>205</v>
      </c>
      <c r="C130" s="53">
        <v>12231000</v>
      </c>
      <c r="D130" s="54">
        <v>2.1675789046906186</v>
      </c>
      <c r="F130" s="53">
        <v>50100</v>
      </c>
      <c r="G130" s="53">
        <v>205</v>
      </c>
      <c r="H130" s="53">
        <v>12231000</v>
      </c>
    </row>
    <row r="131" spans="1:8" x14ac:dyDescent="0.3">
      <c r="A131" s="53" t="s">
        <v>169</v>
      </c>
      <c r="B131" s="53">
        <v>155</v>
      </c>
      <c r="C131" s="53">
        <v>12945000</v>
      </c>
      <c r="D131" s="54">
        <v>2.0152690200597565</v>
      </c>
      <c r="F131" s="53">
        <v>70100</v>
      </c>
      <c r="G131" s="53">
        <v>155</v>
      </c>
      <c r="H131" s="53">
        <v>12945000</v>
      </c>
    </row>
    <row r="132" spans="1:8" x14ac:dyDescent="0.3">
      <c r="A132" s="53" t="s">
        <v>170</v>
      </c>
      <c r="B132" s="53">
        <v>108</v>
      </c>
      <c r="C132" s="53">
        <v>13839000</v>
      </c>
      <c r="D132" s="54">
        <v>1.999645091750355</v>
      </c>
      <c r="F132" s="53">
        <v>100100</v>
      </c>
      <c r="G132" s="53">
        <v>108</v>
      </c>
      <c r="H132" s="53">
        <v>13839000</v>
      </c>
    </row>
    <row r="133" spans="1:8" x14ac:dyDescent="0.3">
      <c r="A133" s="53" t="s">
        <v>171</v>
      </c>
      <c r="B133" s="53">
        <v>32</v>
      </c>
      <c r="C133" s="53">
        <v>8279000</v>
      </c>
      <c r="D133" s="54">
        <v>1.8838308118667939</v>
      </c>
      <c r="F133" s="53">
        <v>200100</v>
      </c>
      <c r="G133" s="53">
        <v>32</v>
      </c>
      <c r="H133" s="53">
        <v>8279000</v>
      </c>
    </row>
    <row r="134" spans="1:8" x14ac:dyDescent="0.3">
      <c r="A134" s="53" t="s">
        <v>172</v>
      </c>
      <c r="B134" s="53">
        <v>12</v>
      </c>
      <c r="C134" s="53">
        <v>8307000</v>
      </c>
      <c r="D134" s="54">
        <v>1.7306250000000001</v>
      </c>
      <c r="F134" s="53">
        <v>400000</v>
      </c>
      <c r="G134" s="53">
        <v>12</v>
      </c>
      <c r="H134" s="53">
        <v>8307000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1925</v>
      </c>
      <c r="C1" s="8" t="s">
        <v>24</v>
      </c>
      <c r="D1" s="10">
        <f>1000*[1]TD1!$C$32</f>
        <v>16000924.309334688</v>
      </c>
      <c r="E1" s="8" t="s">
        <v>30</v>
      </c>
      <c r="F1" s="21">
        <f>(SUMPRODUCT(D4:D14,H4:H14,I4:I14)/(D2*B2))/((1-SUMPRODUCT(D4:D14,H4:H14,I4:I14)/B2)/(1-D2))</f>
        <v>0.66508186747141051</v>
      </c>
      <c r="G1" s="19"/>
      <c r="H1" s="16"/>
    </row>
    <row r="2" spans="1:12" x14ac:dyDescent="0.3">
      <c r="A2" s="8" t="s">
        <v>12</v>
      </c>
      <c r="B2" s="11">
        <f>[1]TD2!$M$32</f>
        <v>6392.2573046613597</v>
      </c>
      <c r="C2" s="8" t="s">
        <v>15</v>
      </c>
      <c r="D2" s="14">
        <f>[1]TD1!$F$32</f>
        <v>0.21534070994863841</v>
      </c>
      <c r="E2" s="18" t="s">
        <v>26</v>
      </c>
      <c r="I2" s="8"/>
      <c r="L2" s="14">
        <f>D2</f>
        <v>0.21534070994863841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0.25757559013826514</v>
      </c>
      <c r="E4" s="14"/>
      <c r="F4" s="8"/>
      <c r="G4" s="8"/>
      <c r="H4" s="17">
        <f>((1-B4)*B2-(1-B5)*C5*A5)/(B5-B4)</f>
        <v>3012.1814824127973</v>
      </c>
      <c r="I4" s="18">
        <f t="shared" ref="I4" si="0">B5-B4</f>
        <v>0.73197066783905029</v>
      </c>
      <c r="L4" s="14"/>
    </row>
    <row r="5" spans="1:12" x14ac:dyDescent="0.3">
      <c r="A5" s="11">
        <v>7000</v>
      </c>
      <c r="B5" s="12">
        <v>0.73197066783905029</v>
      </c>
      <c r="C5" s="8">
        <v>2.2318606376647949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8625.3574109586552</v>
      </c>
      <c r="I5" s="18">
        <f t="shared" ref="I5:I13" si="3">B6-B5</f>
        <v>0.15069717168807983</v>
      </c>
      <c r="L5" s="14">
        <v>0.1</v>
      </c>
    </row>
    <row r="6" spans="1:12" x14ac:dyDescent="0.3">
      <c r="A6" s="11">
        <v>10000</v>
      </c>
      <c r="B6" s="12">
        <v>0.88266783952713013</v>
      </c>
      <c r="C6" s="8">
        <v>2.4610574245452881</v>
      </c>
      <c r="D6" s="14">
        <f t="shared" si="1"/>
        <v>0.1</v>
      </c>
      <c r="E6" s="14"/>
      <c r="F6" s="8"/>
      <c r="G6" s="8"/>
      <c r="H6" s="17">
        <f t="shared" si="2"/>
        <v>13822.713662262766</v>
      </c>
      <c r="I6" s="18">
        <f t="shared" si="3"/>
        <v>8.0761969089508057E-2</v>
      </c>
      <c r="L6" s="14">
        <v>0.1</v>
      </c>
    </row>
    <row r="7" spans="1:12" x14ac:dyDescent="0.3">
      <c r="A7" s="11">
        <v>20000</v>
      </c>
      <c r="B7" s="12">
        <v>0.96342980861663818</v>
      </c>
      <c r="C7" s="8">
        <v>2.421729564666748</v>
      </c>
      <c r="D7" s="14">
        <f t="shared" si="1"/>
        <v>0.1</v>
      </c>
      <c r="E7" s="14"/>
      <c r="H7" s="17">
        <f t="shared" si="2"/>
        <v>24937.7838175258</v>
      </c>
      <c r="I7" s="18">
        <f t="shared" si="3"/>
        <v>1.8297195434570313E-2</v>
      </c>
      <c r="L7" s="14">
        <v>0.1</v>
      </c>
    </row>
    <row r="8" spans="1:12" x14ac:dyDescent="0.3">
      <c r="A8" s="11">
        <v>30000</v>
      </c>
      <c r="B8" s="12">
        <v>0.9817270040512085</v>
      </c>
      <c r="C8" s="8">
        <v>2.3987505435943604</v>
      </c>
      <c r="D8" s="14">
        <f t="shared" si="1"/>
        <v>0.1</v>
      </c>
      <c r="E8" s="14"/>
      <c r="H8" s="17">
        <f t="shared" si="2"/>
        <v>39254.362873570441</v>
      </c>
      <c r="I8" s="18">
        <f t="shared" si="3"/>
        <v>1.0348021984100342E-2</v>
      </c>
      <c r="L8" s="14">
        <v>0.1</v>
      </c>
    </row>
    <row r="9" spans="1:12" x14ac:dyDescent="0.3">
      <c r="A9" s="11">
        <v>50000</v>
      </c>
      <c r="B9" s="12">
        <v>0.99207502603530884</v>
      </c>
      <c r="C9" s="12">
        <v>2.2934226989746094</v>
      </c>
      <c r="D9" s="14">
        <f t="shared" si="1"/>
        <v>0.1</v>
      </c>
      <c r="E9" s="14"/>
      <c r="H9" s="17">
        <f t="shared" si="2"/>
        <v>67702.214177624366</v>
      </c>
      <c r="I9" s="18">
        <f t="shared" si="3"/>
        <v>5.3756237030029297E-3</v>
      </c>
      <c r="L9" s="14">
        <v>0.1</v>
      </c>
    </row>
    <row r="10" spans="1:12" x14ac:dyDescent="0.3">
      <c r="A10" s="11">
        <v>100000</v>
      </c>
      <c r="B10" s="12">
        <v>0.99745064973831177</v>
      </c>
      <c r="C10" s="12">
        <v>2.1371097564697266</v>
      </c>
      <c r="D10" s="14">
        <f t="shared" si="1"/>
        <v>0.1</v>
      </c>
      <c r="E10" s="14"/>
      <c r="H10" s="17">
        <f t="shared" si="2"/>
        <v>135416.72989222163</v>
      </c>
      <c r="I10" s="18">
        <f t="shared" si="3"/>
        <v>1.7766952514648438E-3</v>
      </c>
      <c r="L10" s="14">
        <v>0.1</v>
      </c>
    </row>
    <row r="11" spans="1:12" x14ac:dyDescent="0.3">
      <c r="A11" s="11">
        <v>200000</v>
      </c>
      <c r="B11" s="12">
        <v>0.99922734498977661</v>
      </c>
      <c r="C11" s="12">
        <v>1.9687303304672241</v>
      </c>
      <c r="D11" s="14">
        <f t="shared" si="1"/>
        <v>0.1</v>
      </c>
      <c r="E11" s="14"/>
      <c r="H11" s="17">
        <f t="shared" si="2"/>
        <v>242568.95377967585</v>
      </c>
      <c r="I11" s="18">
        <f t="shared" si="3"/>
        <v>4.1651725769042969E-4</v>
      </c>
      <c r="L11" s="14">
        <v>0.1</v>
      </c>
    </row>
    <row r="12" spans="1:12" x14ac:dyDescent="0.3">
      <c r="A12" s="11">
        <v>300000</v>
      </c>
      <c r="B12" s="12">
        <v>0.99964386224746704</v>
      </c>
      <c r="C12" s="12">
        <v>1.9018456935882568</v>
      </c>
      <c r="D12" s="14">
        <f t="shared" si="1"/>
        <v>0.1</v>
      </c>
      <c r="E12" s="14"/>
      <c r="H12" s="17">
        <f t="shared" si="2"/>
        <v>374449.43454231508</v>
      </c>
      <c r="I12" s="18">
        <f t="shared" si="3"/>
        <v>2.3764371871948242E-4</v>
      </c>
      <c r="L12" s="14">
        <v>0.1</v>
      </c>
    </row>
    <row r="13" spans="1:12" x14ac:dyDescent="0.3">
      <c r="A13" s="11">
        <v>500000</v>
      </c>
      <c r="B13" s="12">
        <v>0.99988150596618652</v>
      </c>
      <c r="C13" s="12">
        <v>1.9276946783065796</v>
      </c>
      <c r="D13" s="14">
        <f t="shared" si="1"/>
        <v>0.1</v>
      </c>
      <c r="E13" s="14"/>
      <c r="H13" s="17">
        <f t="shared" si="2"/>
        <v>679626.01159623347</v>
      </c>
      <c r="I13" s="18">
        <f t="shared" si="3"/>
        <v>9.5784664154052734E-5</v>
      </c>
      <c r="L13" s="14">
        <v>0.1</v>
      </c>
    </row>
    <row r="14" spans="1:12" x14ac:dyDescent="0.3">
      <c r="A14" s="17">
        <v>1000000</v>
      </c>
      <c r="B14" s="18">
        <v>0.99997729063034058</v>
      </c>
      <c r="C14" s="18">
        <v>2.1626496315002441</v>
      </c>
      <c r="D14" s="14">
        <f t="shared" si="1"/>
        <v>0.1</v>
      </c>
      <c r="E14" s="14"/>
      <c r="H14" s="17">
        <f>C14*A14</f>
        <v>2162649.6315002441</v>
      </c>
      <c r="I14" s="18">
        <f>1-B14</f>
        <v>2.2709369659423828E-5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I4" sqref="I4:J13"/>
    </sheetView>
  </sheetViews>
  <sheetFormatPr baseColWidth="10" defaultRowHeight="15.6" x14ac:dyDescent="0.3"/>
  <cols>
    <col min="12" max="12" width="16.296875" customWidth="1"/>
  </cols>
  <sheetData>
    <row r="1" spans="1:15" x14ac:dyDescent="0.3">
      <c r="A1" s="79" t="s">
        <v>234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3300</v>
      </c>
      <c r="M3" t="s">
        <v>7</v>
      </c>
      <c r="N3" t="s">
        <v>8</v>
      </c>
      <c r="O3" t="s">
        <v>14</v>
      </c>
    </row>
    <row r="4" spans="1:15" x14ac:dyDescent="0.3">
      <c r="A4" s="53" t="s">
        <v>151</v>
      </c>
      <c r="B4" s="53">
        <v>368313</v>
      </c>
      <c r="C4" s="53">
        <v>6300682000</v>
      </c>
      <c r="D4" s="54">
        <v>1.5896725055206202</v>
      </c>
      <c r="F4" s="53" t="s">
        <v>151</v>
      </c>
      <c r="G4" s="53">
        <v>368313</v>
      </c>
      <c r="H4" s="53">
        <v>6300682000</v>
      </c>
      <c r="I4" s="2">
        <f>J4/6.55957</f>
        <v>2286.7352585611557</v>
      </c>
      <c r="J4" s="53">
        <v>15000</v>
      </c>
      <c r="K4" s="2">
        <f>G4+G15+G26+G37+G48+G59+G70+G81+G92+G103+G114+G125</f>
        <v>2401520.1435314198</v>
      </c>
      <c r="L4" s="2">
        <f>H4+H15+H26+H37+H48+H59+H70+H81+H92+H103+H114+H125</f>
        <v>41803018649.361343</v>
      </c>
      <c r="M4">
        <f>1-SUM(K4:$K$13)/$K$15</f>
        <v>0.67529634478972267</v>
      </c>
      <c r="N4">
        <f>SUM(L4:$L$13)/(J4*SUM(K4:$K$13))</f>
        <v>2.0423406887331561</v>
      </c>
      <c r="O4">
        <f>(G4+G15+G37)/K4</f>
        <v>0.21581205612453327</v>
      </c>
    </row>
    <row r="5" spans="1:15" x14ac:dyDescent="0.3">
      <c r="A5" s="53" t="s">
        <v>165</v>
      </c>
      <c r="B5" s="53">
        <v>138257</v>
      </c>
      <c r="C5" s="53">
        <v>3074053000</v>
      </c>
      <c r="D5" s="54">
        <v>1.618968362459795</v>
      </c>
      <c r="F5" s="53" t="s">
        <v>165</v>
      </c>
      <c r="G5" s="53">
        <v>138257</v>
      </c>
      <c r="H5" s="53">
        <v>3074053000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1564850.8996305419</v>
      </c>
      <c r="L5" s="2">
        <f t="shared" si="1"/>
        <v>35023422794.334976</v>
      </c>
      <c r="M5">
        <f>1-SUM(K5:$K$13)/$K$15</f>
        <v>0.7862063599827569</v>
      </c>
      <c r="N5">
        <f>SUM(L5:$L$13)/(J5*SUM(K5:$K$13))</f>
        <v>1.8748763681811407</v>
      </c>
      <c r="O5">
        <f t="shared" ref="O5:O13" si="2">(G5+G16+G38)/K5</f>
        <v>0.13479495078400192</v>
      </c>
    </row>
    <row r="6" spans="1:15" x14ac:dyDescent="0.3">
      <c r="A6" s="53" t="s">
        <v>166</v>
      </c>
      <c r="B6" s="53">
        <v>62405</v>
      </c>
      <c r="C6" s="53">
        <v>1701741000</v>
      </c>
      <c r="D6" s="54">
        <v>1.652851250832754</v>
      </c>
      <c r="F6" s="53" t="s">
        <v>166</v>
      </c>
      <c r="G6" s="53">
        <v>62405</v>
      </c>
      <c r="H6" s="53">
        <v>1701741000</v>
      </c>
      <c r="I6" s="2">
        <f t="shared" si="0"/>
        <v>3811.2254309352597</v>
      </c>
      <c r="J6" s="53">
        <v>25000</v>
      </c>
      <c r="K6" s="2">
        <f t="shared" si="1"/>
        <v>980640</v>
      </c>
      <c r="L6" s="2">
        <f t="shared" si="1"/>
        <v>26841671000</v>
      </c>
      <c r="M6">
        <f>1-SUM(K6:$K$13)/$K$15</f>
        <v>0.85847626682502931</v>
      </c>
      <c r="N6">
        <f>SUM(L6:$L$13)/(J6*SUM(K6:$K$13))</f>
        <v>1.80866829504682</v>
      </c>
      <c r="O6">
        <f t="shared" si="2"/>
        <v>0.10173968020884321</v>
      </c>
    </row>
    <row r="7" spans="1:15" x14ac:dyDescent="0.3">
      <c r="A7" s="53">
        <v>30100</v>
      </c>
      <c r="B7" s="53">
        <v>51614</v>
      </c>
      <c r="C7" s="53">
        <v>1763858000</v>
      </c>
      <c r="D7" s="54">
        <v>1.6824907442732029</v>
      </c>
      <c r="F7" s="53">
        <v>30100</v>
      </c>
      <c r="G7" s="53">
        <v>51614</v>
      </c>
      <c r="H7" s="53">
        <v>1763858000</v>
      </c>
      <c r="I7" s="2">
        <f t="shared" si="0"/>
        <v>4573.4705171223113</v>
      </c>
      <c r="J7" s="53">
        <v>30000</v>
      </c>
      <c r="K7" s="2">
        <f t="shared" si="1"/>
        <v>998376</v>
      </c>
      <c r="L7" s="2">
        <f t="shared" si="1"/>
        <v>34281278000</v>
      </c>
      <c r="M7">
        <f>1-SUM(K7:$K$13)/$K$15</f>
        <v>0.90376541319836023</v>
      </c>
      <c r="N7">
        <f>SUM(L7:$L$13)/(J7*SUM(K7:$K$13))</f>
        <v>1.7871611745782654</v>
      </c>
      <c r="O7">
        <f t="shared" si="2"/>
        <v>8.3977379263924609E-2</v>
      </c>
    </row>
    <row r="8" spans="1:15" x14ac:dyDescent="0.3">
      <c r="A8" s="53">
        <v>40100</v>
      </c>
      <c r="B8" s="53">
        <v>19360</v>
      </c>
      <c r="C8" s="53">
        <v>859328000</v>
      </c>
      <c r="D8" s="54">
        <v>1.7310333688117008</v>
      </c>
      <c r="F8" s="53">
        <v>40100</v>
      </c>
      <c r="G8" s="53">
        <v>19360</v>
      </c>
      <c r="H8" s="53">
        <v>859328000</v>
      </c>
      <c r="I8" s="2">
        <f t="shared" si="0"/>
        <v>6097.9606894964154</v>
      </c>
      <c r="J8" s="53">
        <v>40000</v>
      </c>
      <c r="K8" s="2">
        <f t="shared" si="1"/>
        <v>430493</v>
      </c>
      <c r="L8" s="2">
        <f t="shared" si="1"/>
        <v>19135238000</v>
      </c>
      <c r="M8">
        <f>1-SUM(K8:$K$13)/$K$15</f>
        <v>0.9498736657677237</v>
      </c>
      <c r="N8">
        <f>SUM(L8:$L$13)/(J8*SUM(K8:$K$13))</f>
        <v>1.7836834644856774</v>
      </c>
      <c r="O8">
        <f t="shared" si="2"/>
        <v>7.7046548956661312E-2</v>
      </c>
    </row>
    <row r="9" spans="1:15" x14ac:dyDescent="0.3">
      <c r="A9" s="53" t="s">
        <v>168</v>
      </c>
      <c r="B9" s="53">
        <v>14299</v>
      </c>
      <c r="C9" s="53">
        <v>831596000</v>
      </c>
      <c r="D9" s="54">
        <v>1.7585982992930931</v>
      </c>
      <c r="F9" s="53" t="s">
        <v>168</v>
      </c>
      <c r="G9" s="53">
        <v>14299</v>
      </c>
      <c r="H9" s="53">
        <v>831596000</v>
      </c>
      <c r="I9" s="2">
        <f t="shared" si="0"/>
        <v>7622.4508618705195</v>
      </c>
      <c r="J9" s="53">
        <v>50000</v>
      </c>
      <c r="K9" s="2">
        <f t="shared" si="1"/>
        <v>338690</v>
      </c>
      <c r="L9" s="2">
        <f t="shared" si="1"/>
        <v>19734018000</v>
      </c>
      <c r="M9">
        <f>1-SUM(K9:$K$13)/$K$15</f>
        <v>0.96975523340691272</v>
      </c>
      <c r="N9">
        <f>SUM(L9:$L$13)/(J9*SUM(K9:$K$13))</f>
        <v>1.7805744816655114</v>
      </c>
      <c r="O9">
        <f t="shared" si="2"/>
        <v>7.6618736898048365E-2</v>
      </c>
    </row>
    <row r="10" spans="1:15" x14ac:dyDescent="0.3">
      <c r="A10" s="53" t="s">
        <v>169</v>
      </c>
      <c r="B10" s="53">
        <v>6511</v>
      </c>
      <c r="C10" s="53">
        <v>535497000</v>
      </c>
      <c r="D10" s="54">
        <v>1.782393748778905</v>
      </c>
      <c r="F10" s="53" t="s">
        <v>169</v>
      </c>
      <c r="G10" s="53">
        <v>6511</v>
      </c>
      <c r="H10" s="53">
        <v>535497000</v>
      </c>
      <c r="I10" s="2">
        <f t="shared" si="0"/>
        <v>10671.431206618727</v>
      </c>
      <c r="J10" s="53">
        <v>70000</v>
      </c>
      <c r="K10" s="2">
        <f t="shared" si="1"/>
        <v>176038</v>
      </c>
      <c r="L10" s="2">
        <f t="shared" si="1"/>
        <v>13655939000</v>
      </c>
      <c r="M10">
        <f>1-SUM(K10:$K$13)/$K$15</f>
        <v>0.98539703976315296</v>
      </c>
      <c r="N10">
        <f>SUM(L10:$L$13)/(J10*SUM(K10:$K$13))</f>
        <v>1.7425740905731164</v>
      </c>
      <c r="O10">
        <f t="shared" si="2"/>
        <v>7.1564094116043128E-2</v>
      </c>
    </row>
    <row r="11" spans="1:15" x14ac:dyDescent="0.3">
      <c r="A11" s="53" t="s">
        <v>170</v>
      </c>
      <c r="B11" s="53">
        <v>4023</v>
      </c>
      <c r="C11" s="53">
        <v>534870000</v>
      </c>
      <c r="D11" s="54">
        <v>1.7914278172443634</v>
      </c>
      <c r="F11" s="53" t="s">
        <v>170</v>
      </c>
      <c r="G11" s="53">
        <v>4023</v>
      </c>
      <c r="H11" s="53">
        <v>534870000</v>
      </c>
      <c r="I11" s="2">
        <f t="shared" si="0"/>
        <v>15244.901723741039</v>
      </c>
      <c r="J11" s="53">
        <v>100000</v>
      </c>
      <c r="K11" s="2">
        <f t="shared" si="1"/>
        <v>110991</v>
      </c>
      <c r="L11" s="2">
        <f t="shared" si="1"/>
        <v>14757350000</v>
      </c>
      <c r="M11">
        <f>1-SUM(K11:$K$13)/$K$15</f>
        <v>0.99352704746146059</v>
      </c>
      <c r="N11">
        <f>SUM(L11:$L$13)/(J11*SUM(K11:$K$13))</f>
        <v>1.7775444855092111</v>
      </c>
      <c r="O11">
        <f t="shared" si="2"/>
        <v>7.4051049184168091E-2</v>
      </c>
    </row>
    <row r="12" spans="1:15" x14ac:dyDescent="0.3">
      <c r="A12" s="53" t="s">
        <v>171</v>
      </c>
      <c r="B12" s="53">
        <v>863</v>
      </c>
      <c r="C12" s="53">
        <v>227733000</v>
      </c>
      <c r="D12" s="54">
        <v>1.7514316236377223</v>
      </c>
      <c r="F12" s="53" t="s">
        <v>171</v>
      </c>
      <c r="G12" s="53">
        <v>863</v>
      </c>
      <c r="H12" s="53">
        <v>227733000</v>
      </c>
      <c r="I12" s="2">
        <f t="shared" si="0"/>
        <v>30489.803447482078</v>
      </c>
      <c r="J12" s="53">
        <v>200000</v>
      </c>
      <c r="K12" s="2">
        <f t="shared" si="1"/>
        <v>23659</v>
      </c>
      <c r="L12" s="2">
        <f t="shared" si="1"/>
        <v>6200726000</v>
      </c>
      <c r="M12">
        <f>1-SUM(K12:$K$13)/$K$15</f>
        <v>0.99865297302550282</v>
      </c>
      <c r="N12">
        <f>SUM(L12:$L$13)/(J12*SUM(K12:$K$13))</f>
        <v>1.7410700449137724</v>
      </c>
      <c r="O12">
        <f t="shared" si="2"/>
        <v>7.586964791411302E-2</v>
      </c>
    </row>
    <row r="13" spans="1:15" x14ac:dyDescent="0.3">
      <c r="A13" s="53" t="s">
        <v>172</v>
      </c>
      <c r="B13" s="53">
        <v>227</v>
      </c>
      <c r="C13" s="53">
        <v>154270000</v>
      </c>
      <c r="D13" s="54">
        <v>1.6990088105726873</v>
      </c>
      <c r="F13" s="53" t="s">
        <v>172</v>
      </c>
      <c r="G13" s="53">
        <v>227</v>
      </c>
      <c r="H13" s="53">
        <v>154270000</v>
      </c>
      <c r="I13" s="2">
        <f t="shared" si="0"/>
        <v>60979.606894964156</v>
      </c>
      <c r="J13" s="53">
        <v>400000</v>
      </c>
      <c r="K13" s="2">
        <f t="shared" si="1"/>
        <v>5508</v>
      </c>
      <c r="L13" s="2">
        <f>H13+H24+H35+H46+H57+H68+H79+H90+H101+H112+H123+H134</f>
        <v>3955632000</v>
      </c>
      <c r="M13">
        <f>1-SUM(K13:$K$13)/$K$15</f>
        <v>0.99974562263600886</v>
      </c>
      <c r="N13">
        <f>SUM(L13:$L$13)/(J13*SUM(K13:$K$13))</f>
        <v>1.7954030501089324</v>
      </c>
      <c r="O13">
        <f t="shared" si="2"/>
        <v>0.10439360929557008</v>
      </c>
    </row>
    <row r="14" spans="1:15" x14ac:dyDescent="0.3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3">
      <c r="A15" s="53" t="s">
        <v>151</v>
      </c>
      <c r="B15" s="53">
        <v>119977</v>
      </c>
      <c r="C15" s="53">
        <v>2066976000</v>
      </c>
      <c r="D15" s="54">
        <v>1.9052782493043319</v>
      </c>
      <c r="F15" s="53" t="s">
        <v>151</v>
      </c>
      <c r="G15" s="53">
        <v>119977</v>
      </c>
      <c r="H15" s="53">
        <v>2066976000</v>
      </c>
      <c r="K15" s="5">
        <v>21652870.025774285</v>
      </c>
    </row>
    <row r="16" spans="1:15" x14ac:dyDescent="0.3">
      <c r="A16" s="53" t="s">
        <v>165</v>
      </c>
      <c r="B16" s="53">
        <v>59958</v>
      </c>
      <c r="C16" s="53">
        <v>1339908000</v>
      </c>
      <c r="D16" s="54">
        <v>1.8853409897920441</v>
      </c>
      <c r="F16" s="53" t="s">
        <v>165</v>
      </c>
      <c r="G16" s="53">
        <v>59958</v>
      </c>
      <c r="H16" s="53">
        <v>1339908000</v>
      </c>
    </row>
    <row r="17" spans="1:8" x14ac:dyDescent="0.3">
      <c r="A17" s="53" t="s">
        <v>166</v>
      </c>
      <c r="B17" s="53">
        <v>31611</v>
      </c>
      <c r="C17" s="53">
        <v>862095000</v>
      </c>
      <c r="D17" s="54">
        <v>1.914432874503164</v>
      </c>
      <c r="F17" s="53" t="s">
        <v>166</v>
      </c>
      <c r="G17" s="53">
        <v>31611</v>
      </c>
      <c r="H17" s="53">
        <v>862095000</v>
      </c>
    </row>
    <row r="18" spans="1:8" x14ac:dyDescent="0.3">
      <c r="A18" s="53">
        <v>30100</v>
      </c>
      <c r="B18" s="53">
        <v>27541</v>
      </c>
      <c r="C18" s="53">
        <v>943738000</v>
      </c>
      <c r="D18" s="54">
        <v>1.9591108861339865</v>
      </c>
      <c r="F18" s="53">
        <v>30100</v>
      </c>
      <c r="G18" s="53">
        <v>27541</v>
      </c>
      <c r="H18" s="53">
        <v>943738000</v>
      </c>
    </row>
    <row r="19" spans="1:8" x14ac:dyDescent="0.3">
      <c r="A19" s="53">
        <v>40100</v>
      </c>
      <c r="B19" s="53">
        <v>12017</v>
      </c>
      <c r="C19" s="53">
        <v>535418000</v>
      </c>
      <c r="D19" s="54">
        <v>1.9905033615776677</v>
      </c>
      <c r="F19" s="53">
        <v>40100</v>
      </c>
      <c r="G19" s="53">
        <v>12017</v>
      </c>
      <c r="H19" s="53">
        <v>535418000</v>
      </c>
    </row>
    <row r="20" spans="1:8" x14ac:dyDescent="0.3">
      <c r="A20" s="53" t="s">
        <v>168</v>
      </c>
      <c r="B20" s="53">
        <v>10244</v>
      </c>
      <c r="C20" s="53">
        <v>598371000</v>
      </c>
      <c r="D20" s="54">
        <v>2.0035434879041216</v>
      </c>
      <c r="F20" s="53" t="s">
        <v>168</v>
      </c>
      <c r="G20" s="53">
        <v>10244</v>
      </c>
      <c r="H20" s="53">
        <v>598371000</v>
      </c>
    </row>
    <row r="21" spans="1:8" x14ac:dyDescent="0.3">
      <c r="A21" s="53" t="s">
        <v>169</v>
      </c>
      <c r="B21" s="53">
        <v>5407</v>
      </c>
      <c r="C21" s="53">
        <v>445578000</v>
      </c>
      <c r="D21" s="54">
        <v>2.0233566833212517</v>
      </c>
      <c r="F21" s="53" t="s">
        <v>169</v>
      </c>
      <c r="G21" s="53">
        <v>5407</v>
      </c>
      <c r="H21" s="53">
        <v>445578000</v>
      </c>
    </row>
    <row r="22" spans="1:8" x14ac:dyDescent="0.3">
      <c r="A22" s="53" t="s">
        <v>170</v>
      </c>
      <c r="B22" s="53">
        <v>3781</v>
      </c>
      <c r="C22" s="53">
        <v>506168000</v>
      </c>
      <c r="D22" s="54">
        <v>2.0639034484258185</v>
      </c>
      <c r="F22" s="53" t="s">
        <v>170</v>
      </c>
      <c r="G22" s="53">
        <v>3781</v>
      </c>
      <c r="H22" s="53">
        <v>506168000</v>
      </c>
    </row>
    <row r="23" spans="1:8" x14ac:dyDescent="0.3">
      <c r="A23" s="53" t="s">
        <v>171</v>
      </c>
      <c r="B23" s="53">
        <v>865</v>
      </c>
      <c r="C23" s="53">
        <v>230617000</v>
      </c>
      <c r="D23" s="54">
        <v>2.1960442302134284</v>
      </c>
      <c r="F23" s="53" t="s">
        <v>171</v>
      </c>
      <c r="G23" s="53">
        <v>865</v>
      </c>
      <c r="H23" s="53">
        <v>230617000</v>
      </c>
    </row>
    <row r="24" spans="1:8" x14ac:dyDescent="0.3">
      <c r="A24" s="53" t="s">
        <v>172</v>
      </c>
      <c r="B24" s="53">
        <v>316</v>
      </c>
      <c r="C24" s="53">
        <v>288348000</v>
      </c>
      <c r="D24" s="54">
        <v>2.2812341772151901</v>
      </c>
      <c r="F24" s="53" t="s">
        <v>172</v>
      </c>
      <c r="G24" s="53">
        <v>316</v>
      </c>
      <c r="H24" s="53">
        <v>288348000</v>
      </c>
    </row>
    <row r="25" spans="1:8" x14ac:dyDescent="0.3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3">
      <c r="A26" s="53" t="s">
        <v>151</v>
      </c>
      <c r="B26" s="53">
        <v>720247</v>
      </c>
      <c r="C26" s="53">
        <v>12552091000</v>
      </c>
      <c r="D26" s="54">
        <v>2.0163222792600171</v>
      </c>
      <c r="F26" s="53" t="s">
        <v>151</v>
      </c>
      <c r="G26" s="53">
        <v>720247</v>
      </c>
      <c r="H26" s="53">
        <v>12552091000</v>
      </c>
    </row>
    <row r="27" spans="1:8" x14ac:dyDescent="0.3">
      <c r="A27" s="53" t="s">
        <v>165</v>
      </c>
      <c r="B27" s="53">
        <v>494102</v>
      </c>
      <c r="C27" s="53">
        <v>11060920000</v>
      </c>
      <c r="D27" s="54">
        <v>1.8400273046545308</v>
      </c>
      <c r="F27" s="53" t="s">
        <v>165</v>
      </c>
      <c r="G27" s="53">
        <v>494102</v>
      </c>
      <c r="H27" s="53">
        <v>11060920000</v>
      </c>
    </row>
    <row r="28" spans="1:8" x14ac:dyDescent="0.3">
      <c r="A28" s="53" t="s">
        <v>166</v>
      </c>
      <c r="B28" s="53">
        <v>311801</v>
      </c>
      <c r="C28" s="53">
        <v>8531571000</v>
      </c>
      <c r="D28" s="54">
        <v>1.779180378877748</v>
      </c>
      <c r="F28" s="53" t="s">
        <v>166</v>
      </c>
      <c r="G28" s="53">
        <v>311801</v>
      </c>
      <c r="H28" s="53">
        <v>8531571000</v>
      </c>
    </row>
    <row r="29" spans="1:8" x14ac:dyDescent="0.3">
      <c r="A29" s="53">
        <v>30100</v>
      </c>
      <c r="B29" s="53">
        <v>312857</v>
      </c>
      <c r="C29" s="53">
        <v>10729368000</v>
      </c>
      <c r="D29" s="54">
        <v>1.7687865174228721</v>
      </c>
      <c r="F29" s="53">
        <v>30100</v>
      </c>
      <c r="G29" s="53">
        <v>312857</v>
      </c>
      <c r="H29" s="53">
        <v>10729368000</v>
      </c>
    </row>
    <row r="30" spans="1:8" x14ac:dyDescent="0.3">
      <c r="A30" s="53">
        <v>40100</v>
      </c>
      <c r="B30" s="53">
        <v>130592</v>
      </c>
      <c r="C30" s="53">
        <v>5798669000</v>
      </c>
      <c r="D30" s="54">
        <v>1.796291998616327</v>
      </c>
      <c r="F30" s="53">
        <v>40100</v>
      </c>
      <c r="G30" s="53">
        <v>130592</v>
      </c>
      <c r="H30" s="53">
        <v>5798669000</v>
      </c>
    </row>
    <row r="31" spans="1:8" x14ac:dyDescent="0.3">
      <c r="A31" s="53" t="s">
        <v>168</v>
      </c>
      <c r="B31" s="53">
        <v>98466</v>
      </c>
      <c r="C31" s="53">
        <v>5728805000</v>
      </c>
      <c r="D31" s="54">
        <v>1.8273615447702107</v>
      </c>
      <c r="F31" s="53" t="s">
        <v>168</v>
      </c>
      <c r="G31" s="53">
        <v>98466</v>
      </c>
      <c r="H31" s="53">
        <v>5728805000</v>
      </c>
    </row>
    <row r="32" spans="1:8" x14ac:dyDescent="0.3">
      <c r="A32" s="53" t="s">
        <v>169</v>
      </c>
      <c r="B32" s="53">
        <v>46436</v>
      </c>
      <c r="C32" s="53">
        <v>3816721000</v>
      </c>
      <c r="D32" s="54">
        <v>1.8486656964426438</v>
      </c>
      <c r="F32" s="53" t="s">
        <v>169</v>
      </c>
      <c r="G32" s="53">
        <v>46436</v>
      </c>
      <c r="H32" s="53">
        <v>3816721000</v>
      </c>
    </row>
    <row r="33" spans="1:8" x14ac:dyDescent="0.3">
      <c r="A33" s="53" t="s">
        <v>170</v>
      </c>
      <c r="B33" s="53">
        <v>31120</v>
      </c>
      <c r="C33" s="53">
        <v>4145033000</v>
      </c>
      <c r="D33" s="54">
        <v>1.8451294080346932</v>
      </c>
      <c r="F33" s="53" t="s">
        <v>170</v>
      </c>
      <c r="G33" s="53">
        <v>31120</v>
      </c>
      <c r="H33" s="53">
        <v>4145033000</v>
      </c>
    </row>
    <row r="34" spans="1:8" x14ac:dyDescent="0.3">
      <c r="A34" s="53" t="s">
        <v>171</v>
      </c>
      <c r="B34" s="53">
        <v>6949</v>
      </c>
      <c r="C34" s="53">
        <v>1832216000</v>
      </c>
      <c r="D34" s="54">
        <v>1.8310581700420623</v>
      </c>
      <c r="F34" s="53" t="s">
        <v>171</v>
      </c>
      <c r="G34" s="53">
        <v>6949</v>
      </c>
      <c r="H34" s="53">
        <v>1832216000</v>
      </c>
    </row>
    <row r="35" spans="1:8" x14ac:dyDescent="0.3">
      <c r="A35" s="53" t="s">
        <v>172</v>
      </c>
      <c r="B35" s="53">
        <v>1872</v>
      </c>
      <c r="C35" s="53">
        <v>1399752000</v>
      </c>
      <c r="D35" s="54">
        <v>1.8693269230769232</v>
      </c>
      <c r="F35" s="53" t="s">
        <v>172</v>
      </c>
      <c r="G35" s="53">
        <v>1872</v>
      </c>
      <c r="H35" s="53">
        <v>1399752000</v>
      </c>
    </row>
    <row r="36" spans="1:8" x14ac:dyDescent="0.3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3">
      <c r="A37" s="53" t="s">
        <v>151</v>
      </c>
      <c r="B37" s="53">
        <v>29987</v>
      </c>
      <c r="C37" s="53">
        <v>515845000</v>
      </c>
      <c r="D37" s="54">
        <v>1.6444013158939708</v>
      </c>
      <c r="F37" s="53" t="s">
        <v>151</v>
      </c>
      <c r="G37" s="53">
        <v>29987</v>
      </c>
      <c r="H37" s="53">
        <v>515845000</v>
      </c>
    </row>
    <row r="38" spans="1:8" x14ac:dyDescent="0.3">
      <c r="A38" s="53" t="s">
        <v>165</v>
      </c>
      <c r="B38" s="53">
        <v>12719</v>
      </c>
      <c r="C38" s="53">
        <v>282402000</v>
      </c>
      <c r="D38" s="54">
        <v>1.6484128665228899</v>
      </c>
      <c r="F38" s="53" t="s">
        <v>165</v>
      </c>
      <c r="G38" s="53">
        <v>12719</v>
      </c>
      <c r="H38" s="53">
        <v>282402000</v>
      </c>
    </row>
    <row r="39" spans="1:8" x14ac:dyDescent="0.3">
      <c r="A39" s="53" t="s">
        <v>166</v>
      </c>
      <c r="B39" s="53">
        <v>5754</v>
      </c>
      <c r="C39" s="53">
        <v>156965000</v>
      </c>
      <c r="D39" s="54">
        <v>1.693463470820064</v>
      </c>
      <c r="F39" s="53" t="s">
        <v>166</v>
      </c>
      <c r="G39" s="53">
        <v>5754</v>
      </c>
      <c r="H39" s="53">
        <v>156965000</v>
      </c>
    </row>
    <row r="40" spans="1:8" x14ac:dyDescent="0.3">
      <c r="A40" s="53">
        <v>30100</v>
      </c>
      <c r="B40" s="53">
        <v>4686</v>
      </c>
      <c r="C40" s="53">
        <v>160440000</v>
      </c>
      <c r="D40" s="54">
        <v>1.7327971167562923</v>
      </c>
      <c r="F40" s="53">
        <v>30100</v>
      </c>
      <c r="G40" s="53">
        <v>4686</v>
      </c>
      <c r="H40" s="53">
        <v>160440000</v>
      </c>
    </row>
    <row r="41" spans="1:8" x14ac:dyDescent="0.3">
      <c r="A41" s="53">
        <v>40100</v>
      </c>
      <c r="B41" s="53">
        <v>1791</v>
      </c>
      <c r="C41" s="53">
        <v>79643000</v>
      </c>
      <c r="D41" s="54">
        <v>1.7774495909588506</v>
      </c>
      <c r="F41" s="53">
        <v>40100</v>
      </c>
      <c r="G41" s="53">
        <v>1791</v>
      </c>
      <c r="H41" s="53">
        <v>79643000</v>
      </c>
    </row>
    <row r="42" spans="1:8" x14ac:dyDescent="0.3">
      <c r="A42" s="53" t="s">
        <v>168</v>
      </c>
      <c r="B42" s="53">
        <v>1407</v>
      </c>
      <c r="C42" s="53">
        <v>81652000</v>
      </c>
      <c r="D42" s="54">
        <v>1.7911121240794077</v>
      </c>
      <c r="F42" s="53" t="s">
        <v>168</v>
      </c>
      <c r="G42" s="53">
        <v>1407</v>
      </c>
      <c r="H42" s="53">
        <v>81652000</v>
      </c>
    </row>
    <row r="43" spans="1:8" x14ac:dyDescent="0.3">
      <c r="A43" s="53" t="s">
        <v>169</v>
      </c>
      <c r="B43" s="53">
        <v>680</v>
      </c>
      <c r="C43" s="53">
        <v>56012000</v>
      </c>
      <c r="D43" s="54">
        <v>1.8130118017572407</v>
      </c>
      <c r="F43" s="53" t="s">
        <v>169</v>
      </c>
      <c r="G43" s="53">
        <v>680</v>
      </c>
      <c r="H43" s="53">
        <v>56012000</v>
      </c>
    </row>
    <row r="44" spans="1:8" x14ac:dyDescent="0.3">
      <c r="A44" s="53" t="s">
        <v>170</v>
      </c>
      <c r="B44" s="53">
        <v>415</v>
      </c>
      <c r="C44" s="53">
        <v>55047000</v>
      </c>
      <c r="D44" s="54">
        <v>1.8607073859992147</v>
      </c>
      <c r="F44" s="53" t="s">
        <v>170</v>
      </c>
      <c r="G44" s="53">
        <v>415</v>
      </c>
      <c r="H44" s="53">
        <v>55047000</v>
      </c>
    </row>
    <row r="45" spans="1:8" x14ac:dyDescent="0.3">
      <c r="A45" s="53" t="s">
        <v>171</v>
      </c>
      <c r="B45" s="53">
        <v>67</v>
      </c>
      <c r="C45" s="53">
        <v>18032000</v>
      </c>
      <c r="D45" s="54">
        <v>2.0539730134932532</v>
      </c>
      <c r="F45" s="53" t="s">
        <v>171</v>
      </c>
      <c r="G45" s="53">
        <v>67</v>
      </c>
      <c r="H45" s="53">
        <v>18032000</v>
      </c>
    </row>
    <row r="46" spans="1:8" x14ac:dyDescent="0.3">
      <c r="A46" s="53" t="s">
        <v>172</v>
      </c>
      <c r="B46" s="53">
        <v>32</v>
      </c>
      <c r="C46" s="53">
        <v>22657000</v>
      </c>
      <c r="D46" s="54">
        <v>1.7700781249999999</v>
      </c>
      <c r="F46" s="53" t="s">
        <v>172</v>
      </c>
      <c r="G46" s="53">
        <v>32</v>
      </c>
      <c r="H46" s="53">
        <v>22657000</v>
      </c>
    </row>
    <row r="47" spans="1:8" x14ac:dyDescent="0.3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3">
      <c r="A48" s="53" t="s">
        <v>151</v>
      </c>
      <c r="B48" s="53">
        <v>502748</v>
      </c>
      <c r="C48" s="53">
        <v>8797729000</v>
      </c>
      <c r="D48" s="54">
        <v>1.9915564060990563</v>
      </c>
      <c r="F48" s="53" t="s">
        <v>151</v>
      </c>
      <c r="G48" s="53">
        <v>502748</v>
      </c>
      <c r="H48" s="53">
        <v>8797729000</v>
      </c>
    </row>
    <row r="49" spans="1:8" x14ac:dyDescent="0.3">
      <c r="A49" s="53" t="s">
        <v>165</v>
      </c>
      <c r="B49" s="53">
        <v>398828</v>
      </c>
      <c r="C49" s="53">
        <v>8944237000</v>
      </c>
      <c r="D49" s="54">
        <v>1.764916891559674</v>
      </c>
      <c r="F49" s="53" t="s">
        <v>165</v>
      </c>
      <c r="G49" s="53">
        <v>398828</v>
      </c>
      <c r="H49" s="53">
        <v>8944237000</v>
      </c>
    </row>
    <row r="50" spans="1:8" x14ac:dyDescent="0.3">
      <c r="A50" s="53" t="s">
        <v>166</v>
      </c>
      <c r="B50" s="53">
        <v>265577</v>
      </c>
      <c r="C50" s="53">
        <v>7271436000</v>
      </c>
      <c r="D50" s="54">
        <v>1.6821691042076856</v>
      </c>
      <c r="F50" s="53" t="s">
        <v>166</v>
      </c>
      <c r="G50" s="53">
        <v>265577</v>
      </c>
      <c r="H50" s="53">
        <v>7271436000</v>
      </c>
    </row>
    <row r="51" spans="1:8" x14ac:dyDescent="0.3">
      <c r="A51" s="53">
        <v>30100</v>
      </c>
      <c r="B51" s="53">
        <v>266582</v>
      </c>
      <c r="C51" s="53">
        <v>9140564000</v>
      </c>
      <c r="D51" s="54">
        <v>1.6617176431094416</v>
      </c>
      <c r="F51" s="53">
        <v>30100</v>
      </c>
      <c r="G51" s="53">
        <v>266582</v>
      </c>
      <c r="H51" s="53">
        <v>9140564000</v>
      </c>
    </row>
    <row r="52" spans="1:8" x14ac:dyDescent="0.3">
      <c r="A52" s="53">
        <v>40100</v>
      </c>
      <c r="B52" s="53">
        <v>105750</v>
      </c>
      <c r="C52" s="53">
        <v>4693489000</v>
      </c>
      <c r="D52" s="54">
        <v>1.6846833496365654</v>
      </c>
      <c r="F52" s="53">
        <v>40100</v>
      </c>
      <c r="G52" s="53">
        <v>105750</v>
      </c>
      <c r="H52" s="53">
        <v>4693489000</v>
      </c>
    </row>
    <row r="53" spans="1:8" x14ac:dyDescent="0.3">
      <c r="A53" s="53" t="s">
        <v>168</v>
      </c>
      <c r="B53" s="53">
        <v>75125</v>
      </c>
      <c r="C53" s="53">
        <v>4356374000</v>
      </c>
      <c r="D53" s="54">
        <v>1.7152367331571559</v>
      </c>
      <c r="F53" s="53" t="s">
        <v>168</v>
      </c>
      <c r="G53" s="53">
        <v>75125</v>
      </c>
      <c r="H53" s="53">
        <v>4356374000</v>
      </c>
    </row>
    <row r="54" spans="1:8" x14ac:dyDescent="0.3">
      <c r="A54" s="53" t="s">
        <v>169</v>
      </c>
      <c r="B54" s="53">
        <v>32727</v>
      </c>
      <c r="C54" s="53">
        <v>2685743000</v>
      </c>
      <c r="D54" s="54">
        <v>1.7402743573450428</v>
      </c>
      <c r="F54" s="53" t="s">
        <v>169</v>
      </c>
      <c r="G54" s="53">
        <v>32727</v>
      </c>
      <c r="H54" s="53">
        <v>2685743000</v>
      </c>
    </row>
    <row r="55" spans="1:8" x14ac:dyDescent="0.3">
      <c r="A55" s="53" t="s">
        <v>170</v>
      </c>
      <c r="B55" s="53">
        <v>20501</v>
      </c>
      <c r="C55" s="53">
        <v>2710124000</v>
      </c>
      <c r="D55" s="54">
        <v>1.730805284469179</v>
      </c>
      <c r="F55" s="53" t="s">
        <v>170</v>
      </c>
      <c r="G55" s="53">
        <v>20501</v>
      </c>
      <c r="H55" s="53">
        <v>2710124000</v>
      </c>
    </row>
    <row r="56" spans="1:8" x14ac:dyDescent="0.3">
      <c r="A56" s="53" t="s">
        <v>171</v>
      </c>
      <c r="B56" s="53">
        <v>4062</v>
      </c>
      <c r="C56" s="53">
        <v>1057640000</v>
      </c>
      <c r="D56" s="54">
        <v>1.7086798215798933</v>
      </c>
      <c r="F56" s="53" t="s">
        <v>171</v>
      </c>
      <c r="G56" s="53">
        <v>4062</v>
      </c>
      <c r="H56" s="53">
        <v>1057640000</v>
      </c>
    </row>
    <row r="57" spans="1:8" x14ac:dyDescent="0.3">
      <c r="A57" s="53" t="s">
        <v>172</v>
      </c>
      <c r="B57" s="53">
        <v>929</v>
      </c>
      <c r="C57" s="53">
        <v>648817000</v>
      </c>
      <c r="D57" s="54">
        <v>1.7460091496232506</v>
      </c>
      <c r="F57" s="53" t="s">
        <v>172</v>
      </c>
      <c r="G57" s="53">
        <v>929</v>
      </c>
      <c r="H57" s="53">
        <v>648817000</v>
      </c>
    </row>
    <row r="58" spans="1:8" x14ac:dyDescent="0.3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3">
      <c r="A59" s="53" t="s">
        <v>151</v>
      </c>
      <c r="B59" s="53">
        <v>405633</v>
      </c>
      <c r="C59" s="53">
        <v>7069465000</v>
      </c>
      <c r="D59" s="54">
        <v>2.1502233378727804</v>
      </c>
      <c r="F59" s="53" t="s">
        <v>151</v>
      </c>
      <c r="G59" s="53">
        <v>405633</v>
      </c>
      <c r="H59" s="53">
        <v>7069465000</v>
      </c>
    </row>
    <row r="60" spans="1:8" x14ac:dyDescent="0.3">
      <c r="A60" s="53" t="s">
        <v>165</v>
      </c>
      <c r="B60" s="53">
        <v>280312</v>
      </c>
      <c r="C60" s="53">
        <v>6281944000</v>
      </c>
      <c r="D60" s="54">
        <v>1.9395634687268202</v>
      </c>
      <c r="F60" s="53" t="s">
        <v>165</v>
      </c>
      <c r="G60" s="53">
        <v>280312</v>
      </c>
      <c r="H60" s="53">
        <v>6281944000</v>
      </c>
    </row>
    <row r="61" spans="1:8" x14ac:dyDescent="0.3">
      <c r="A61" s="53" t="s">
        <v>166</v>
      </c>
      <c r="B61" s="53">
        <v>193564</v>
      </c>
      <c r="C61" s="53">
        <v>5307165000</v>
      </c>
      <c r="D61" s="54">
        <v>1.8354332645783125</v>
      </c>
      <c r="F61" s="53" t="s">
        <v>166</v>
      </c>
      <c r="G61" s="53">
        <v>193564</v>
      </c>
      <c r="H61" s="53">
        <v>5307165000</v>
      </c>
    </row>
    <row r="62" spans="1:8" x14ac:dyDescent="0.3">
      <c r="A62" s="53">
        <v>30100</v>
      </c>
      <c r="B62" s="53">
        <v>214838</v>
      </c>
      <c r="C62" s="53">
        <v>7396307000</v>
      </c>
      <c r="D62" s="54">
        <v>1.7899992553128383</v>
      </c>
      <c r="F62" s="53">
        <v>30100</v>
      </c>
      <c r="G62" s="53">
        <v>214838</v>
      </c>
      <c r="H62" s="53">
        <v>7396307000</v>
      </c>
    </row>
    <row r="63" spans="1:8" x14ac:dyDescent="0.3">
      <c r="A63" s="53">
        <v>40100</v>
      </c>
      <c r="B63" s="53">
        <v>98541</v>
      </c>
      <c r="C63" s="53">
        <v>4381512000</v>
      </c>
      <c r="D63" s="54">
        <v>1.7647804792899742</v>
      </c>
      <c r="F63" s="53">
        <v>40100</v>
      </c>
      <c r="G63" s="53">
        <v>98541</v>
      </c>
      <c r="H63" s="53">
        <v>4381512000</v>
      </c>
    </row>
    <row r="64" spans="1:8" x14ac:dyDescent="0.3">
      <c r="A64" s="53" t="s">
        <v>168</v>
      </c>
      <c r="B64" s="53">
        <v>78949</v>
      </c>
      <c r="C64" s="53">
        <v>4605179000</v>
      </c>
      <c r="D64" s="54">
        <v>1.7599904523420133</v>
      </c>
      <c r="F64" s="53" t="s">
        <v>168</v>
      </c>
      <c r="G64" s="53">
        <v>78949</v>
      </c>
      <c r="H64" s="53">
        <v>4605179000</v>
      </c>
    </row>
    <row r="65" spans="1:8" x14ac:dyDescent="0.3">
      <c r="A65" s="53" t="s">
        <v>169</v>
      </c>
      <c r="B65" s="53">
        <v>38492</v>
      </c>
      <c r="C65" s="53">
        <v>3167016000</v>
      </c>
      <c r="D65" s="54">
        <v>1.7383657982724567</v>
      </c>
      <c r="F65" s="53" t="s">
        <v>169</v>
      </c>
      <c r="G65" s="53">
        <v>38492</v>
      </c>
      <c r="H65" s="53">
        <v>3167016000</v>
      </c>
    </row>
    <row r="66" spans="1:8" x14ac:dyDescent="0.3">
      <c r="A66" s="53" t="s">
        <v>170</v>
      </c>
      <c r="B66" s="53">
        <v>25476</v>
      </c>
      <c r="C66" s="53">
        <v>3377516000</v>
      </c>
      <c r="D66" s="54">
        <v>1.7012207704559412</v>
      </c>
      <c r="F66" s="53" t="s">
        <v>170</v>
      </c>
      <c r="G66" s="53">
        <v>25476</v>
      </c>
      <c r="H66" s="53">
        <v>3377516000</v>
      </c>
    </row>
    <row r="67" spans="1:8" x14ac:dyDescent="0.3">
      <c r="A67" s="53" t="s">
        <v>171</v>
      </c>
      <c r="B67" s="53">
        <v>5023</v>
      </c>
      <c r="C67" s="53">
        <v>1303189000</v>
      </c>
      <c r="D67" s="54">
        <v>1.653750189432198</v>
      </c>
      <c r="F67" s="53" t="s">
        <v>171</v>
      </c>
      <c r="G67" s="53">
        <v>5023</v>
      </c>
      <c r="H67" s="53">
        <v>1303189000</v>
      </c>
    </row>
    <row r="68" spans="1:8" x14ac:dyDescent="0.3">
      <c r="A68" s="53" t="s">
        <v>172</v>
      </c>
      <c r="B68" s="53">
        <v>959</v>
      </c>
      <c r="C68" s="53">
        <v>676347000</v>
      </c>
      <c r="D68" s="54">
        <v>1.7631569343065694</v>
      </c>
      <c r="F68" s="53" t="s">
        <v>172</v>
      </c>
      <c r="G68" s="53">
        <v>959</v>
      </c>
      <c r="H68" s="53">
        <v>676347000</v>
      </c>
    </row>
    <row r="69" spans="1:8" x14ac:dyDescent="0.3">
      <c r="A69" s="51" t="s">
        <v>56</v>
      </c>
      <c r="B69" s="51" t="s">
        <v>72</v>
      </c>
      <c r="C69" s="51" t="s">
        <v>73</v>
      </c>
      <c r="D69" s="52" t="s">
        <v>59</v>
      </c>
    </row>
    <row r="70" spans="1:8" x14ac:dyDescent="0.3">
      <c r="A70" s="53" t="s">
        <v>151</v>
      </c>
      <c r="B70" s="53">
        <v>196650</v>
      </c>
      <c r="C70" s="53">
        <v>3420612000</v>
      </c>
      <c r="D70" s="54">
        <v>2.2189760670125684</v>
      </c>
      <c r="F70" s="53" t="s">
        <v>151</v>
      </c>
      <c r="G70" s="53">
        <v>196650</v>
      </c>
      <c r="H70" s="53">
        <v>3420612000</v>
      </c>
    </row>
    <row r="71" spans="1:8" x14ac:dyDescent="0.3">
      <c r="A71" s="53" t="s">
        <v>165</v>
      </c>
      <c r="B71" s="53">
        <v>116452</v>
      </c>
      <c r="C71" s="53">
        <v>2602136000</v>
      </c>
      <c r="D71" s="54">
        <v>2.0591677485867703</v>
      </c>
      <c r="F71" s="53" t="s">
        <v>165</v>
      </c>
      <c r="G71" s="53">
        <v>116452</v>
      </c>
      <c r="H71" s="53">
        <v>2602136000</v>
      </c>
    </row>
    <row r="72" spans="1:8" x14ac:dyDescent="0.3">
      <c r="A72" s="53" t="s">
        <v>166</v>
      </c>
      <c r="B72" s="53">
        <v>72169</v>
      </c>
      <c r="C72" s="53">
        <v>1977378000</v>
      </c>
      <c r="D72" s="54">
        <v>1.958456280518635</v>
      </c>
      <c r="F72" s="53" t="s">
        <v>166</v>
      </c>
      <c r="G72" s="53">
        <v>72169</v>
      </c>
      <c r="H72" s="53">
        <v>1977378000</v>
      </c>
    </row>
    <row r="73" spans="1:8" x14ac:dyDescent="0.3">
      <c r="A73" s="53">
        <v>30100</v>
      </c>
      <c r="B73" s="53">
        <v>81751</v>
      </c>
      <c r="C73" s="53">
        <v>2820435000</v>
      </c>
      <c r="D73" s="54">
        <v>1.8776752929038629</v>
      </c>
      <c r="F73" s="53">
        <v>30100</v>
      </c>
      <c r="G73" s="53">
        <v>81751</v>
      </c>
      <c r="H73" s="53">
        <v>2820435000</v>
      </c>
    </row>
    <row r="74" spans="1:8" x14ac:dyDescent="0.3">
      <c r="A74" s="53">
        <v>40100</v>
      </c>
      <c r="B74" s="53">
        <v>41993</v>
      </c>
      <c r="C74" s="53">
        <v>1873314000</v>
      </c>
      <c r="D74" s="54">
        <v>1.7505762104133478</v>
      </c>
      <c r="F74" s="53">
        <v>40100</v>
      </c>
      <c r="G74" s="53">
        <v>41993</v>
      </c>
      <c r="H74" s="53">
        <v>1873314000</v>
      </c>
    </row>
    <row r="75" spans="1:8" x14ac:dyDescent="0.3">
      <c r="A75" s="53" t="s">
        <v>168</v>
      </c>
      <c r="B75" s="53">
        <v>38561</v>
      </c>
      <c r="C75" s="53">
        <v>2258504000</v>
      </c>
      <c r="D75" s="54">
        <v>1.640573602022928</v>
      </c>
      <c r="F75" s="53" t="s">
        <v>168</v>
      </c>
      <c r="G75" s="53">
        <v>38561</v>
      </c>
      <c r="H75" s="53">
        <v>2258504000</v>
      </c>
    </row>
    <row r="76" spans="1:8" x14ac:dyDescent="0.3">
      <c r="A76" s="53" t="s">
        <v>169</v>
      </c>
      <c r="B76" s="53">
        <v>31779</v>
      </c>
      <c r="C76" s="53">
        <v>1792412000</v>
      </c>
      <c r="D76" s="54">
        <v>1.4271955970323227</v>
      </c>
      <c r="F76" s="53" t="s">
        <v>169</v>
      </c>
      <c r="G76" s="53">
        <v>31779</v>
      </c>
      <c r="H76" s="53">
        <v>1792412000</v>
      </c>
    </row>
    <row r="77" spans="1:8" x14ac:dyDescent="0.3">
      <c r="A77" s="53" t="s">
        <v>170</v>
      </c>
      <c r="B77" s="53">
        <v>15320</v>
      </c>
      <c r="C77" s="53">
        <v>2045725000</v>
      </c>
      <c r="D77" s="54">
        <v>1.7195069130837983</v>
      </c>
      <c r="F77" s="53" t="s">
        <v>170</v>
      </c>
      <c r="G77" s="53">
        <v>15320</v>
      </c>
      <c r="H77" s="53">
        <v>2045725000</v>
      </c>
    </row>
    <row r="78" spans="1:8" x14ac:dyDescent="0.3">
      <c r="A78" s="53" t="s">
        <v>171</v>
      </c>
      <c r="B78" s="53">
        <v>3290</v>
      </c>
      <c r="C78" s="53">
        <v>862936000</v>
      </c>
      <c r="D78" s="54">
        <v>1.6133037228518037</v>
      </c>
      <c r="F78" s="53" t="s">
        <v>171</v>
      </c>
      <c r="G78" s="53">
        <v>3290</v>
      </c>
      <c r="H78" s="53">
        <v>862936000</v>
      </c>
    </row>
    <row r="79" spans="1:8" x14ac:dyDescent="0.3">
      <c r="A79" s="53" t="s">
        <v>172</v>
      </c>
      <c r="B79" s="53">
        <v>633</v>
      </c>
      <c r="C79" s="53">
        <v>403495000</v>
      </c>
      <c r="D79" s="54">
        <v>1.5935821484992101</v>
      </c>
      <c r="F79" s="53" t="s">
        <v>172</v>
      </c>
      <c r="G79" s="53">
        <v>633</v>
      </c>
      <c r="H79" s="53">
        <v>403495000</v>
      </c>
    </row>
    <row r="80" spans="1:8" x14ac:dyDescent="0.3">
      <c r="A80" s="51" t="s">
        <v>56</v>
      </c>
      <c r="B80" s="51" t="s">
        <v>74</v>
      </c>
      <c r="C80" s="51" t="s">
        <v>75</v>
      </c>
      <c r="D80" s="52" t="s">
        <v>59</v>
      </c>
    </row>
    <row r="81" spans="1:8" x14ac:dyDescent="0.3">
      <c r="A81" s="53" t="s">
        <v>151</v>
      </c>
      <c r="B81" s="53">
        <v>38154</v>
      </c>
      <c r="C81" s="53">
        <v>710630000</v>
      </c>
      <c r="D81" s="54">
        <v>2.5975889581156282</v>
      </c>
      <c r="F81" s="53" t="s">
        <v>151</v>
      </c>
      <c r="G81" s="53">
        <v>38154</v>
      </c>
      <c r="H81" s="53">
        <v>710630000</v>
      </c>
    </row>
    <row r="82" spans="1:8" x14ac:dyDescent="0.3">
      <c r="A82" s="53" t="s">
        <v>165</v>
      </c>
      <c r="B82" s="53">
        <v>42273</v>
      </c>
      <c r="C82" s="53">
        <v>942598000</v>
      </c>
      <c r="D82" s="54">
        <v>2.2367042190421049</v>
      </c>
      <c r="F82" s="53" t="s">
        <v>165</v>
      </c>
      <c r="G82" s="53">
        <v>42273</v>
      </c>
      <c r="H82" s="53">
        <v>942598000</v>
      </c>
    </row>
    <row r="83" spans="1:8" x14ac:dyDescent="0.3">
      <c r="A83" s="53" t="s">
        <v>166</v>
      </c>
      <c r="B83" s="53">
        <v>23773</v>
      </c>
      <c r="C83" s="53">
        <v>650688000</v>
      </c>
      <c r="D83" s="54">
        <v>2.1937810036020671</v>
      </c>
      <c r="F83" s="53" t="s">
        <v>166</v>
      </c>
      <c r="G83" s="53">
        <v>23773</v>
      </c>
      <c r="H83" s="53">
        <v>650688000</v>
      </c>
    </row>
    <row r="84" spans="1:8" x14ac:dyDescent="0.3">
      <c r="A84" s="53">
        <v>30100</v>
      </c>
      <c r="B84" s="53">
        <v>25433</v>
      </c>
      <c r="C84" s="53">
        <v>877319000</v>
      </c>
      <c r="D84" s="54">
        <v>2.1373736912502115</v>
      </c>
      <c r="F84" s="53">
        <v>30100</v>
      </c>
      <c r="G84" s="53">
        <v>25433</v>
      </c>
      <c r="H84" s="53">
        <v>877319000</v>
      </c>
    </row>
    <row r="85" spans="1:8" x14ac:dyDescent="0.3">
      <c r="A85" s="53">
        <v>40100</v>
      </c>
      <c r="B85" s="53">
        <v>13801</v>
      </c>
      <c r="C85" s="53">
        <v>616510000</v>
      </c>
      <c r="D85" s="54">
        <v>2.0195955764194324</v>
      </c>
      <c r="F85" s="53">
        <v>40100</v>
      </c>
      <c r="G85" s="53">
        <v>13801</v>
      </c>
      <c r="H85" s="53">
        <v>616510000</v>
      </c>
    </row>
    <row r="86" spans="1:8" x14ac:dyDescent="0.3">
      <c r="A86" s="53" t="s">
        <v>168</v>
      </c>
      <c r="B86" s="53">
        <v>14349</v>
      </c>
      <c r="C86" s="53">
        <v>843614000</v>
      </c>
      <c r="D86" s="54">
        <v>1.93128549208032</v>
      </c>
      <c r="F86" s="53" t="s">
        <v>168</v>
      </c>
      <c r="G86" s="53">
        <v>14349</v>
      </c>
      <c r="H86" s="53">
        <v>843614000</v>
      </c>
    </row>
    <row r="87" spans="1:8" x14ac:dyDescent="0.3">
      <c r="A87" s="53" t="s">
        <v>169</v>
      </c>
      <c r="B87" s="53">
        <v>9044</v>
      </c>
      <c r="C87" s="53">
        <v>747008000</v>
      </c>
      <c r="D87" s="54">
        <v>1.826177364904132</v>
      </c>
      <c r="F87" s="53" t="s">
        <v>169</v>
      </c>
      <c r="G87" s="53">
        <v>9044</v>
      </c>
      <c r="H87" s="53">
        <v>747008000</v>
      </c>
    </row>
    <row r="88" spans="1:8" x14ac:dyDescent="0.3">
      <c r="A88" s="53" t="s">
        <v>170</v>
      </c>
      <c r="B88" s="53">
        <v>6511</v>
      </c>
      <c r="C88" s="53">
        <v>867809000</v>
      </c>
      <c r="D88" s="54">
        <v>1.7683151771892229</v>
      </c>
      <c r="F88" s="53" t="s">
        <v>170</v>
      </c>
      <c r="G88" s="53">
        <v>6511</v>
      </c>
      <c r="H88" s="53">
        <v>867809000</v>
      </c>
    </row>
    <row r="89" spans="1:8" x14ac:dyDescent="0.3">
      <c r="A89" s="53" t="s">
        <v>171</v>
      </c>
      <c r="B89" s="53">
        <v>1543</v>
      </c>
      <c r="C89" s="53">
        <v>406718000</v>
      </c>
      <c r="D89" s="54">
        <v>1.6442099292051784</v>
      </c>
      <c r="F89" s="53" t="s">
        <v>171</v>
      </c>
      <c r="G89" s="53">
        <v>1543</v>
      </c>
      <c r="H89" s="53">
        <v>406718000</v>
      </c>
    </row>
    <row r="90" spans="1:8" x14ac:dyDescent="0.3">
      <c r="A90" s="53" t="s">
        <v>172</v>
      </c>
      <c r="B90" s="53">
        <v>330</v>
      </c>
      <c r="C90" s="53">
        <v>209511000</v>
      </c>
      <c r="D90" s="54">
        <v>1.5872045454545456</v>
      </c>
      <c r="F90" s="53" t="s">
        <v>172</v>
      </c>
      <c r="G90" s="53">
        <v>330</v>
      </c>
      <c r="H90" s="53">
        <v>209511000</v>
      </c>
    </row>
    <row r="91" spans="1:8" x14ac:dyDescent="0.3">
      <c r="A91" s="51" t="s">
        <v>56</v>
      </c>
      <c r="B91" s="51" t="s">
        <v>76</v>
      </c>
      <c r="C91" s="51" t="s">
        <v>77</v>
      </c>
      <c r="D91" s="52" t="s">
        <v>59</v>
      </c>
    </row>
    <row r="92" spans="1:8" x14ac:dyDescent="0.3">
      <c r="A92" s="51"/>
      <c r="B92" s="51"/>
      <c r="C92" s="51"/>
      <c r="D92" s="52"/>
      <c r="F92" s="53">
        <v>15100</v>
      </c>
      <c r="G92" s="2">
        <v>14978.917606983181</v>
      </c>
      <c r="H92" s="2">
        <v>278986953.37449431</v>
      </c>
    </row>
    <row r="93" spans="1:8" x14ac:dyDescent="0.3">
      <c r="A93" s="53" t="s">
        <v>165</v>
      </c>
      <c r="B93" s="53">
        <v>16596</v>
      </c>
      <c r="C93" s="53">
        <v>369911000</v>
      </c>
      <c r="D93" s="54">
        <v>2.2490352744919719</v>
      </c>
      <c r="F93" s="53">
        <v>20100</v>
      </c>
      <c r="G93" s="55">
        <v>16596</v>
      </c>
      <c r="H93" s="55">
        <v>369911000</v>
      </c>
    </row>
    <row r="94" spans="1:8" x14ac:dyDescent="0.3">
      <c r="A94" s="53" t="s">
        <v>166</v>
      </c>
      <c r="B94" s="53">
        <v>8232</v>
      </c>
      <c r="C94" s="53">
        <v>225118000</v>
      </c>
      <c r="D94" s="54">
        <v>2.2755213449274958</v>
      </c>
      <c r="F94" s="53">
        <v>25100</v>
      </c>
      <c r="G94" s="55">
        <v>8232</v>
      </c>
      <c r="H94" s="55">
        <v>225118000</v>
      </c>
    </row>
    <row r="95" spans="1:8" x14ac:dyDescent="0.3">
      <c r="A95" s="53">
        <v>30100</v>
      </c>
      <c r="B95" s="53">
        <v>8079</v>
      </c>
      <c r="C95" s="53">
        <v>278058000</v>
      </c>
      <c r="D95" s="54">
        <v>2.2410341686243105</v>
      </c>
      <c r="F95" s="53">
        <v>30100</v>
      </c>
      <c r="G95" s="55">
        <v>8079</v>
      </c>
      <c r="H95" s="55">
        <v>278058000</v>
      </c>
    </row>
    <row r="96" spans="1:8" x14ac:dyDescent="0.3">
      <c r="A96" s="53">
        <v>40100</v>
      </c>
      <c r="B96" s="53">
        <v>4341</v>
      </c>
      <c r="C96" s="53">
        <v>194174000</v>
      </c>
      <c r="D96" s="54">
        <v>2.108248773789505</v>
      </c>
      <c r="F96" s="53">
        <v>40100</v>
      </c>
      <c r="G96" s="55">
        <v>4341</v>
      </c>
      <c r="H96" s="55">
        <v>194174000</v>
      </c>
    </row>
    <row r="97" spans="1:8" x14ac:dyDescent="0.3">
      <c r="A97" s="53" t="s">
        <v>168</v>
      </c>
      <c r="B97" s="53">
        <v>4829</v>
      </c>
      <c r="C97" s="53">
        <v>284774000</v>
      </c>
      <c r="D97" s="54">
        <v>1.9932159437883388</v>
      </c>
      <c r="F97" s="53">
        <v>50100</v>
      </c>
      <c r="G97" s="55">
        <v>4829</v>
      </c>
      <c r="H97" s="55">
        <v>284774000</v>
      </c>
    </row>
    <row r="98" spans="1:8" x14ac:dyDescent="0.3">
      <c r="A98" s="53" t="s">
        <v>169</v>
      </c>
      <c r="B98" s="53">
        <v>3265</v>
      </c>
      <c r="C98" s="53">
        <v>269641000</v>
      </c>
      <c r="D98" s="54">
        <v>1.8611000315729986</v>
      </c>
      <c r="F98" s="53">
        <v>70100</v>
      </c>
      <c r="G98" s="55">
        <v>3265</v>
      </c>
      <c r="H98" s="55">
        <v>269641000</v>
      </c>
    </row>
    <row r="99" spans="1:8" x14ac:dyDescent="0.3">
      <c r="A99" s="53" t="s">
        <v>170</v>
      </c>
      <c r="B99" s="53">
        <v>2444</v>
      </c>
      <c r="C99" s="53">
        <v>328031000</v>
      </c>
      <c r="D99" s="54">
        <v>1.7933337450124398</v>
      </c>
      <c r="F99" s="53">
        <v>100100</v>
      </c>
      <c r="G99" s="55">
        <v>2444</v>
      </c>
      <c r="H99" s="55">
        <v>328031000</v>
      </c>
    </row>
    <row r="100" spans="1:8" x14ac:dyDescent="0.3">
      <c r="A100" s="53" t="s">
        <v>171</v>
      </c>
      <c r="B100" s="53">
        <v>631</v>
      </c>
      <c r="C100" s="53">
        <v>165767000</v>
      </c>
      <c r="D100" s="54">
        <v>1.6416825234758126</v>
      </c>
      <c r="F100" s="53">
        <v>200100</v>
      </c>
      <c r="G100" s="55">
        <v>631</v>
      </c>
      <c r="H100" s="55">
        <v>165767000</v>
      </c>
    </row>
    <row r="101" spans="1:8" x14ac:dyDescent="0.3">
      <c r="A101" s="53" t="s">
        <v>172</v>
      </c>
      <c r="B101" s="53">
        <v>112</v>
      </c>
      <c r="C101" s="53">
        <v>78309000</v>
      </c>
      <c r="D101" s="54">
        <v>1.7479687500000001</v>
      </c>
      <c r="F101" s="53">
        <v>400000</v>
      </c>
      <c r="G101" s="55">
        <v>112</v>
      </c>
      <c r="H101" s="55">
        <v>78309000</v>
      </c>
    </row>
    <row r="102" spans="1:8" x14ac:dyDescent="0.3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3">
      <c r="A103" s="51"/>
      <c r="B103" s="51"/>
      <c r="C103" s="51"/>
      <c r="D103" s="52"/>
      <c r="F103" s="53">
        <v>15100</v>
      </c>
      <c r="G103" s="2">
        <v>4000.1544248101627</v>
      </c>
      <c r="H103" s="2">
        <v>74504108.05951789</v>
      </c>
    </row>
    <row r="104" spans="1:8" x14ac:dyDescent="0.3">
      <c r="A104" s="53" t="s">
        <v>165</v>
      </c>
      <c r="B104" s="53">
        <v>4432</v>
      </c>
      <c r="C104" s="53">
        <v>102873000</v>
      </c>
      <c r="D104" s="54">
        <v>2.3928434167822528</v>
      </c>
      <c r="F104" s="53">
        <v>20100</v>
      </c>
      <c r="G104" s="55">
        <v>4432</v>
      </c>
      <c r="H104" s="55">
        <v>102873000</v>
      </c>
    </row>
    <row r="105" spans="1:8" x14ac:dyDescent="0.3">
      <c r="A105" s="53" t="s">
        <v>166</v>
      </c>
      <c r="B105" s="53">
        <v>3489</v>
      </c>
      <c r="C105" s="53">
        <v>95274000</v>
      </c>
      <c r="D105" s="54">
        <v>2.2817075430082348</v>
      </c>
      <c r="F105" s="53">
        <v>25100</v>
      </c>
      <c r="G105" s="55">
        <v>3489</v>
      </c>
      <c r="H105" s="55">
        <v>95274000</v>
      </c>
    </row>
    <row r="106" spans="1:8" x14ac:dyDescent="0.3">
      <c r="A106" s="53">
        <v>30100</v>
      </c>
      <c r="B106" s="53">
        <v>2992</v>
      </c>
      <c r="C106" s="53">
        <v>102678000</v>
      </c>
      <c r="D106" s="54">
        <v>2.3097683452408209</v>
      </c>
      <c r="F106" s="53">
        <v>30100</v>
      </c>
      <c r="G106" s="55">
        <v>2992</v>
      </c>
      <c r="H106" s="55">
        <v>102678000</v>
      </c>
    </row>
    <row r="107" spans="1:8" x14ac:dyDescent="0.3">
      <c r="A107" s="53">
        <v>40100</v>
      </c>
      <c r="B107" s="53">
        <v>1489</v>
      </c>
      <c r="C107" s="53">
        <v>66659000</v>
      </c>
      <c r="D107" s="54">
        <v>2.2079323352269147</v>
      </c>
      <c r="F107" s="53">
        <v>40100</v>
      </c>
      <c r="G107" s="55">
        <v>1489</v>
      </c>
      <c r="H107" s="55">
        <v>66659000</v>
      </c>
    </row>
    <row r="108" spans="1:8" x14ac:dyDescent="0.3">
      <c r="A108" s="53" t="s">
        <v>168</v>
      </c>
      <c r="B108" s="53">
        <v>1697</v>
      </c>
      <c r="C108" s="53">
        <v>100004000</v>
      </c>
      <c r="D108" s="54">
        <v>2.0883535323822855</v>
      </c>
      <c r="F108" s="53">
        <v>50100</v>
      </c>
      <c r="G108" s="55">
        <v>1697</v>
      </c>
      <c r="H108" s="55">
        <v>100004000</v>
      </c>
    </row>
    <row r="109" spans="1:8" x14ac:dyDescent="0.3">
      <c r="A109" s="53" t="s">
        <v>169</v>
      </c>
      <c r="B109" s="53">
        <v>1135</v>
      </c>
      <c r="C109" s="53">
        <v>93871000</v>
      </c>
      <c r="D109" s="54">
        <v>1.9624713814589425</v>
      </c>
      <c r="F109" s="53">
        <v>70100</v>
      </c>
      <c r="G109" s="55">
        <v>1135</v>
      </c>
      <c r="H109" s="55">
        <v>93871000</v>
      </c>
    </row>
    <row r="110" spans="1:8" x14ac:dyDescent="0.3">
      <c r="A110" s="53" t="s">
        <v>170</v>
      </c>
      <c r="B110" s="53">
        <v>932</v>
      </c>
      <c r="C110" s="53">
        <v>124700000</v>
      </c>
      <c r="D110" s="54">
        <v>1.8846371020284065</v>
      </c>
      <c r="F110" s="53">
        <v>100100</v>
      </c>
      <c r="G110" s="55">
        <v>932</v>
      </c>
      <c r="H110" s="55">
        <v>124700000</v>
      </c>
    </row>
    <row r="111" spans="1:8" x14ac:dyDescent="0.3">
      <c r="A111" s="53" t="s">
        <v>171</v>
      </c>
      <c r="B111" s="53">
        <v>229</v>
      </c>
      <c r="C111" s="53">
        <v>60157000</v>
      </c>
      <c r="D111" s="54">
        <v>1.8330033589477039</v>
      </c>
      <c r="F111" s="53">
        <v>200100</v>
      </c>
      <c r="G111" s="55">
        <v>229</v>
      </c>
      <c r="H111" s="55">
        <v>60157000</v>
      </c>
    </row>
    <row r="112" spans="1:8" x14ac:dyDescent="0.3">
      <c r="A112" s="53" t="s">
        <v>172</v>
      </c>
      <c r="B112" s="53">
        <v>58</v>
      </c>
      <c r="C112" s="53">
        <v>45110000</v>
      </c>
      <c r="D112" s="54">
        <v>1.9443965517241379</v>
      </c>
      <c r="F112" s="53">
        <v>400000</v>
      </c>
      <c r="G112" s="55">
        <v>58</v>
      </c>
      <c r="H112" s="55">
        <v>45110000</v>
      </c>
    </row>
    <row r="113" spans="1:8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3">
      <c r="A114" s="51"/>
      <c r="B114" s="51"/>
      <c r="C114" s="51"/>
      <c r="D114" s="52"/>
      <c r="F114" s="53">
        <v>15100</v>
      </c>
      <c r="G114" s="2">
        <v>596.593428429494</v>
      </c>
      <c r="H114" s="2">
        <v>11111736.332883872</v>
      </c>
    </row>
    <row r="115" spans="1:8" x14ac:dyDescent="0.3">
      <c r="A115" s="53" t="s">
        <v>165</v>
      </c>
      <c r="B115" s="53">
        <v>661</v>
      </c>
      <c r="C115" s="53">
        <v>16090000</v>
      </c>
      <c r="D115" s="54">
        <v>2.5980668489532568</v>
      </c>
      <c r="F115" s="53">
        <v>20100</v>
      </c>
      <c r="G115" s="55">
        <v>661</v>
      </c>
      <c r="H115" s="55">
        <v>16090000</v>
      </c>
    </row>
    <row r="116" spans="1:8" x14ac:dyDescent="0.3">
      <c r="A116" s="53" t="s">
        <v>166</v>
      </c>
      <c r="B116" s="53">
        <v>1624</v>
      </c>
      <c r="C116" s="53">
        <v>44449000</v>
      </c>
      <c r="D116" s="54">
        <v>2.2272150160596378</v>
      </c>
      <c r="F116" s="53">
        <v>25100</v>
      </c>
      <c r="G116" s="55">
        <v>1624</v>
      </c>
      <c r="H116" s="55">
        <v>44449000</v>
      </c>
    </row>
    <row r="117" spans="1:8" x14ac:dyDescent="0.3">
      <c r="A117" s="53">
        <v>30100</v>
      </c>
      <c r="B117" s="53">
        <v>1364</v>
      </c>
      <c r="C117" s="53">
        <v>46787000</v>
      </c>
      <c r="D117" s="54">
        <v>2.3125714246409235</v>
      </c>
      <c r="F117" s="53">
        <v>30100</v>
      </c>
      <c r="G117" s="55">
        <v>1364</v>
      </c>
      <c r="H117" s="55">
        <v>46787000</v>
      </c>
    </row>
    <row r="118" spans="1:8" x14ac:dyDescent="0.3">
      <c r="A118" s="53">
        <v>40100</v>
      </c>
      <c r="B118" s="53">
        <v>577</v>
      </c>
      <c r="C118" s="53">
        <v>25821000</v>
      </c>
      <c r="D118" s="54">
        <v>2.331293728989376</v>
      </c>
      <c r="F118" s="53">
        <v>40100</v>
      </c>
      <c r="G118" s="55">
        <v>577</v>
      </c>
      <c r="H118" s="55">
        <v>25821000</v>
      </c>
    </row>
    <row r="119" spans="1:8" x14ac:dyDescent="0.3">
      <c r="A119" s="53" t="s">
        <v>168</v>
      </c>
      <c r="B119" s="53">
        <v>554</v>
      </c>
      <c r="C119" s="53">
        <v>32795000</v>
      </c>
      <c r="D119" s="54">
        <v>2.2557385229540916</v>
      </c>
      <c r="F119" s="53">
        <v>50100</v>
      </c>
      <c r="G119" s="55">
        <v>554</v>
      </c>
      <c r="H119" s="55">
        <v>32795000</v>
      </c>
    </row>
    <row r="120" spans="1:8" x14ac:dyDescent="0.3">
      <c r="A120" s="53" t="s">
        <v>169</v>
      </c>
      <c r="B120" s="53">
        <v>410</v>
      </c>
      <c r="C120" s="53">
        <v>33685000</v>
      </c>
      <c r="D120" s="54">
        <v>2.0921901314793763</v>
      </c>
      <c r="F120" s="53">
        <v>70100</v>
      </c>
      <c r="G120" s="55">
        <v>410</v>
      </c>
      <c r="H120" s="55">
        <v>33685000</v>
      </c>
    </row>
    <row r="121" spans="1:8" x14ac:dyDescent="0.3">
      <c r="A121" s="53" t="s">
        <v>170</v>
      </c>
      <c r="B121" s="53">
        <v>336</v>
      </c>
      <c r="C121" s="53">
        <v>45009000</v>
      </c>
      <c r="D121" s="54">
        <v>2.0202066840722304</v>
      </c>
      <c r="F121" s="53">
        <v>100100</v>
      </c>
      <c r="G121" s="55">
        <v>336</v>
      </c>
      <c r="H121" s="55">
        <v>45009000</v>
      </c>
    </row>
    <row r="122" spans="1:8" x14ac:dyDescent="0.3">
      <c r="A122" s="53" t="s">
        <v>171</v>
      </c>
      <c r="B122" s="53">
        <v>108</v>
      </c>
      <c r="C122" s="53">
        <v>28092000</v>
      </c>
      <c r="D122" s="54">
        <v>1.8294067252088242</v>
      </c>
      <c r="F122" s="53">
        <v>200100</v>
      </c>
      <c r="G122" s="55">
        <v>108</v>
      </c>
      <c r="H122" s="55">
        <v>28092000</v>
      </c>
    </row>
    <row r="123" spans="1:8" x14ac:dyDescent="0.3">
      <c r="A123" s="53" t="s">
        <v>172</v>
      </c>
      <c r="B123" s="53">
        <v>32</v>
      </c>
      <c r="C123" s="53">
        <v>23157000</v>
      </c>
      <c r="D123" s="54">
        <v>1.8091406249999999</v>
      </c>
      <c r="F123" s="53">
        <v>400000</v>
      </c>
      <c r="G123" s="55">
        <v>32</v>
      </c>
      <c r="H123" s="55">
        <v>23157000</v>
      </c>
    </row>
    <row r="124" spans="1:8" x14ac:dyDescent="0.3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3">
      <c r="A125" s="51"/>
      <c r="B125" s="51"/>
      <c r="C125" s="51"/>
      <c r="D125" s="52"/>
      <c r="F125" s="53">
        <v>15100</v>
      </c>
      <c r="G125" s="55">
        <v>235.47807119661681</v>
      </c>
      <c r="H125" s="55">
        <v>4385851.5944449278</v>
      </c>
    </row>
    <row r="126" spans="1:8" x14ac:dyDescent="0.3">
      <c r="A126" s="53" t="s">
        <v>165</v>
      </c>
      <c r="B126" s="53"/>
      <c r="C126" s="53"/>
      <c r="D126" s="54">
        <v>2.5731236604501859</v>
      </c>
      <c r="F126" s="53">
        <v>20100</v>
      </c>
      <c r="G126" s="55">
        <v>260.89963054187194</v>
      </c>
      <c r="H126" s="55">
        <v>6350794.3349753702</v>
      </c>
    </row>
    <row r="127" spans="1:8" x14ac:dyDescent="0.3">
      <c r="A127" s="53" t="s">
        <v>166</v>
      </c>
      <c r="B127" s="53">
        <v>641</v>
      </c>
      <c r="C127" s="53">
        <v>17791000</v>
      </c>
      <c r="D127" s="54">
        <v>2.0605492260975593</v>
      </c>
      <c r="F127" s="53">
        <v>25100</v>
      </c>
      <c r="G127" s="53">
        <v>641</v>
      </c>
      <c r="H127" s="53">
        <v>17791000</v>
      </c>
    </row>
    <row r="128" spans="1:8" x14ac:dyDescent="0.3">
      <c r="A128" s="53">
        <v>30100</v>
      </c>
      <c r="B128" s="53">
        <v>639</v>
      </c>
      <c r="C128" s="53">
        <v>21726000</v>
      </c>
      <c r="D128" s="54">
        <v>2.0799555462420325</v>
      </c>
      <c r="F128" s="53">
        <v>30100</v>
      </c>
      <c r="G128" s="53">
        <v>639</v>
      </c>
      <c r="H128" s="53">
        <v>21726000</v>
      </c>
    </row>
    <row r="129" spans="1:8" x14ac:dyDescent="0.3">
      <c r="A129" s="53">
        <v>40100</v>
      </c>
      <c r="B129" s="53">
        <v>241</v>
      </c>
      <c r="C129" s="53">
        <v>10701000</v>
      </c>
      <c r="D129" s="54">
        <v>2.1517449898569638</v>
      </c>
      <c r="F129" s="53">
        <v>40100</v>
      </c>
      <c r="G129" s="53">
        <v>241</v>
      </c>
      <c r="H129" s="53">
        <v>10701000</v>
      </c>
    </row>
    <row r="130" spans="1:8" x14ac:dyDescent="0.3">
      <c r="A130" s="53" t="s">
        <v>168</v>
      </c>
      <c r="B130" s="53">
        <v>210</v>
      </c>
      <c r="C130" s="53">
        <v>12350000</v>
      </c>
      <c r="D130" s="54">
        <v>2.1016723614917057</v>
      </c>
      <c r="F130" s="53">
        <v>50100</v>
      </c>
      <c r="G130" s="53">
        <v>210</v>
      </c>
      <c r="H130" s="53">
        <v>12350000</v>
      </c>
    </row>
    <row r="131" spans="1:8" x14ac:dyDescent="0.3">
      <c r="A131" s="53" t="s">
        <v>169</v>
      </c>
      <c r="B131" s="53">
        <v>152</v>
      </c>
      <c r="C131" s="53">
        <v>12755000</v>
      </c>
      <c r="D131" s="54">
        <v>1.9358637638264873</v>
      </c>
      <c r="F131" s="53">
        <v>70100</v>
      </c>
      <c r="G131" s="53">
        <v>152</v>
      </c>
      <c r="H131" s="53">
        <v>12755000</v>
      </c>
    </row>
    <row r="132" spans="1:8" x14ac:dyDescent="0.3">
      <c r="A132" s="53" t="s">
        <v>170</v>
      </c>
      <c r="B132" s="53">
        <v>132</v>
      </c>
      <c r="C132" s="53">
        <v>17318000</v>
      </c>
      <c r="D132" s="54">
        <v>1.8210192174689215</v>
      </c>
      <c r="F132" s="53">
        <v>100100</v>
      </c>
      <c r="G132" s="53">
        <v>132</v>
      </c>
      <c r="H132" s="53">
        <v>17318000</v>
      </c>
    </row>
    <row r="133" spans="1:8" x14ac:dyDescent="0.3">
      <c r="A133" s="53" t="s">
        <v>171</v>
      </c>
      <c r="B133" s="53">
        <v>29</v>
      </c>
      <c r="C133" s="53">
        <v>7629000</v>
      </c>
      <c r="D133" s="54">
        <v>1.8217918067993031</v>
      </c>
      <c r="F133" s="53">
        <v>200100</v>
      </c>
      <c r="G133" s="53">
        <v>29</v>
      </c>
      <c r="H133" s="53">
        <v>7629000</v>
      </c>
    </row>
    <row r="134" spans="1:8" x14ac:dyDescent="0.3">
      <c r="A134" s="53" t="s">
        <v>172</v>
      </c>
      <c r="B134" s="53">
        <v>8</v>
      </c>
      <c r="C134" s="53">
        <v>5859000</v>
      </c>
      <c r="D134" s="54">
        <v>1.8309375000000001</v>
      </c>
      <c r="F134" s="53">
        <v>400000</v>
      </c>
      <c r="G134" s="53">
        <v>8</v>
      </c>
      <c r="H134" s="53">
        <v>5859000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I4" sqref="I4:J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5" x14ac:dyDescent="0.3">
      <c r="A1" s="79" t="s">
        <v>235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4950</v>
      </c>
      <c r="M3" t="s">
        <v>8</v>
      </c>
      <c r="N3" t="s">
        <v>7</v>
      </c>
      <c r="O3" t="s">
        <v>14</v>
      </c>
    </row>
    <row r="4" spans="1:15" x14ac:dyDescent="0.3">
      <c r="A4" s="53" t="s">
        <v>151</v>
      </c>
      <c r="B4" s="53">
        <v>518027</v>
      </c>
      <c r="C4" s="53">
        <v>8849924000</v>
      </c>
      <c r="D4" s="54">
        <v>1.6075780289622033</v>
      </c>
      <c r="F4" s="53" t="s">
        <v>151</v>
      </c>
      <c r="G4" s="53">
        <v>518027</v>
      </c>
      <c r="H4" s="53">
        <v>8849924000</v>
      </c>
      <c r="I4" s="2">
        <f>J4/6.55957</f>
        <v>2286.7352585611557</v>
      </c>
      <c r="J4" s="53">
        <v>15000</v>
      </c>
      <c r="K4" s="2">
        <f>G4+G15+G26+G37+G48+G59+G70+G81+G92+G103+G114+G125</f>
        <v>2540916.4761322485</v>
      </c>
      <c r="L4" s="2">
        <f>H4+H15+H26+H37+H48+H59+H70+H81+H92+H103+H114+H125</f>
        <v>44122116333.924149</v>
      </c>
      <c r="M4">
        <f>1-SUM(K4:$K$13)/$K$15</f>
        <v>0.61406106497432533</v>
      </c>
      <c r="N4">
        <f>SUM(L4:$L$13)/(J4*SUM(K4:$K$13))</f>
        <v>2.1481247292877255</v>
      </c>
      <c r="O4">
        <f>(G4+G15+G37)/K4</f>
        <v>0.26766247784549452</v>
      </c>
    </row>
    <row r="5" spans="1:15" x14ac:dyDescent="0.3">
      <c r="A5" s="53" t="s">
        <v>165</v>
      </c>
      <c r="B5" s="53">
        <v>201202</v>
      </c>
      <c r="C5" s="53">
        <v>4471528000</v>
      </c>
      <c r="D5" s="54">
        <v>1.634052514386523</v>
      </c>
      <c r="F5" s="53" t="s">
        <v>165</v>
      </c>
      <c r="G5" s="53">
        <v>201202</v>
      </c>
      <c r="H5" s="53">
        <v>4471528000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1866494.2979449278</v>
      </c>
      <c r="L5" s="2">
        <f t="shared" si="1"/>
        <v>41827662166.20047</v>
      </c>
      <c r="M5">
        <f>1-SUM(K5:$K$13)/$K$15</f>
        <v>0.72997300484256877</v>
      </c>
      <c r="N5">
        <f>SUM(L5:$L$13)/(J5*SUM(K5:$K$13))</f>
        <v>1.9299745735754352</v>
      </c>
      <c r="O5">
        <f t="shared" ref="O5:O13" si="2">(G5+G16+G38)/K5</f>
        <v>0.15508592783739697</v>
      </c>
    </row>
    <row r="6" spans="1:15" x14ac:dyDescent="0.3">
      <c r="A6" s="53" t="s">
        <v>166</v>
      </c>
      <c r="B6" s="53">
        <v>92934</v>
      </c>
      <c r="C6" s="53">
        <v>2534821000</v>
      </c>
      <c r="D6" s="54">
        <v>1.6732352628903677</v>
      </c>
      <c r="F6" s="53" t="s">
        <v>166</v>
      </c>
      <c r="G6" s="53">
        <v>92934</v>
      </c>
      <c r="H6" s="53">
        <v>2534821000</v>
      </c>
      <c r="I6" s="2">
        <f t="shared" si="0"/>
        <v>3811.2254309352597</v>
      </c>
      <c r="J6" s="53">
        <v>25000</v>
      </c>
      <c r="K6" s="2">
        <f t="shared" si="1"/>
        <v>1254082.7209411764</v>
      </c>
      <c r="L6" s="2">
        <f t="shared" si="1"/>
        <v>34352392636.705883</v>
      </c>
      <c r="M6">
        <f>1-SUM(K6:$K$13)/$K$15</f>
        <v>0.81511904441531979</v>
      </c>
      <c r="N6">
        <f>SUM(L6:$L$13)/(J6*SUM(K6:$K$13))</f>
        <v>1.84222406117389</v>
      </c>
      <c r="O6">
        <f t="shared" si="2"/>
        <v>0.11373492164293228</v>
      </c>
    </row>
    <row r="7" spans="1:15" x14ac:dyDescent="0.3">
      <c r="A7" s="53">
        <v>30100</v>
      </c>
      <c r="B7" s="53">
        <v>74672</v>
      </c>
      <c r="C7" s="53">
        <v>2554671000</v>
      </c>
      <c r="D7" s="54">
        <v>1.718811392366004</v>
      </c>
      <c r="F7" s="53">
        <v>30100</v>
      </c>
      <c r="G7" s="53">
        <v>74672</v>
      </c>
      <c r="H7" s="53">
        <v>2554671000</v>
      </c>
      <c r="I7" s="2">
        <f t="shared" si="0"/>
        <v>4573.4705171223113</v>
      </c>
      <c r="J7" s="53">
        <v>30000</v>
      </c>
      <c r="K7" s="2">
        <f t="shared" si="1"/>
        <v>1331504</v>
      </c>
      <c r="L7" s="2">
        <f t="shared" si="1"/>
        <v>45773329000</v>
      </c>
      <c r="M7">
        <f>1-SUM(K7:$K$13)/$K$15</f>
        <v>0.87232799335362055</v>
      </c>
      <c r="N7">
        <f>SUM(L7:$L$13)/(J7*SUM(K7:$K$13))</f>
        <v>1.8139477830857789</v>
      </c>
      <c r="O7">
        <f t="shared" si="2"/>
        <v>8.7699323471803314E-2</v>
      </c>
    </row>
    <row r="8" spans="1:15" x14ac:dyDescent="0.3">
      <c r="A8" s="53">
        <v>40100</v>
      </c>
      <c r="B8" s="53">
        <v>28008</v>
      </c>
      <c r="C8" s="53">
        <v>1243384000</v>
      </c>
      <c r="D8" s="54">
        <v>1.7858710961117399</v>
      </c>
      <c r="F8" s="53">
        <v>40100</v>
      </c>
      <c r="G8" s="53">
        <v>28008</v>
      </c>
      <c r="H8" s="53">
        <v>1243384000</v>
      </c>
      <c r="I8" s="2">
        <f t="shared" si="0"/>
        <v>6097.9606894964154</v>
      </c>
      <c r="J8" s="53">
        <v>40000</v>
      </c>
      <c r="K8" s="2">
        <f t="shared" si="1"/>
        <v>588455</v>
      </c>
      <c r="L8" s="2">
        <f t="shared" si="1"/>
        <v>26159674000</v>
      </c>
      <c r="M8">
        <f>1-SUM(K8:$K$13)/$K$15</f>
        <v>0.93306875875542383</v>
      </c>
      <c r="N8">
        <f>SUM(L8:$L$13)/(J8*SUM(K8:$K$13))</f>
        <v>1.8151521497322121</v>
      </c>
      <c r="O8">
        <f t="shared" si="2"/>
        <v>7.6838500819943756E-2</v>
      </c>
    </row>
    <row r="9" spans="1:15" x14ac:dyDescent="0.3">
      <c r="A9" s="53" t="s">
        <v>168</v>
      </c>
      <c r="B9" s="53">
        <v>20658</v>
      </c>
      <c r="C9" s="53">
        <v>1201905000</v>
      </c>
      <c r="D9" s="54">
        <v>1.8317063163824365</v>
      </c>
      <c r="F9" s="53" t="s">
        <v>168</v>
      </c>
      <c r="G9" s="53">
        <v>20658</v>
      </c>
      <c r="H9" s="53">
        <v>1201905000</v>
      </c>
      <c r="I9" s="2">
        <f t="shared" si="0"/>
        <v>7622.4508618705195</v>
      </c>
      <c r="J9" s="53">
        <v>50000</v>
      </c>
      <c r="K9" s="2">
        <f t="shared" si="1"/>
        <v>460803</v>
      </c>
      <c r="L9" s="2">
        <f t="shared" si="1"/>
        <v>26833145000</v>
      </c>
      <c r="M9">
        <f>1-SUM(K9:$K$13)/$K$15</f>
        <v>0.9599129943750826</v>
      </c>
      <c r="N9">
        <f>SUM(L9:$L$13)/(J9*SUM(K9:$K$13))</f>
        <v>1.829150942644731</v>
      </c>
      <c r="O9">
        <f t="shared" si="2"/>
        <v>7.6726931031264989E-2</v>
      </c>
    </row>
    <row r="10" spans="1:15" x14ac:dyDescent="0.3">
      <c r="A10" s="53" t="s">
        <v>169</v>
      </c>
      <c r="B10" s="53">
        <v>9536</v>
      </c>
      <c r="C10" s="53">
        <v>785203000</v>
      </c>
      <c r="D10" s="54">
        <v>1.8856783828775425</v>
      </c>
      <c r="F10" s="53" t="s">
        <v>169</v>
      </c>
      <c r="G10" s="53">
        <v>9536</v>
      </c>
      <c r="H10" s="53">
        <v>785203000</v>
      </c>
      <c r="I10" s="2">
        <f t="shared" si="0"/>
        <v>10671.431206618727</v>
      </c>
      <c r="J10" s="53">
        <v>70000</v>
      </c>
      <c r="K10" s="2">
        <f t="shared" si="1"/>
        <v>224855</v>
      </c>
      <c r="L10" s="2">
        <f t="shared" si="1"/>
        <v>18498988000</v>
      </c>
      <c r="M10">
        <f>1-SUM(K10:$K$13)/$K$15</f>
        <v>0.98093398035743573</v>
      </c>
      <c r="N10">
        <f>SUM(L10:$L$13)/(J10*SUM(K10:$K$13))</f>
        <v>1.8298676253641943</v>
      </c>
      <c r="O10">
        <f t="shared" si="2"/>
        <v>7.6698316692979926E-2</v>
      </c>
    </row>
    <row r="11" spans="1:15" x14ac:dyDescent="0.3">
      <c r="A11" s="53" t="s">
        <v>170</v>
      </c>
      <c r="B11" s="53">
        <v>5963</v>
      </c>
      <c r="C11" s="53">
        <v>790024000</v>
      </c>
      <c r="D11" s="54">
        <v>1.9428023162789247</v>
      </c>
      <c r="F11" s="53" t="s">
        <v>170</v>
      </c>
      <c r="G11" s="53">
        <v>5963</v>
      </c>
      <c r="H11" s="53">
        <v>790024000</v>
      </c>
      <c r="I11" s="2">
        <f t="shared" si="0"/>
        <v>15244.901723741039</v>
      </c>
      <c r="J11" s="53">
        <v>100000</v>
      </c>
      <c r="K11" s="2">
        <f t="shared" si="1"/>
        <v>151455</v>
      </c>
      <c r="L11" s="2">
        <f t="shared" si="1"/>
        <v>20137356000</v>
      </c>
      <c r="M11">
        <f>1-SUM(K11:$K$13)/$K$15</f>
        <v>0.99119145221213723</v>
      </c>
      <c r="N11">
        <f>SUM(L11:$L$13)/(J11*SUM(K11:$K$13))</f>
        <v>1.8144768583014403</v>
      </c>
      <c r="O11">
        <f t="shared" si="2"/>
        <v>7.484731438381037E-2</v>
      </c>
    </row>
    <row r="12" spans="1:15" x14ac:dyDescent="0.3">
      <c r="A12" s="53" t="s">
        <v>171</v>
      </c>
      <c r="B12" s="53">
        <v>1249</v>
      </c>
      <c r="C12" s="53">
        <v>331139000</v>
      </c>
      <c r="D12" s="54">
        <v>2.0793290405157134</v>
      </c>
      <c r="F12" s="53" t="s">
        <v>171</v>
      </c>
      <c r="G12" s="53">
        <v>1249</v>
      </c>
      <c r="H12" s="53">
        <v>331139000</v>
      </c>
      <c r="I12" s="2">
        <f t="shared" si="0"/>
        <v>30489.803447482078</v>
      </c>
      <c r="J12" s="53">
        <v>200000</v>
      </c>
      <c r="K12" s="2">
        <f t="shared" si="1"/>
        <v>33403</v>
      </c>
      <c r="L12" s="2">
        <f t="shared" si="1"/>
        <v>8796003000</v>
      </c>
      <c r="M12">
        <f>1-SUM(K12:$K$13)/$K$15</f>
        <v>0.99810055096357175</v>
      </c>
      <c r="N12">
        <f>SUM(L12:$L$13)/(J12*SUM(K12:$K$13))</f>
        <v>1.7891015418608003</v>
      </c>
      <c r="O12">
        <f t="shared" si="2"/>
        <v>7.7358321108882439E-2</v>
      </c>
    </row>
    <row r="13" spans="1:15" x14ac:dyDescent="0.3">
      <c r="A13" s="53" t="s">
        <v>172</v>
      </c>
      <c r="B13" s="53">
        <v>419</v>
      </c>
      <c r="C13" s="53">
        <v>362872000</v>
      </c>
      <c r="D13" s="54">
        <v>2.1651073985680189</v>
      </c>
      <c r="F13" s="53" t="s">
        <v>172</v>
      </c>
      <c r="G13" s="53">
        <v>419</v>
      </c>
      <c r="H13" s="53">
        <v>362872000</v>
      </c>
      <c r="I13" s="2">
        <f t="shared" si="0"/>
        <v>60979.606894964156</v>
      </c>
      <c r="J13" s="53">
        <v>400000</v>
      </c>
      <c r="K13" s="2">
        <f t="shared" si="1"/>
        <v>8235</v>
      </c>
      <c r="L13" s="2">
        <f>H13+H24+H35+H46+H57+H68+H79+H90+H101+H112+H123+H134</f>
        <v>6102919000</v>
      </c>
      <c r="M13">
        <f>1-SUM(K13:$K$13)/$K$15</f>
        <v>0.99962433443453125</v>
      </c>
      <c r="N13">
        <f>SUM(L13:$L$13)/(J13*SUM(K13:$K$13))</f>
        <v>1.8527380085003036</v>
      </c>
      <c r="O13">
        <f t="shared" si="2"/>
        <v>0.10698239222829387</v>
      </c>
    </row>
    <row r="14" spans="1:15" x14ac:dyDescent="0.3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3">
      <c r="A15" s="53" t="s">
        <v>151</v>
      </c>
      <c r="B15" s="53">
        <v>122974</v>
      </c>
      <c r="C15" s="53">
        <v>2102233000</v>
      </c>
      <c r="D15" s="54">
        <v>1.9811302986284995</v>
      </c>
      <c r="F15" s="53" t="s">
        <v>151</v>
      </c>
      <c r="G15" s="53">
        <v>122974</v>
      </c>
      <c r="H15" s="53">
        <v>2102233000</v>
      </c>
      <c r="K15" s="5">
        <v>21921093.538944278</v>
      </c>
    </row>
    <row r="16" spans="1:15" x14ac:dyDescent="0.3">
      <c r="A16" s="53" t="s">
        <v>165</v>
      </c>
      <c r="B16" s="53">
        <v>70936</v>
      </c>
      <c r="C16" s="53">
        <v>1584027000</v>
      </c>
      <c r="D16" s="54">
        <v>1.9035114672206939</v>
      </c>
      <c r="F16" s="53" t="s">
        <v>165</v>
      </c>
      <c r="G16" s="53">
        <v>70936</v>
      </c>
      <c r="H16" s="53">
        <v>1584027000</v>
      </c>
    </row>
    <row r="17" spans="1:8" x14ac:dyDescent="0.3">
      <c r="A17" s="53" t="s">
        <v>166</v>
      </c>
      <c r="B17" s="53">
        <v>41651</v>
      </c>
      <c r="C17" s="53">
        <v>1137621000</v>
      </c>
      <c r="D17" s="54">
        <v>1.9059466067983752</v>
      </c>
      <c r="F17" s="53" t="s">
        <v>166</v>
      </c>
      <c r="G17" s="53">
        <v>41651</v>
      </c>
      <c r="H17" s="53">
        <v>1137621000</v>
      </c>
    </row>
    <row r="18" spans="1:8" x14ac:dyDescent="0.3">
      <c r="A18" s="53">
        <v>30100</v>
      </c>
      <c r="B18" s="53">
        <v>35619</v>
      </c>
      <c r="C18" s="53">
        <v>1219496000</v>
      </c>
      <c r="D18" s="54">
        <v>1.9614918816161044</v>
      </c>
      <c r="F18" s="53">
        <v>30100</v>
      </c>
      <c r="G18" s="53">
        <v>35619</v>
      </c>
      <c r="H18" s="53">
        <v>1219496000</v>
      </c>
    </row>
    <row r="19" spans="1:8" x14ac:dyDescent="0.3">
      <c r="A19" s="53">
        <v>40100</v>
      </c>
      <c r="B19" s="53">
        <v>14732</v>
      </c>
      <c r="C19" s="53">
        <v>655621000</v>
      </c>
      <c r="D19" s="54">
        <v>2.0136279452218284</v>
      </c>
      <c r="F19" s="53">
        <v>40100</v>
      </c>
      <c r="G19" s="53">
        <v>14732</v>
      </c>
      <c r="H19" s="53">
        <v>655621000</v>
      </c>
    </row>
    <row r="20" spans="1:8" x14ac:dyDescent="0.3">
      <c r="A20" s="53" t="s">
        <v>168</v>
      </c>
      <c r="B20" s="53">
        <v>12773</v>
      </c>
      <c r="C20" s="53">
        <v>746732000</v>
      </c>
      <c r="D20" s="54">
        <v>2.0220642231766108</v>
      </c>
      <c r="F20" s="53" t="s">
        <v>168</v>
      </c>
      <c r="G20" s="53">
        <v>12773</v>
      </c>
      <c r="H20" s="53">
        <v>746732000</v>
      </c>
    </row>
    <row r="21" spans="1:8" x14ac:dyDescent="0.3">
      <c r="A21" s="53" t="s">
        <v>169</v>
      </c>
      <c r="B21" s="53">
        <v>6790</v>
      </c>
      <c r="C21" s="53">
        <v>559162000</v>
      </c>
      <c r="D21" s="54">
        <v>2.0366538482573877</v>
      </c>
      <c r="F21" s="53" t="s">
        <v>169</v>
      </c>
      <c r="G21" s="53">
        <v>6790</v>
      </c>
      <c r="H21" s="53">
        <v>559162000</v>
      </c>
    </row>
    <row r="22" spans="1:8" x14ac:dyDescent="0.3">
      <c r="A22" s="53" t="s">
        <v>170</v>
      </c>
      <c r="B22" s="53">
        <v>4790</v>
      </c>
      <c r="C22" s="53">
        <v>637285000</v>
      </c>
      <c r="D22" s="54">
        <v>2.0658321079669397</v>
      </c>
      <c r="F22" s="53" t="s">
        <v>170</v>
      </c>
      <c r="G22" s="53">
        <v>4790</v>
      </c>
      <c r="H22" s="53">
        <v>637285000</v>
      </c>
    </row>
    <row r="23" spans="1:8" x14ac:dyDescent="0.3">
      <c r="A23" s="53" t="s">
        <v>171</v>
      </c>
      <c r="B23" s="53">
        <v>1208</v>
      </c>
      <c r="C23" s="53">
        <v>318180000</v>
      </c>
      <c r="D23" s="54">
        <v>2.1244754631336988</v>
      </c>
      <c r="F23" s="53" t="s">
        <v>171</v>
      </c>
      <c r="G23" s="53">
        <v>1208</v>
      </c>
      <c r="H23" s="53">
        <v>318180000</v>
      </c>
    </row>
    <row r="24" spans="1:8" x14ac:dyDescent="0.3">
      <c r="A24" s="53" t="s">
        <v>172</v>
      </c>
      <c r="B24" s="53">
        <v>410</v>
      </c>
      <c r="C24" s="53">
        <v>369644000</v>
      </c>
      <c r="D24" s="54">
        <v>2.2539268292682926</v>
      </c>
      <c r="F24" s="53" t="s">
        <v>172</v>
      </c>
      <c r="G24" s="53">
        <v>410</v>
      </c>
      <c r="H24" s="53">
        <v>369644000</v>
      </c>
    </row>
    <row r="25" spans="1:8" x14ac:dyDescent="0.3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3">
      <c r="A26" s="53" t="s">
        <v>151</v>
      </c>
      <c r="B26" s="53">
        <v>700882</v>
      </c>
      <c r="C26" s="53">
        <v>12135615000</v>
      </c>
      <c r="D26" s="54">
        <v>2.1437376205740448</v>
      </c>
      <c r="F26" s="53" t="s">
        <v>151</v>
      </c>
      <c r="G26" s="53">
        <v>700882</v>
      </c>
      <c r="H26" s="53">
        <v>12135615000</v>
      </c>
    </row>
    <row r="27" spans="1:8" x14ac:dyDescent="0.3">
      <c r="A27" s="53" t="s">
        <v>165</v>
      </c>
      <c r="B27" s="53">
        <v>598532</v>
      </c>
      <c r="C27" s="53">
        <v>13424999000</v>
      </c>
      <c r="D27" s="54">
        <v>1.8871110059170679</v>
      </c>
      <c r="F27" s="53" t="s">
        <v>165</v>
      </c>
      <c r="G27" s="53">
        <v>598532</v>
      </c>
      <c r="H27" s="53">
        <v>13424999000</v>
      </c>
    </row>
    <row r="28" spans="1:8" x14ac:dyDescent="0.3">
      <c r="A28" s="53" t="s">
        <v>166</v>
      </c>
      <c r="B28" s="53">
        <v>413599</v>
      </c>
      <c r="C28" s="53">
        <v>11328451000</v>
      </c>
      <c r="D28" s="54">
        <v>1.7957066464300548</v>
      </c>
      <c r="F28" s="53" t="s">
        <v>166</v>
      </c>
      <c r="G28" s="53">
        <v>413599</v>
      </c>
      <c r="H28" s="53">
        <v>11328451000</v>
      </c>
    </row>
    <row r="29" spans="1:8" x14ac:dyDescent="0.3">
      <c r="A29" s="53">
        <v>30100</v>
      </c>
      <c r="B29" s="53">
        <v>437074</v>
      </c>
      <c r="C29" s="53">
        <v>15020829000</v>
      </c>
      <c r="D29" s="54">
        <v>1.7717766143367817</v>
      </c>
      <c r="F29" s="53">
        <v>30100</v>
      </c>
      <c r="G29" s="53">
        <v>437074</v>
      </c>
      <c r="H29" s="53">
        <v>15020829000</v>
      </c>
    </row>
    <row r="30" spans="1:8" x14ac:dyDescent="0.3">
      <c r="A30" s="53">
        <v>40100</v>
      </c>
      <c r="B30" s="53">
        <v>187287</v>
      </c>
      <c r="C30" s="53">
        <v>8321390000</v>
      </c>
      <c r="D30" s="54">
        <v>1.7907868163139526</v>
      </c>
      <c r="F30" s="53">
        <v>40100</v>
      </c>
      <c r="G30" s="53">
        <v>187287</v>
      </c>
      <c r="H30" s="53">
        <v>8321390000</v>
      </c>
    </row>
    <row r="31" spans="1:8" x14ac:dyDescent="0.3">
      <c r="A31" s="53" t="s">
        <v>168</v>
      </c>
      <c r="B31" s="53">
        <v>140899</v>
      </c>
      <c r="C31" s="53">
        <v>8191452000</v>
      </c>
      <c r="D31" s="54">
        <v>1.8251565774566285</v>
      </c>
      <c r="F31" s="53" t="s">
        <v>168</v>
      </c>
      <c r="G31" s="53">
        <v>140899</v>
      </c>
      <c r="H31" s="53">
        <v>8191452000</v>
      </c>
    </row>
    <row r="32" spans="1:8" x14ac:dyDescent="0.3">
      <c r="A32" s="53" t="s">
        <v>169</v>
      </c>
      <c r="B32" s="53">
        <v>65169</v>
      </c>
      <c r="C32" s="53">
        <v>5350734000</v>
      </c>
      <c r="D32" s="54">
        <v>1.8607381473388165</v>
      </c>
      <c r="F32" s="53" t="s">
        <v>169</v>
      </c>
      <c r="G32" s="53">
        <v>65169</v>
      </c>
      <c r="H32" s="53">
        <v>5350734000</v>
      </c>
    </row>
    <row r="33" spans="1:8" x14ac:dyDescent="0.3">
      <c r="A33" s="53" t="s">
        <v>170</v>
      </c>
      <c r="B33" s="53">
        <v>42846</v>
      </c>
      <c r="C33" s="53">
        <v>5691207000</v>
      </c>
      <c r="D33" s="54">
        <v>1.8735580281712232</v>
      </c>
      <c r="F33" s="53" t="s">
        <v>170</v>
      </c>
      <c r="G33" s="53">
        <v>42846</v>
      </c>
      <c r="H33" s="53">
        <v>5691207000</v>
      </c>
    </row>
    <row r="34" spans="1:8" x14ac:dyDescent="0.3">
      <c r="A34" s="53" t="s">
        <v>171</v>
      </c>
      <c r="B34" s="53">
        <v>9619</v>
      </c>
      <c r="C34" s="53">
        <v>2542284000</v>
      </c>
      <c r="D34" s="54">
        <v>1.8888740180311925</v>
      </c>
      <c r="F34" s="53" t="s">
        <v>171</v>
      </c>
      <c r="G34" s="53">
        <v>9619</v>
      </c>
      <c r="H34" s="53">
        <v>2542284000</v>
      </c>
    </row>
    <row r="35" spans="1:8" x14ac:dyDescent="0.3">
      <c r="A35" s="53" t="s">
        <v>172</v>
      </c>
      <c r="B35" s="53">
        <v>2692</v>
      </c>
      <c r="C35" s="53">
        <v>2110827000</v>
      </c>
      <c r="D35" s="54">
        <v>1.9602776745913817</v>
      </c>
      <c r="F35" s="53" t="s">
        <v>172</v>
      </c>
      <c r="G35" s="53">
        <v>2692</v>
      </c>
      <c r="H35" s="53">
        <v>2110827000</v>
      </c>
    </row>
    <row r="36" spans="1:8" x14ac:dyDescent="0.3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3">
      <c r="A37" s="53" t="s">
        <v>151</v>
      </c>
      <c r="B37" s="53">
        <v>39107</v>
      </c>
      <c r="C37" s="53">
        <v>674099000</v>
      </c>
      <c r="D37" s="54">
        <v>1.6728627411071175</v>
      </c>
      <c r="F37" s="53" t="s">
        <v>151</v>
      </c>
      <c r="G37" s="53">
        <v>39107</v>
      </c>
      <c r="H37" s="53">
        <v>674099000</v>
      </c>
    </row>
    <row r="38" spans="1:8" x14ac:dyDescent="0.3">
      <c r="A38" s="53" t="s">
        <v>165</v>
      </c>
      <c r="B38" s="53">
        <v>17329</v>
      </c>
      <c r="C38" s="53">
        <v>385794000</v>
      </c>
      <c r="D38" s="54">
        <v>1.6681451339543816</v>
      </c>
      <c r="F38" s="53" t="s">
        <v>165</v>
      </c>
      <c r="G38" s="53">
        <v>17329</v>
      </c>
      <c r="H38" s="53">
        <v>385794000</v>
      </c>
    </row>
    <row r="39" spans="1:8" x14ac:dyDescent="0.3">
      <c r="A39" s="53" t="s">
        <v>166</v>
      </c>
      <c r="B39" s="53">
        <v>8048</v>
      </c>
      <c r="C39" s="53">
        <v>219723000</v>
      </c>
      <c r="D39" s="54">
        <v>1.7132266586670977</v>
      </c>
      <c r="F39" s="53" t="s">
        <v>166</v>
      </c>
      <c r="G39" s="53">
        <v>8048</v>
      </c>
      <c r="H39" s="53">
        <v>219723000</v>
      </c>
    </row>
    <row r="40" spans="1:8" x14ac:dyDescent="0.3">
      <c r="A40" s="53">
        <v>30100</v>
      </c>
      <c r="B40" s="53">
        <v>6481</v>
      </c>
      <c r="C40" s="53">
        <v>221928000</v>
      </c>
      <c r="D40" s="54">
        <v>1.7627593895335616</v>
      </c>
      <c r="F40" s="53">
        <v>30100</v>
      </c>
      <c r="G40" s="53">
        <v>6481</v>
      </c>
      <c r="H40" s="53">
        <v>221928000</v>
      </c>
    </row>
    <row r="41" spans="1:8" x14ac:dyDescent="0.3">
      <c r="A41" s="53">
        <v>40100</v>
      </c>
      <c r="B41" s="53">
        <v>2476</v>
      </c>
      <c r="C41" s="53">
        <v>110073000</v>
      </c>
      <c r="D41" s="54">
        <v>1.8231012965695248</v>
      </c>
      <c r="F41" s="53">
        <v>40100</v>
      </c>
      <c r="G41" s="53">
        <v>2476</v>
      </c>
      <c r="H41" s="53">
        <v>110073000</v>
      </c>
    </row>
    <row r="42" spans="1:8" x14ac:dyDescent="0.3">
      <c r="A42" s="53" t="s">
        <v>168</v>
      </c>
      <c r="B42" s="53">
        <v>1925</v>
      </c>
      <c r="C42" s="53">
        <v>112297000</v>
      </c>
      <c r="D42" s="54">
        <v>1.8517608531204848</v>
      </c>
      <c r="F42" s="53" t="s">
        <v>168</v>
      </c>
      <c r="G42" s="53">
        <v>1925</v>
      </c>
      <c r="H42" s="53">
        <v>112297000</v>
      </c>
    </row>
    <row r="43" spans="1:8" x14ac:dyDescent="0.3">
      <c r="A43" s="53" t="s">
        <v>169</v>
      </c>
      <c r="B43" s="53">
        <v>920</v>
      </c>
      <c r="C43" s="53">
        <v>75808000</v>
      </c>
      <c r="D43" s="54">
        <v>1.8856703774631451</v>
      </c>
      <c r="F43" s="53" t="s">
        <v>169</v>
      </c>
      <c r="G43" s="53">
        <v>920</v>
      </c>
      <c r="H43" s="53">
        <v>75808000</v>
      </c>
    </row>
    <row r="44" spans="1:8" x14ac:dyDescent="0.3">
      <c r="A44" s="53" t="s">
        <v>170</v>
      </c>
      <c r="B44" s="53">
        <v>583</v>
      </c>
      <c r="C44" s="53">
        <v>76883000</v>
      </c>
      <c r="D44" s="54">
        <v>1.9210186139319996</v>
      </c>
      <c r="F44" s="53" t="s">
        <v>170</v>
      </c>
      <c r="G44" s="53">
        <v>583</v>
      </c>
      <c r="H44" s="53">
        <v>76883000</v>
      </c>
    </row>
    <row r="45" spans="1:8" x14ac:dyDescent="0.3">
      <c r="A45" s="53" t="s">
        <v>171</v>
      </c>
      <c r="B45" s="53">
        <v>127</v>
      </c>
      <c r="C45" s="53">
        <v>32156000</v>
      </c>
      <c r="D45" s="54">
        <v>1.9444188520265007</v>
      </c>
      <c r="F45" s="53" t="s">
        <v>171</v>
      </c>
      <c r="G45" s="53">
        <v>127</v>
      </c>
      <c r="H45" s="53">
        <v>32156000</v>
      </c>
    </row>
    <row r="46" spans="1:8" x14ac:dyDescent="0.3">
      <c r="A46" s="53" t="s">
        <v>172</v>
      </c>
      <c r="B46" s="53">
        <v>52</v>
      </c>
      <c r="C46" s="53">
        <v>37489000</v>
      </c>
      <c r="D46" s="54">
        <v>1.8023557692307695</v>
      </c>
      <c r="F46" s="53" t="s">
        <v>172</v>
      </c>
      <c r="G46" s="53">
        <v>52</v>
      </c>
      <c r="H46" s="53">
        <v>37489000</v>
      </c>
    </row>
    <row r="47" spans="1:8" x14ac:dyDescent="0.3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3">
      <c r="A48" s="53" t="s">
        <v>151</v>
      </c>
      <c r="B48" s="53">
        <v>477238</v>
      </c>
      <c r="C48" s="53">
        <v>8354835000</v>
      </c>
      <c r="D48" s="54">
        <v>2.1277893783993229</v>
      </c>
      <c r="F48" s="53" t="s">
        <v>151</v>
      </c>
      <c r="G48" s="53">
        <v>477238</v>
      </c>
      <c r="H48" s="53">
        <v>8354835000</v>
      </c>
    </row>
    <row r="49" spans="1:8" x14ac:dyDescent="0.3">
      <c r="A49" s="53" t="s">
        <v>165</v>
      </c>
      <c r="B49" s="53">
        <v>429624</v>
      </c>
      <c r="C49" s="53">
        <v>9662644000</v>
      </c>
      <c r="D49" s="54">
        <v>1.8395796544444931</v>
      </c>
      <c r="F49" s="53" t="s">
        <v>165</v>
      </c>
      <c r="G49" s="53">
        <v>429624</v>
      </c>
      <c r="H49" s="53">
        <v>9662644000</v>
      </c>
    </row>
    <row r="50" spans="1:8" x14ac:dyDescent="0.3">
      <c r="A50" s="53" t="s">
        <v>166</v>
      </c>
      <c r="B50" s="53">
        <v>326635</v>
      </c>
      <c r="C50" s="53">
        <v>8954757000</v>
      </c>
      <c r="D50" s="54">
        <v>1.7184843530618743</v>
      </c>
      <c r="F50" s="53" t="s">
        <v>166</v>
      </c>
      <c r="G50" s="53">
        <v>326635</v>
      </c>
      <c r="H50" s="53">
        <v>8954757000</v>
      </c>
    </row>
    <row r="51" spans="1:8" x14ac:dyDescent="0.3">
      <c r="A51" s="53">
        <v>30100</v>
      </c>
      <c r="B51" s="53">
        <v>351571</v>
      </c>
      <c r="C51" s="53">
        <v>12071631000</v>
      </c>
      <c r="D51" s="54">
        <v>1.682457167428036</v>
      </c>
      <c r="F51" s="53">
        <v>30100</v>
      </c>
      <c r="G51" s="53">
        <v>351571</v>
      </c>
      <c r="H51" s="53">
        <v>12071631000</v>
      </c>
    </row>
    <row r="52" spans="1:8" x14ac:dyDescent="0.3">
      <c r="A52" s="53">
        <v>40100</v>
      </c>
      <c r="B52" s="53">
        <v>147047</v>
      </c>
      <c r="C52" s="53">
        <v>6527671000</v>
      </c>
      <c r="D52" s="54">
        <v>1.6931342390668407</v>
      </c>
      <c r="F52" s="53">
        <v>40100</v>
      </c>
      <c r="G52" s="53">
        <v>147047</v>
      </c>
      <c r="H52" s="53">
        <v>6527671000</v>
      </c>
    </row>
    <row r="53" spans="1:8" x14ac:dyDescent="0.3">
      <c r="A53" s="53" t="s">
        <v>168</v>
      </c>
      <c r="B53" s="53">
        <v>104649</v>
      </c>
      <c r="C53" s="53">
        <v>6072961000</v>
      </c>
      <c r="D53" s="54">
        <v>1.727608348892359</v>
      </c>
      <c r="F53" s="53" t="s">
        <v>168</v>
      </c>
      <c r="G53" s="53">
        <v>104649</v>
      </c>
      <c r="H53" s="53">
        <v>6072961000</v>
      </c>
    </row>
    <row r="54" spans="1:8" x14ac:dyDescent="0.3">
      <c r="A54" s="53" t="s">
        <v>169</v>
      </c>
      <c r="B54" s="53">
        <v>45060</v>
      </c>
      <c r="C54" s="53">
        <v>3701198000</v>
      </c>
      <c r="D54" s="54">
        <v>1.7631283016039965</v>
      </c>
      <c r="F54" s="53" t="s">
        <v>169</v>
      </c>
      <c r="G54" s="53">
        <v>45060</v>
      </c>
      <c r="H54" s="53">
        <v>3701198000</v>
      </c>
    </row>
    <row r="55" spans="1:8" x14ac:dyDescent="0.3">
      <c r="A55" s="53" t="s">
        <v>170</v>
      </c>
      <c r="B55" s="53">
        <v>28283</v>
      </c>
      <c r="C55" s="53">
        <v>3748201000</v>
      </c>
      <c r="D55" s="54">
        <v>1.7601397954468316</v>
      </c>
      <c r="F55" s="53" t="s">
        <v>170</v>
      </c>
      <c r="G55" s="53">
        <v>28283</v>
      </c>
      <c r="H55" s="53">
        <v>3748201000</v>
      </c>
    </row>
    <row r="56" spans="1:8" x14ac:dyDescent="0.3">
      <c r="A56" s="53" t="s">
        <v>171</v>
      </c>
      <c r="B56" s="53">
        <v>5859</v>
      </c>
      <c r="C56" s="53">
        <v>1528606000</v>
      </c>
      <c r="D56" s="54">
        <v>1.7336776731899464</v>
      </c>
      <c r="F56" s="53" t="s">
        <v>171</v>
      </c>
      <c r="G56" s="53">
        <v>5859</v>
      </c>
      <c r="H56" s="53">
        <v>1528606000</v>
      </c>
    </row>
    <row r="57" spans="1:8" x14ac:dyDescent="0.3">
      <c r="A57" s="53" t="s">
        <v>172</v>
      </c>
      <c r="B57" s="53">
        <v>1375</v>
      </c>
      <c r="C57" s="53">
        <v>980933000</v>
      </c>
      <c r="D57" s="54">
        <v>1.7835145454545456</v>
      </c>
      <c r="F57" s="53" t="s">
        <v>172</v>
      </c>
      <c r="G57" s="53">
        <v>1375</v>
      </c>
      <c r="H57" s="53">
        <v>980933000</v>
      </c>
    </row>
    <row r="58" spans="1:8" x14ac:dyDescent="0.3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3">
      <c r="A59" s="53">
        <v>14850</v>
      </c>
      <c r="B59" s="53">
        <v>414140</v>
      </c>
      <c r="C59" s="53">
        <v>7233838000</v>
      </c>
      <c r="D59" s="54">
        <v>2.3185868022959495</v>
      </c>
      <c r="F59" s="53" t="s">
        <v>151</v>
      </c>
      <c r="G59" s="55">
        <v>394419.04761904763</v>
      </c>
      <c r="H59" s="55">
        <v>6936051619.0476189</v>
      </c>
    </row>
    <row r="60" spans="1:8" x14ac:dyDescent="0.3">
      <c r="A60" s="53" t="s">
        <v>165</v>
      </c>
      <c r="B60" s="53">
        <v>317107</v>
      </c>
      <c r="C60" s="53">
        <v>7117116000</v>
      </c>
      <c r="D60" s="54">
        <v>2.0146916027420487</v>
      </c>
      <c r="F60" s="53" t="s">
        <v>165</v>
      </c>
      <c r="G60" s="55">
        <v>317107</v>
      </c>
      <c r="H60" s="55">
        <v>7117116000</v>
      </c>
    </row>
    <row r="61" spans="1:8" x14ac:dyDescent="0.3">
      <c r="A61" s="53" t="s">
        <v>166</v>
      </c>
      <c r="B61" s="53">
        <v>231129</v>
      </c>
      <c r="C61" s="53">
        <v>6341837000</v>
      </c>
      <c r="D61" s="54">
        <v>1.8844083034808556</v>
      </c>
      <c r="F61" s="53" t="s">
        <v>166</v>
      </c>
      <c r="G61" s="55">
        <v>231129</v>
      </c>
      <c r="H61" s="55">
        <v>6341837000</v>
      </c>
    </row>
    <row r="62" spans="1:8" x14ac:dyDescent="0.3">
      <c r="A62" s="53">
        <v>30100</v>
      </c>
      <c r="B62" s="53">
        <v>275506</v>
      </c>
      <c r="C62" s="53">
        <v>9496685000</v>
      </c>
      <c r="D62" s="54">
        <v>1.8212793295847598</v>
      </c>
      <c r="F62" s="53">
        <v>30100</v>
      </c>
      <c r="G62" s="55">
        <v>275506</v>
      </c>
      <c r="H62" s="55">
        <v>9496685000</v>
      </c>
    </row>
    <row r="63" spans="1:8" x14ac:dyDescent="0.3">
      <c r="A63" s="53">
        <v>40100</v>
      </c>
      <c r="B63" s="53">
        <v>132334</v>
      </c>
      <c r="C63" s="53">
        <v>5886740000</v>
      </c>
      <c r="D63" s="54">
        <v>1.7847744767622777</v>
      </c>
      <c r="F63" s="53">
        <v>40100</v>
      </c>
      <c r="G63" s="55">
        <v>132334</v>
      </c>
      <c r="H63" s="55">
        <v>5886740000</v>
      </c>
    </row>
    <row r="64" spans="1:8" x14ac:dyDescent="0.3">
      <c r="A64" s="53" t="s">
        <v>168</v>
      </c>
      <c r="B64" s="53">
        <v>106005</v>
      </c>
      <c r="C64" s="53">
        <v>6176826000</v>
      </c>
      <c r="D64" s="54">
        <v>1.7819819689228613</v>
      </c>
      <c r="F64" s="53" t="s">
        <v>168</v>
      </c>
      <c r="G64" s="55">
        <v>106005</v>
      </c>
      <c r="H64" s="55">
        <v>6176826000</v>
      </c>
    </row>
    <row r="65" spans="1:8" x14ac:dyDescent="0.3">
      <c r="A65" s="53" t="s">
        <v>169</v>
      </c>
      <c r="B65" s="53">
        <v>52339</v>
      </c>
      <c r="C65" s="53">
        <v>4306784000</v>
      </c>
      <c r="D65" s="54">
        <v>1.7599345756599143</v>
      </c>
      <c r="F65" s="53" t="s">
        <v>169</v>
      </c>
      <c r="G65" s="55">
        <v>52339</v>
      </c>
      <c r="H65" s="55">
        <v>4306784000</v>
      </c>
    </row>
    <row r="66" spans="1:8" x14ac:dyDescent="0.3">
      <c r="A66" s="53" t="s">
        <v>170</v>
      </c>
      <c r="B66" s="53">
        <v>35399</v>
      </c>
      <c r="C66" s="53">
        <v>4703525000</v>
      </c>
      <c r="D66" s="54">
        <v>1.7199233341367626</v>
      </c>
      <c r="F66" s="53" t="s">
        <v>170</v>
      </c>
      <c r="G66" s="55">
        <v>35399</v>
      </c>
      <c r="H66" s="55">
        <v>4703525000</v>
      </c>
    </row>
    <row r="67" spans="1:8" x14ac:dyDescent="0.3">
      <c r="A67" s="53" t="s">
        <v>171</v>
      </c>
      <c r="B67" s="53">
        <v>7262</v>
      </c>
      <c r="C67" s="53">
        <v>1908090000</v>
      </c>
      <c r="D67" s="54">
        <v>1.6619509663987193</v>
      </c>
      <c r="F67" s="53" t="s">
        <v>171</v>
      </c>
      <c r="G67" s="55">
        <v>7262</v>
      </c>
      <c r="H67" s="55">
        <v>1908090000</v>
      </c>
    </row>
    <row r="68" spans="1:8" x14ac:dyDescent="0.3">
      <c r="A68" s="53" t="s">
        <v>172</v>
      </c>
      <c r="B68" s="53">
        <v>1410</v>
      </c>
      <c r="C68" s="53">
        <v>975839000</v>
      </c>
      <c r="D68" s="54">
        <v>1.7302109929078013</v>
      </c>
      <c r="F68" s="53" t="s">
        <v>172</v>
      </c>
      <c r="G68" s="55">
        <v>1410</v>
      </c>
      <c r="H68" s="55">
        <v>975839000</v>
      </c>
    </row>
    <row r="69" spans="1:8" x14ac:dyDescent="0.3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3">
      <c r="A70" s="53">
        <v>17325</v>
      </c>
      <c r="B70" s="53">
        <v>99850</v>
      </c>
      <c r="C70" s="53">
        <v>1869679000</v>
      </c>
      <c r="D70" s="54">
        <v>2.2738286929930158</v>
      </c>
      <c r="F70" s="53" t="s">
        <v>151</v>
      </c>
      <c r="G70" s="2">
        <v>177260.76867249407</v>
      </c>
      <c r="H70" s="2">
        <v>3117217205.828227</v>
      </c>
    </row>
    <row r="71" spans="1:8" x14ac:dyDescent="0.3">
      <c r="A71" s="53" t="s">
        <v>165</v>
      </c>
      <c r="B71" s="53">
        <v>142515</v>
      </c>
      <c r="C71" s="53">
        <v>3186460000</v>
      </c>
      <c r="D71" s="54">
        <v>2.1700791181594967</v>
      </c>
      <c r="F71" s="53" t="s">
        <v>165</v>
      </c>
      <c r="G71" s="55">
        <v>142515</v>
      </c>
      <c r="H71" s="55">
        <v>3186460000</v>
      </c>
    </row>
    <row r="72" spans="1:8" x14ac:dyDescent="0.3">
      <c r="A72" s="53" t="s">
        <v>166</v>
      </c>
      <c r="B72" s="53">
        <v>89209</v>
      </c>
      <c r="C72" s="53">
        <v>2443873000</v>
      </c>
      <c r="D72" s="54">
        <v>2.0866476870392541</v>
      </c>
      <c r="F72" s="53" t="s">
        <v>166</v>
      </c>
      <c r="G72" s="55">
        <v>89209</v>
      </c>
      <c r="H72" s="55">
        <v>2443873000</v>
      </c>
    </row>
    <row r="73" spans="1:8" x14ac:dyDescent="0.3">
      <c r="A73" s="53">
        <v>30100</v>
      </c>
      <c r="B73" s="53">
        <v>101349</v>
      </c>
      <c r="C73" s="53">
        <v>3495570000</v>
      </c>
      <c r="D73" s="54">
        <v>2.0283120938856087</v>
      </c>
      <c r="F73" s="53">
        <v>30100</v>
      </c>
      <c r="G73" s="55">
        <v>101349</v>
      </c>
      <c r="H73" s="55">
        <v>3495570000</v>
      </c>
    </row>
    <row r="74" spans="1:8" x14ac:dyDescent="0.3">
      <c r="A74" s="53">
        <v>40100</v>
      </c>
      <c r="B74" s="53">
        <v>52268</v>
      </c>
      <c r="C74" s="53">
        <v>2329574000</v>
      </c>
      <c r="D74" s="54">
        <v>1.9543236760859297</v>
      </c>
      <c r="F74" s="53">
        <v>40100</v>
      </c>
      <c r="G74" s="55">
        <v>52268</v>
      </c>
      <c r="H74" s="55">
        <v>2329574000</v>
      </c>
    </row>
    <row r="75" spans="1:8" x14ac:dyDescent="0.3">
      <c r="A75" s="53" t="s">
        <v>168</v>
      </c>
      <c r="B75" s="53">
        <v>48796</v>
      </c>
      <c r="C75" s="53">
        <v>2855235000</v>
      </c>
      <c r="D75" s="54">
        <v>1.9059369487085485</v>
      </c>
      <c r="F75" s="53" t="s">
        <v>168</v>
      </c>
      <c r="G75" s="55">
        <v>48796</v>
      </c>
      <c r="H75" s="55">
        <v>2855235000</v>
      </c>
    </row>
    <row r="76" spans="1:8" x14ac:dyDescent="0.3">
      <c r="A76" s="53" t="s">
        <v>169</v>
      </c>
      <c r="B76" s="53">
        <v>28222</v>
      </c>
      <c r="C76" s="53">
        <v>2327270000</v>
      </c>
      <c r="D76" s="54">
        <v>1.835286069036586</v>
      </c>
      <c r="F76" s="53" t="s">
        <v>169</v>
      </c>
      <c r="G76" s="55">
        <v>28222</v>
      </c>
      <c r="H76" s="55">
        <v>2327270000</v>
      </c>
    </row>
    <row r="77" spans="1:8" x14ac:dyDescent="0.3">
      <c r="A77" s="53" t="s">
        <v>170</v>
      </c>
      <c r="B77" s="53">
        <v>20361</v>
      </c>
      <c r="C77" s="53">
        <v>2718895000</v>
      </c>
      <c r="D77" s="54">
        <v>1.7827626224631115</v>
      </c>
      <c r="F77" s="53" t="s">
        <v>170</v>
      </c>
      <c r="G77" s="55">
        <v>20361</v>
      </c>
      <c r="H77" s="55">
        <v>2718895000</v>
      </c>
    </row>
    <row r="78" spans="1:8" x14ac:dyDescent="0.3">
      <c r="A78" s="53" t="s">
        <v>171</v>
      </c>
      <c r="B78" s="53">
        <v>4775</v>
      </c>
      <c r="C78" s="53">
        <v>1256005000</v>
      </c>
      <c r="D78" s="54">
        <v>1.6778635617702755</v>
      </c>
      <c r="F78" s="53" t="s">
        <v>171</v>
      </c>
      <c r="G78" s="55">
        <v>4775</v>
      </c>
      <c r="H78" s="55">
        <v>1256005000</v>
      </c>
    </row>
    <row r="79" spans="1:8" x14ac:dyDescent="0.3">
      <c r="A79" s="53" t="s">
        <v>172</v>
      </c>
      <c r="B79" s="53">
        <v>1040</v>
      </c>
      <c r="C79" s="53">
        <v>696326000</v>
      </c>
      <c r="D79" s="54">
        <v>1.6738605769230768</v>
      </c>
      <c r="F79" s="53" t="s">
        <v>172</v>
      </c>
      <c r="G79" s="55">
        <v>1040</v>
      </c>
      <c r="H79" s="55">
        <v>696326000</v>
      </c>
    </row>
    <row r="80" spans="1:8" x14ac:dyDescent="0.3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3">
      <c r="A81" s="53">
        <v>19800</v>
      </c>
      <c r="B81" s="53">
        <v>1826</v>
      </c>
      <c r="C81" s="53">
        <v>36492000</v>
      </c>
      <c r="D81" s="54">
        <v>2.2814809210051186</v>
      </c>
      <c r="F81" s="53" t="s">
        <v>151</v>
      </c>
      <c r="G81" s="2">
        <v>66750.001133761834</v>
      </c>
      <c r="H81" s="2">
        <v>1173831376.121655</v>
      </c>
    </row>
    <row r="82" spans="1:8" x14ac:dyDescent="0.3">
      <c r="A82" s="53" t="s">
        <v>165</v>
      </c>
      <c r="B82" s="53">
        <v>53666</v>
      </c>
      <c r="C82" s="53">
        <v>1199659000</v>
      </c>
      <c r="D82" s="54">
        <v>2.2607961204567917</v>
      </c>
      <c r="F82" s="53" t="s">
        <v>165</v>
      </c>
      <c r="G82" s="55">
        <v>53666</v>
      </c>
      <c r="H82" s="55">
        <v>1199659000</v>
      </c>
    </row>
    <row r="83" spans="1:8" x14ac:dyDescent="0.3">
      <c r="A83" s="53" t="s">
        <v>166</v>
      </c>
      <c r="B83" s="53">
        <v>30593</v>
      </c>
      <c r="C83" s="53">
        <v>836749000</v>
      </c>
      <c r="D83" s="54">
        <v>2.2304807370021278</v>
      </c>
      <c r="F83" s="53" t="s">
        <v>166</v>
      </c>
      <c r="G83" s="55">
        <v>30593</v>
      </c>
      <c r="H83" s="55">
        <v>836749000</v>
      </c>
    </row>
    <row r="84" spans="1:8" x14ac:dyDescent="0.3">
      <c r="A84" s="53">
        <v>30100</v>
      </c>
      <c r="B84" s="53">
        <v>31556</v>
      </c>
      <c r="C84" s="53">
        <v>1086988000</v>
      </c>
      <c r="D84" s="54">
        <v>2.1947640021940487</v>
      </c>
      <c r="F84" s="53">
        <v>30100</v>
      </c>
      <c r="G84" s="55">
        <v>31556</v>
      </c>
      <c r="H84" s="55">
        <v>1086988000</v>
      </c>
    </row>
    <row r="85" spans="1:8" x14ac:dyDescent="0.3">
      <c r="A85" s="53">
        <v>40100</v>
      </c>
      <c r="B85" s="53">
        <v>16474</v>
      </c>
      <c r="C85" s="53">
        <v>735820000</v>
      </c>
      <c r="D85" s="54">
        <v>2.0967609150208348</v>
      </c>
      <c r="F85" s="53">
        <v>40100</v>
      </c>
      <c r="G85" s="55">
        <v>16474</v>
      </c>
      <c r="H85" s="55">
        <v>735820000</v>
      </c>
    </row>
    <row r="86" spans="1:8" x14ac:dyDescent="0.3">
      <c r="A86" s="53" t="s">
        <v>168</v>
      </c>
      <c r="B86" s="53">
        <v>16817</v>
      </c>
      <c r="C86" s="53">
        <v>988207000</v>
      </c>
      <c r="D86" s="54">
        <v>2.011434994169202</v>
      </c>
      <c r="F86" s="53" t="s">
        <v>168</v>
      </c>
      <c r="G86" s="55">
        <v>16817</v>
      </c>
      <c r="H86" s="55">
        <v>988207000</v>
      </c>
    </row>
    <row r="87" spans="1:8" x14ac:dyDescent="0.3">
      <c r="A87" s="53" t="s">
        <v>169</v>
      </c>
      <c r="B87" s="53">
        <v>11055</v>
      </c>
      <c r="C87" s="53">
        <v>915705000</v>
      </c>
      <c r="D87" s="54">
        <v>1.8939844164731059</v>
      </c>
      <c r="F87" s="53" t="s">
        <v>169</v>
      </c>
      <c r="G87" s="55">
        <v>11055</v>
      </c>
      <c r="H87" s="55">
        <v>915705000</v>
      </c>
    </row>
    <row r="88" spans="1:8" x14ac:dyDescent="0.3">
      <c r="A88" s="53" t="s">
        <v>170</v>
      </c>
      <c r="B88" s="53">
        <v>8441</v>
      </c>
      <c r="C88" s="53">
        <v>1131277000</v>
      </c>
      <c r="D88" s="54">
        <v>1.8265355178106857</v>
      </c>
      <c r="F88" s="53" t="s">
        <v>170</v>
      </c>
      <c r="G88" s="55">
        <v>8441</v>
      </c>
      <c r="H88" s="55">
        <v>1131277000</v>
      </c>
    </row>
    <row r="89" spans="1:8" x14ac:dyDescent="0.3">
      <c r="A89" s="53" t="s">
        <v>171</v>
      </c>
      <c r="B89" s="53">
        <v>2083</v>
      </c>
      <c r="C89" s="53">
        <v>554510000</v>
      </c>
      <c r="D89" s="54">
        <v>1.7103150552383382</v>
      </c>
      <c r="F89" s="53" t="s">
        <v>171</v>
      </c>
      <c r="G89" s="55">
        <v>2083</v>
      </c>
      <c r="H89" s="55">
        <v>554510000</v>
      </c>
    </row>
    <row r="90" spans="1:8" x14ac:dyDescent="0.3">
      <c r="A90" s="53" t="s">
        <v>172</v>
      </c>
      <c r="B90" s="53">
        <v>502</v>
      </c>
      <c r="C90" s="53">
        <v>330165000</v>
      </c>
      <c r="D90" s="54">
        <v>1.6442480079681274</v>
      </c>
      <c r="F90" s="53" t="s">
        <v>172</v>
      </c>
      <c r="G90" s="55">
        <v>502</v>
      </c>
      <c r="H90" s="55">
        <v>330165000</v>
      </c>
    </row>
    <row r="91" spans="1:8" x14ac:dyDescent="0.3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3">
      <c r="A92" s="51"/>
      <c r="B92" s="51"/>
      <c r="C92" s="51"/>
      <c r="D92" s="52"/>
      <c r="F92" s="53">
        <v>15100</v>
      </c>
      <c r="G92" s="2">
        <v>25715.539939284048</v>
      </c>
      <c r="H92" s="2">
        <v>452220331.41469699</v>
      </c>
    </row>
    <row r="93" spans="1:8" x14ac:dyDescent="0.3">
      <c r="A93" s="53">
        <v>22275</v>
      </c>
      <c r="B93" s="53">
        <v>9684</v>
      </c>
      <c r="C93" s="53">
        <v>229180000</v>
      </c>
      <c r="D93" s="54">
        <v>2.267397901207227</v>
      </c>
      <c r="F93" s="53">
        <v>20100</v>
      </c>
      <c r="G93" s="2">
        <v>20674.908508482331</v>
      </c>
      <c r="H93" s="2">
        <v>462170462.98172784</v>
      </c>
    </row>
    <row r="94" spans="1:8" x14ac:dyDescent="0.3">
      <c r="A94" s="53" t="s">
        <v>166</v>
      </c>
      <c r="B94" s="53">
        <v>11786</v>
      </c>
      <c r="C94" s="53">
        <v>322155000</v>
      </c>
      <c r="D94" s="54">
        <v>2.2659703040949637</v>
      </c>
      <c r="F94" s="53">
        <v>25100</v>
      </c>
      <c r="G94" s="55">
        <v>11786</v>
      </c>
      <c r="H94" s="55">
        <v>322155000</v>
      </c>
    </row>
    <row r="95" spans="1:8" x14ac:dyDescent="0.3">
      <c r="A95" s="53">
        <v>30100</v>
      </c>
      <c r="B95" s="53">
        <v>10478</v>
      </c>
      <c r="C95" s="53">
        <v>359957000</v>
      </c>
      <c r="D95" s="54">
        <v>2.2881563253370998</v>
      </c>
      <c r="F95" s="53">
        <v>30100</v>
      </c>
      <c r="G95" s="55">
        <v>10478</v>
      </c>
      <c r="H95" s="55">
        <v>359957000</v>
      </c>
    </row>
    <row r="96" spans="1:8" x14ac:dyDescent="0.3">
      <c r="A96" s="53">
        <v>40100</v>
      </c>
      <c r="B96" s="53">
        <v>5137</v>
      </c>
      <c r="C96" s="53">
        <v>229551000</v>
      </c>
      <c r="D96" s="54">
        <v>2.2039774639871226</v>
      </c>
      <c r="F96" s="53">
        <v>40100</v>
      </c>
      <c r="G96" s="55">
        <v>5137</v>
      </c>
      <c r="H96" s="55">
        <v>229551000</v>
      </c>
    </row>
    <row r="97" spans="1:8" x14ac:dyDescent="0.3">
      <c r="A97" s="53" t="s">
        <v>168</v>
      </c>
      <c r="B97" s="53">
        <v>5484</v>
      </c>
      <c r="C97" s="53">
        <v>322934000</v>
      </c>
      <c r="D97" s="54">
        <v>2.0982501653414043</v>
      </c>
      <c r="F97" s="53">
        <v>50100</v>
      </c>
      <c r="G97" s="55">
        <v>5484</v>
      </c>
      <c r="H97" s="55">
        <v>322934000</v>
      </c>
    </row>
    <row r="98" spans="1:8" x14ac:dyDescent="0.3">
      <c r="A98" s="53" t="s">
        <v>169</v>
      </c>
      <c r="B98" s="53">
        <v>3806</v>
      </c>
      <c r="C98" s="53">
        <v>314801000</v>
      </c>
      <c r="D98" s="54">
        <v>1.9561912671370396</v>
      </c>
      <c r="F98" s="53">
        <v>70100</v>
      </c>
      <c r="G98" s="55">
        <v>3806</v>
      </c>
      <c r="H98" s="55">
        <v>314801000</v>
      </c>
    </row>
    <row r="99" spans="1:8" x14ac:dyDescent="0.3">
      <c r="A99" s="53" t="s">
        <v>170</v>
      </c>
      <c r="B99" s="53">
        <v>3116</v>
      </c>
      <c r="C99" s="53">
        <v>417591000</v>
      </c>
      <c r="D99" s="54">
        <v>1.8726050431589791</v>
      </c>
      <c r="F99" s="53">
        <v>100100</v>
      </c>
      <c r="G99" s="55">
        <v>3116</v>
      </c>
      <c r="H99" s="55">
        <v>417591000</v>
      </c>
    </row>
    <row r="100" spans="1:8" x14ac:dyDescent="0.3">
      <c r="A100" s="53" t="s">
        <v>171</v>
      </c>
      <c r="B100" s="53">
        <v>794</v>
      </c>
      <c r="C100" s="53">
        <v>210594000</v>
      </c>
      <c r="D100" s="54">
        <v>1.7688355822088955</v>
      </c>
      <c r="F100" s="53">
        <v>200100</v>
      </c>
      <c r="G100" s="55">
        <v>794</v>
      </c>
      <c r="H100" s="55">
        <v>210594000</v>
      </c>
    </row>
    <row r="101" spans="1:8" x14ac:dyDescent="0.3">
      <c r="A101" s="53" t="s">
        <v>172</v>
      </c>
      <c r="B101" s="53">
        <v>206</v>
      </c>
      <c r="C101" s="53">
        <v>143350000</v>
      </c>
      <c r="D101" s="54">
        <v>1.7396844660194175</v>
      </c>
      <c r="F101" s="53">
        <v>400000</v>
      </c>
      <c r="G101" s="55">
        <v>206</v>
      </c>
      <c r="H101" s="55">
        <v>143350000</v>
      </c>
    </row>
    <row r="102" spans="1:8" x14ac:dyDescent="0.3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3">
      <c r="A103" s="51"/>
      <c r="B103" s="51"/>
      <c r="C103" s="51"/>
      <c r="D103" s="52"/>
      <c r="F103" s="53">
        <v>15100</v>
      </c>
      <c r="G103" s="2">
        <v>10948.632225973814</v>
      </c>
      <c r="H103" s="2">
        <v>192537045.90522227</v>
      </c>
    </row>
    <row r="104" spans="1:8" x14ac:dyDescent="0.3">
      <c r="A104" s="53">
        <v>24750</v>
      </c>
      <c r="B104" s="53">
        <v>214</v>
      </c>
      <c r="C104" s="53">
        <v>5342000</v>
      </c>
      <c r="D104" s="54">
        <v>2.2101139886615733</v>
      </c>
      <c r="F104" s="53">
        <v>20100</v>
      </c>
      <c r="G104" s="2">
        <v>8802.5361357173206</v>
      </c>
      <c r="H104" s="2">
        <v>196773407.70764557</v>
      </c>
    </row>
    <row r="105" spans="1:8" x14ac:dyDescent="0.3">
      <c r="A105" s="53" t="s">
        <v>166</v>
      </c>
      <c r="B105" s="53">
        <v>5018</v>
      </c>
      <c r="C105" s="53">
        <v>137222000</v>
      </c>
      <c r="D105" s="54">
        <v>2.1954828963530417</v>
      </c>
      <c r="F105" s="53">
        <v>25100</v>
      </c>
      <c r="G105" s="55">
        <v>5018</v>
      </c>
      <c r="H105" s="55">
        <v>137222000</v>
      </c>
    </row>
    <row r="106" spans="1:8" x14ac:dyDescent="0.3">
      <c r="A106" s="53">
        <v>30100</v>
      </c>
      <c r="B106" s="53">
        <v>4250</v>
      </c>
      <c r="C106" s="53">
        <v>145123000</v>
      </c>
      <c r="D106" s="54">
        <v>2.2655435381357583</v>
      </c>
      <c r="F106" s="53">
        <v>30100</v>
      </c>
      <c r="G106" s="55">
        <v>4250</v>
      </c>
      <c r="H106" s="55">
        <v>145123000</v>
      </c>
    </row>
    <row r="107" spans="1:8" x14ac:dyDescent="0.3">
      <c r="A107" s="53">
        <v>40100</v>
      </c>
      <c r="B107" s="53">
        <v>1701</v>
      </c>
      <c r="C107" s="53">
        <v>75740000</v>
      </c>
      <c r="D107" s="54">
        <v>2.2648226969714105</v>
      </c>
      <c r="F107" s="53">
        <v>40100</v>
      </c>
      <c r="G107" s="55">
        <v>1701</v>
      </c>
      <c r="H107" s="55">
        <v>75740000</v>
      </c>
    </row>
    <row r="108" spans="1:8" x14ac:dyDescent="0.3">
      <c r="A108" s="53" t="s">
        <v>168</v>
      </c>
      <c r="B108" s="53">
        <v>1880</v>
      </c>
      <c r="C108" s="53">
        <v>110800000</v>
      </c>
      <c r="D108" s="54">
        <v>2.1476008358230279</v>
      </c>
      <c r="F108" s="53">
        <v>50100</v>
      </c>
      <c r="G108" s="55">
        <v>1880</v>
      </c>
      <c r="H108" s="55">
        <v>110800000</v>
      </c>
    </row>
    <row r="109" spans="1:8" x14ac:dyDescent="0.3">
      <c r="A109" s="53" t="s">
        <v>169</v>
      </c>
      <c r="B109" s="53">
        <v>1327</v>
      </c>
      <c r="C109" s="53">
        <v>110117000</v>
      </c>
      <c r="D109" s="54">
        <v>1.9986170634498186</v>
      </c>
      <c r="F109" s="53">
        <v>70100</v>
      </c>
      <c r="G109" s="55">
        <v>1327</v>
      </c>
      <c r="H109" s="55">
        <v>110117000</v>
      </c>
    </row>
    <row r="110" spans="1:8" x14ac:dyDescent="0.3">
      <c r="A110" s="53" t="s">
        <v>170</v>
      </c>
      <c r="B110" s="53">
        <v>1129</v>
      </c>
      <c r="C110" s="53">
        <v>149385000</v>
      </c>
      <c r="D110" s="54">
        <v>1.9088712229263676</v>
      </c>
      <c r="F110" s="53">
        <v>100100</v>
      </c>
      <c r="G110" s="55">
        <v>1129</v>
      </c>
      <c r="H110" s="55">
        <v>149385000</v>
      </c>
    </row>
    <row r="111" spans="1:8" x14ac:dyDescent="0.3">
      <c r="A111" s="53" t="s">
        <v>171</v>
      </c>
      <c r="B111" s="53">
        <v>283</v>
      </c>
      <c r="C111" s="53">
        <v>76257000</v>
      </c>
      <c r="D111" s="54">
        <v>1.8810147998626385</v>
      </c>
      <c r="F111" s="53">
        <v>200100</v>
      </c>
      <c r="G111" s="55">
        <v>283</v>
      </c>
      <c r="H111" s="55">
        <v>76257000</v>
      </c>
    </row>
    <row r="112" spans="1:8" x14ac:dyDescent="0.3">
      <c r="A112" s="53" t="s">
        <v>172</v>
      </c>
      <c r="B112" s="53">
        <v>75</v>
      </c>
      <c r="C112" s="53">
        <v>58491000</v>
      </c>
      <c r="D112" s="54">
        <v>1.9497</v>
      </c>
      <c r="F112" s="53">
        <v>400000</v>
      </c>
      <c r="G112" s="55">
        <v>75</v>
      </c>
      <c r="H112" s="55">
        <v>58491000</v>
      </c>
    </row>
    <row r="113" spans="1:8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3">
      <c r="A114" s="51"/>
      <c r="B114" s="51"/>
      <c r="C114" s="51"/>
      <c r="D114" s="52"/>
      <c r="F114" s="53">
        <v>15100</v>
      </c>
      <c r="G114" s="2">
        <v>5108.5029892014281</v>
      </c>
      <c r="H114" s="2">
        <v>89835520.477660164</v>
      </c>
    </row>
    <row r="115" spans="1:8" x14ac:dyDescent="0.3">
      <c r="A115" s="51"/>
      <c r="B115" s="51"/>
      <c r="C115" s="51"/>
      <c r="D115" s="52"/>
      <c r="F115" s="53">
        <v>20100</v>
      </c>
      <c r="G115" s="2">
        <v>4107.1598016770458</v>
      </c>
      <c r="H115" s="2">
        <v>91812157.055120274</v>
      </c>
    </row>
    <row r="116" spans="1:8" x14ac:dyDescent="0.3">
      <c r="A116" s="53">
        <v>27225</v>
      </c>
      <c r="B116" s="53">
        <v>1023</v>
      </c>
      <c r="C116" s="53">
        <v>29331000</v>
      </c>
      <c r="D116" s="54">
        <v>2.2042325309370767</v>
      </c>
      <c r="F116" s="53">
        <v>25100</v>
      </c>
      <c r="G116" s="2">
        <v>2341.3397647058823</v>
      </c>
      <c r="H116" s="2">
        <v>64026170.823529407</v>
      </c>
    </row>
    <row r="117" spans="1:8" x14ac:dyDescent="0.3">
      <c r="A117" s="53">
        <v>30100</v>
      </c>
      <c r="B117" s="53">
        <v>1983</v>
      </c>
      <c r="C117" s="53">
        <v>67561000</v>
      </c>
      <c r="D117" s="54">
        <v>2.2383768630943797</v>
      </c>
      <c r="F117" s="53">
        <v>30100</v>
      </c>
      <c r="G117" s="55">
        <v>1983</v>
      </c>
      <c r="H117" s="55">
        <v>67561000</v>
      </c>
    </row>
    <row r="118" spans="1:8" x14ac:dyDescent="0.3">
      <c r="A118" s="53">
        <v>40100</v>
      </c>
      <c r="B118" s="53">
        <v>665</v>
      </c>
      <c r="C118" s="53">
        <v>29637000</v>
      </c>
      <c r="D118" s="54">
        <v>2.375106537453834</v>
      </c>
      <c r="F118" s="53">
        <v>40100</v>
      </c>
      <c r="G118" s="55">
        <v>665</v>
      </c>
      <c r="H118" s="55">
        <v>29637000</v>
      </c>
    </row>
    <row r="119" spans="1:8" x14ac:dyDescent="0.3">
      <c r="A119" s="53" t="s">
        <v>168</v>
      </c>
      <c r="B119" s="53">
        <v>674</v>
      </c>
      <c r="C119" s="53">
        <v>39550000</v>
      </c>
      <c r="D119" s="54">
        <v>2.2955379563453739</v>
      </c>
      <c r="F119" s="53">
        <v>50100</v>
      </c>
      <c r="G119" s="55">
        <v>674</v>
      </c>
      <c r="H119" s="55">
        <v>39550000</v>
      </c>
    </row>
    <row r="120" spans="1:8" x14ac:dyDescent="0.3">
      <c r="A120" s="53" t="s">
        <v>169</v>
      </c>
      <c r="B120" s="53">
        <v>468</v>
      </c>
      <c r="C120" s="53">
        <v>38662000</v>
      </c>
      <c r="D120" s="54">
        <v>2.1658957482106067</v>
      </c>
      <c r="F120" s="53">
        <v>70100</v>
      </c>
      <c r="G120" s="55">
        <v>468</v>
      </c>
      <c r="H120" s="55">
        <v>38662000</v>
      </c>
    </row>
    <row r="121" spans="1:8" x14ac:dyDescent="0.3">
      <c r="A121" s="53" t="s">
        <v>170</v>
      </c>
      <c r="B121" s="53">
        <v>399</v>
      </c>
      <c r="C121" s="53">
        <v>53999000</v>
      </c>
      <c r="D121" s="54">
        <v>2.0915851466473137</v>
      </c>
      <c r="F121" s="53">
        <v>100100</v>
      </c>
      <c r="G121" s="55">
        <v>399</v>
      </c>
      <c r="H121" s="55">
        <v>53999000</v>
      </c>
    </row>
    <row r="122" spans="1:8" x14ac:dyDescent="0.3">
      <c r="A122" s="53" t="s">
        <v>171</v>
      </c>
      <c r="B122" s="53">
        <v>118</v>
      </c>
      <c r="C122" s="53">
        <v>31032000</v>
      </c>
      <c r="D122" s="54">
        <v>1.9464353189259029</v>
      </c>
      <c r="F122" s="53">
        <v>200100</v>
      </c>
      <c r="G122" s="55">
        <v>118</v>
      </c>
      <c r="H122" s="55">
        <v>31032000</v>
      </c>
    </row>
    <row r="123" spans="1:8" x14ac:dyDescent="0.3">
      <c r="A123" s="53" t="s">
        <v>172</v>
      </c>
      <c r="B123" s="53">
        <v>46</v>
      </c>
      <c r="C123" s="53">
        <v>32843000</v>
      </c>
      <c r="D123" s="54">
        <v>1.7849456521739129</v>
      </c>
      <c r="F123" s="53">
        <v>400000</v>
      </c>
      <c r="G123" s="55">
        <v>46</v>
      </c>
      <c r="H123" s="55">
        <v>32843000</v>
      </c>
    </row>
    <row r="124" spans="1:8" x14ac:dyDescent="0.3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3">
      <c r="A125" s="51"/>
      <c r="B125" s="51"/>
      <c r="C125" s="51"/>
      <c r="D125" s="52"/>
      <c r="F125" s="53">
        <v>15100</v>
      </c>
      <c r="G125" s="2">
        <v>2485.9835524858181</v>
      </c>
      <c r="H125" s="2">
        <v>43717235.129068099</v>
      </c>
    </row>
    <row r="126" spans="1:8" x14ac:dyDescent="0.3">
      <c r="A126" s="51"/>
      <c r="B126" s="51"/>
      <c r="C126" s="51"/>
      <c r="D126" s="52"/>
      <c r="F126" s="53">
        <v>20100</v>
      </c>
      <c r="G126" s="2">
        <v>1998.6934990511088</v>
      </c>
      <c r="H126" s="2">
        <v>44679138.455971286</v>
      </c>
    </row>
    <row r="127" spans="1:8" x14ac:dyDescent="0.3">
      <c r="A127" s="53">
        <v>29700</v>
      </c>
      <c r="B127" s="53">
        <v>43</v>
      </c>
      <c r="C127" s="53">
        <v>1287000</v>
      </c>
      <c r="D127" s="54">
        <v>1.874117236285032</v>
      </c>
      <c r="F127" s="53">
        <v>25100</v>
      </c>
      <c r="G127" s="2">
        <v>1139.3811764705881</v>
      </c>
      <c r="H127" s="2">
        <v>31157465.882352937</v>
      </c>
    </row>
    <row r="128" spans="1:8" x14ac:dyDescent="0.3">
      <c r="A128" s="53">
        <v>30100</v>
      </c>
      <c r="B128" s="53">
        <v>965</v>
      </c>
      <c r="C128" s="53">
        <v>32890000</v>
      </c>
      <c r="D128" s="54">
        <v>1.8688061826604991</v>
      </c>
      <c r="F128" s="53">
        <v>30100</v>
      </c>
      <c r="G128" s="55">
        <v>965</v>
      </c>
      <c r="H128" s="55">
        <v>32890000</v>
      </c>
    </row>
    <row r="129" spans="1:8" x14ac:dyDescent="0.3">
      <c r="A129" s="53">
        <v>40100</v>
      </c>
      <c r="B129" s="53">
        <v>326</v>
      </c>
      <c r="C129" s="53">
        <v>14473000</v>
      </c>
      <c r="D129" s="54">
        <v>1.9883606023360916</v>
      </c>
      <c r="F129" s="53">
        <v>40100</v>
      </c>
      <c r="G129" s="55">
        <v>326</v>
      </c>
      <c r="H129" s="55">
        <v>14473000</v>
      </c>
    </row>
    <row r="130" spans="1:8" x14ac:dyDescent="0.3">
      <c r="A130" s="53" t="s">
        <v>168</v>
      </c>
      <c r="B130" s="53">
        <v>243</v>
      </c>
      <c r="C130" s="53">
        <v>14246000</v>
      </c>
      <c r="D130" s="54">
        <v>1.9845437330467273</v>
      </c>
      <c r="F130" s="53">
        <v>50100</v>
      </c>
      <c r="G130" s="55">
        <v>243</v>
      </c>
      <c r="H130" s="55">
        <v>14246000</v>
      </c>
    </row>
    <row r="131" spans="1:8" x14ac:dyDescent="0.3">
      <c r="A131" s="53" t="s">
        <v>169</v>
      </c>
      <c r="B131" s="53">
        <v>163</v>
      </c>
      <c r="C131" s="53">
        <v>13544000</v>
      </c>
      <c r="D131" s="54">
        <v>1.8318859440565274</v>
      </c>
      <c r="F131" s="53">
        <v>70100</v>
      </c>
      <c r="G131" s="55">
        <v>163</v>
      </c>
      <c r="H131" s="55">
        <v>13544000</v>
      </c>
    </row>
    <row r="132" spans="1:8" x14ac:dyDescent="0.3">
      <c r="A132" s="53" t="s">
        <v>170</v>
      </c>
      <c r="B132" s="53">
        <v>145</v>
      </c>
      <c r="C132" s="53">
        <v>19084000</v>
      </c>
      <c r="D132" s="54">
        <v>1.6951763320478404</v>
      </c>
      <c r="F132" s="53">
        <v>100100</v>
      </c>
      <c r="G132" s="55">
        <v>145</v>
      </c>
      <c r="H132" s="55">
        <v>19084000</v>
      </c>
    </row>
    <row r="133" spans="1:8" x14ac:dyDescent="0.3">
      <c r="A133" s="53" t="s">
        <v>171</v>
      </c>
      <c r="B133" s="53">
        <v>26</v>
      </c>
      <c r="C133" s="53">
        <v>7150000</v>
      </c>
      <c r="D133" s="54">
        <v>1.6594643854543316</v>
      </c>
      <c r="F133" s="53">
        <v>200100</v>
      </c>
      <c r="G133" s="55">
        <v>26</v>
      </c>
      <c r="H133" s="55">
        <v>7150000</v>
      </c>
    </row>
    <row r="134" spans="1:8" x14ac:dyDescent="0.3">
      <c r="A134" s="53" t="s">
        <v>172</v>
      </c>
      <c r="B134" s="53">
        <v>8</v>
      </c>
      <c r="C134" s="53">
        <v>4140000</v>
      </c>
      <c r="D134" s="54">
        <v>1.29375</v>
      </c>
      <c r="F134" s="53">
        <v>400000</v>
      </c>
      <c r="G134" s="55">
        <v>8</v>
      </c>
      <c r="H134" s="55">
        <v>4140000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topLeftCell="E1"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6" x14ac:dyDescent="0.3">
      <c r="A1" s="79" t="s">
        <v>236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6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6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5500</v>
      </c>
      <c r="M3" t="s">
        <v>7</v>
      </c>
      <c r="N3" t="s">
        <v>8</v>
      </c>
      <c r="O3" t="s">
        <v>14</v>
      </c>
    </row>
    <row r="4" spans="1:16" x14ac:dyDescent="0.3">
      <c r="A4" s="53">
        <v>15100</v>
      </c>
      <c r="B4" s="53">
        <v>761329</v>
      </c>
      <c r="C4" s="53">
        <v>13100693000</v>
      </c>
      <c r="D4" s="54">
        <v>1.5812472845627648</v>
      </c>
      <c r="F4" s="53">
        <v>15100</v>
      </c>
      <c r="G4" s="53">
        <v>761329</v>
      </c>
      <c r="H4" s="53">
        <v>13100693000</v>
      </c>
      <c r="I4" s="2">
        <f>J4/6.55957</f>
        <v>2286.7352585611557</v>
      </c>
      <c r="J4" s="53">
        <v>15000</v>
      </c>
      <c r="K4" s="2">
        <f>G4+G15+G26+G37+G48+G59+G70+G81+G92+G103+G114+G125</f>
        <v>2831882.764002068</v>
      </c>
      <c r="L4" s="2">
        <f>H4+H15+H26+H37+H48+H59+H70+H81+H92+H103+H114+H125</f>
        <v>49340487359.614838</v>
      </c>
      <c r="M4">
        <f>1-SUM(K4:$K$13)/$K$15</f>
        <v>0.53737883824772614</v>
      </c>
      <c r="N4">
        <f>SUM(L4:$L$13)/(J4*SUM(K4:$K$13))</f>
        <v>2.2566402980205362</v>
      </c>
      <c r="O4">
        <f>(G4+G15+G37)/K4</f>
        <v>0.35902898697795721</v>
      </c>
      <c r="P4">
        <f>L4/K4</f>
        <v>17423.209741170911</v>
      </c>
    </row>
    <row r="5" spans="1:16" x14ac:dyDescent="0.3">
      <c r="A5" s="53">
        <v>20100</v>
      </c>
      <c r="B5" s="53">
        <v>300169</v>
      </c>
      <c r="C5" s="53">
        <v>6668536000</v>
      </c>
      <c r="D5" s="54">
        <v>1.5804819912014885</v>
      </c>
      <c r="F5" s="53">
        <v>20100</v>
      </c>
      <c r="G5" s="53">
        <v>300169</v>
      </c>
      <c r="H5" s="53">
        <v>6668536000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1979608.7597199643</v>
      </c>
      <c r="L5" s="2">
        <f t="shared" si="1"/>
        <v>44472443658.865715</v>
      </c>
      <c r="M5">
        <f>1-SUM(K5:$K$13)/$K$15</f>
        <v>0.66516785620595664</v>
      </c>
      <c r="N5">
        <f>SUM(L5:$L$13)/(J5*SUM(K5:$K$13))</f>
        <v>2.0059377110859296</v>
      </c>
      <c r="O5">
        <f t="shared" ref="O5:O13" si="2">(G5+G16+G38)/K5</f>
        <v>0.21372859557352719</v>
      </c>
      <c r="P5">
        <f t="shared" ref="P5:P13" si="3">L5/K5</f>
        <v>22465.269180338841</v>
      </c>
    </row>
    <row r="6" spans="1:16" x14ac:dyDescent="0.3">
      <c r="A6" s="53">
        <v>25100</v>
      </c>
      <c r="B6" s="53">
        <v>142536</v>
      </c>
      <c r="C6" s="53">
        <v>3888266000</v>
      </c>
      <c r="D6" s="54">
        <v>1.5983927170698717</v>
      </c>
      <c r="F6" s="53">
        <v>25100</v>
      </c>
      <c r="G6" s="53">
        <v>142536</v>
      </c>
      <c r="H6" s="53">
        <v>3888266000</v>
      </c>
      <c r="I6" s="2">
        <f t="shared" si="0"/>
        <v>3811.2254309352597</v>
      </c>
      <c r="J6" s="53">
        <v>25000</v>
      </c>
      <c r="K6" s="2">
        <f t="shared" si="1"/>
        <v>1542355.8324367069</v>
      </c>
      <c r="L6" s="2">
        <f t="shared" si="1"/>
        <v>42299003434.06572</v>
      </c>
      <c r="M6">
        <f>1-SUM(K6:$K$13)/$K$15</f>
        <v>0.75449791695628954</v>
      </c>
      <c r="N6">
        <f>SUM(L6:$L$13)/(J6*SUM(K6:$K$13))</f>
        <v>1.8616908630820417</v>
      </c>
      <c r="O6">
        <f t="shared" si="2"/>
        <v>0.14282890845750415</v>
      </c>
      <c r="P6">
        <f t="shared" si="3"/>
        <v>27424.931746936243</v>
      </c>
    </row>
    <row r="7" spans="1:16" x14ac:dyDescent="0.3">
      <c r="A7" s="53">
        <v>30100</v>
      </c>
      <c r="B7" s="53">
        <v>111329</v>
      </c>
      <c r="C7" s="53">
        <v>3798833000</v>
      </c>
      <c r="D7" s="54">
        <v>1.6357634436578838</v>
      </c>
      <c r="F7" s="53">
        <v>30100</v>
      </c>
      <c r="G7" s="53">
        <v>111329</v>
      </c>
      <c r="H7" s="53">
        <v>3798833000</v>
      </c>
      <c r="I7" s="2">
        <f t="shared" si="0"/>
        <v>4573.4705171223113</v>
      </c>
      <c r="J7" s="53">
        <v>30000</v>
      </c>
      <c r="K7" s="2">
        <f t="shared" si="1"/>
        <v>1810150.4197975332</v>
      </c>
      <c r="L7" s="2">
        <f t="shared" si="1"/>
        <v>62341510805.917145</v>
      </c>
      <c r="M7">
        <f>1-SUM(K7:$K$13)/$K$15</f>
        <v>0.82409689177073275</v>
      </c>
      <c r="N7">
        <f>SUM(L7:$L$13)/(J7*SUM(K7:$K$13))</f>
        <v>1.8035454449170307</v>
      </c>
      <c r="O7">
        <f t="shared" si="2"/>
        <v>0.10202798506693012</v>
      </c>
      <c r="P7">
        <f t="shared" si="3"/>
        <v>34439.961521479578</v>
      </c>
    </row>
    <row r="8" spans="1:16" x14ac:dyDescent="0.3">
      <c r="A8" s="53">
        <v>40100</v>
      </c>
      <c r="B8" s="53">
        <v>39711</v>
      </c>
      <c r="C8" s="53">
        <v>1761866000</v>
      </c>
      <c r="D8" s="54">
        <v>1.6970729599333212</v>
      </c>
      <c r="F8" s="53">
        <v>40100</v>
      </c>
      <c r="G8" s="53">
        <v>39711</v>
      </c>
      <c r="H8" s="53">
        <v>1761866000</v>
      </c>
      <c r="I8" s="2">
        <f t="shared" si="0"/>
        <v>6097.9606894964154</v>
      </c>
      <c r="J8" s="53">
        <v>40000</v>
      </c>
      <c r="K8" s="2">
        <f t="shared" si="1"/>
        <v>853848</v>
      </c>
      <c r="L8" s="2">
        <f t="shared" si="1"/>
        <v>38414195000</v>
      </c>
      <c r="M8">
        <f>1-SUM(K8:$K$13)/$K$15</f>
        <v>0.90578012648759076</v>
      </c>
      <c r="N8">
        <f>SUM(L8:$L$13)/(J8*SUM(K8:$K$13))</f>
        <v>1.7789001877421611</v>
      </c>
      <c r="O8">
        <f t="shared" si="2"/>
        <v>7.9161630641519334E-2</v>
      </c>
      <c r="P8">
        <f t="shared" si="3"/>
        <v>44989.500473152133</v>
      </c>
    </row>
    <row r="9" spans="1:16" x14ac:dyDescent="0.3">
      <c r="A9" s="53">
        <v>50100</v>
      </c>
      <c r="B9" s="53">
        <v>28168</v>
      </c>
      <c r="C9" s="53">
        <v>1636036000</v>
      </c>
      <c r="D9" s="54">
        <v>1.7359812991240378</v>
      </c>
      <c r="F9" s="53">
        <v>50100</v>
      </c>
      <c r="G9" s="53">
        <v>28168</v>
      </c>
      <c r="H9" s="53">
        <v>1636036000</v>
      </c>
      <c r="I9" s="2">
        <f t="shared" si="0"/>
        <v>7622.4508618705195</v>
      </c>
      <c r="J9" s="53">
        <v>50000</v>
      </c>
      <c r="K9" s="2">
        <f t="shared" si="1"/>
        <v>665074</v>
      </c>
      <c r="L9" s="2">
        <f t="shared" si="1"/>
        <v>38682588000</v>
      </c>
      <c r="M9">
        <f>1-SUM(K9:$K$13)/$K$15</f>
        <v>0.94431011042357815</v>
      </c>
      <c r="N9">
        <f>SUM(L9:$L$13)/(J9*SUM(K9:$K$13))</f>
        <v>1.7851948834880182</v>
      </c>
      <c r="O9">
        <f t="shared" si="2"/>
        <v>7.5934407299037401E-2</v>
      </c>
      <c r="P9">
        <f t="shared" si="3"/>
        <v>58162.833008056245</v>
      </c>
    </row>
    <row r="10" spans="1:16" x14ac:dyDescent="0.3">
      <c r="A10" s="53">
        <v>70100</v>
      </c>
      <c r="B10" s="53">
        <v>12358</v>
      </c>
      <c r="C10" s="53">
        <v>1012654000</v>
      </c>
      <c r="D10" s="54">
        <v>1.779532537974958</v>
      </c>
      <c r="F10" s="53">
        <v>70100</v>
      </c>
      <c r="G10" s="53">
        <v>12358</v>
      </c>
      <c r="H10" s="53">
        <v>1012654000</v>
      </c>
      <c r="I10" s="2">
        <f t="shared" si="0"/>
        <v>10671.431206618727</v>
      </c>
      <c r="J10" s="53">
        <v>70000</v>
      </c>
      <c r="K10" s="2">
        <f t="shared" si="1"/>
        <v>310845</v>
      </c>
      <c r="L10" s="2">
        <f t="shared" si="1"/>
        <v>25548115000</v>
      </c>
      <c r="M10">
        <f>1-SUM(K10:$K$13)/$K$15</f>
        <v>0.9743216470627023</v>
      </c>
      <c r="N10">
        <f>SUM(L10:$L$13)/(J10*SUM(K10:$K$13))</f>
        <v>1.794345894998564</v>
      </c>
      <c r="O10">
        <f t="shared" si="2"/>
        <v>7.6388553780823237E-2</v>
      </c>
      <c r="P10">
        <f t="shared" si="3"/>
        <v>82189.242226833303</v>
      </c>
    </row>
    <row r="11" spans="1:16" x14ac:dyDescent="0.3">
      <c r="A11" s="53">
        <v>100100</v>
      </c>
      <c r="B11" s="53">
        <v>7330</v>
      </c>
      <c r="C11" s="53">
        <v>967636000</v>
      </c>
      <c r="D11" s="54">
        <v>1.8213874946214121</v>
      </c>
      <c r="F11" s="53">
        <v>100100</v>
      </c>
      <c r="G11" s="53">
        <v>7330</v>
      </c>
      <c r="H11" s="53">
        <v>967636000</v>
      </c>
      <c r="I11" s="2">
        <f t="shared" si="0"/>
        <v>15244.901723741039</v>
      </c>
      <c r="J11" s="53">
        <v>100000</v>
      </c>
      <c r="K11" s="2">
        <f t="shared" si="1"/>
        <v>203596</v>
      </c>
      <c r="L11" s="2">
        <f t="shared" si="1"/>
        <v>27027606000</v>
      </c>
      <c r="M11">
        <f>1-SUM(K11:$K$13)/$K$15</f>
        <v>0.98834856152122652</v>
      </c>
      <c r="N11">
        <f>SUM(L11:$L$13)/(J11*SUM(K11:$K$13))</f>
        <v>1.7787055533824161</v>
      </c>
      <c r="O11">
        <f t="shared" si="2"/>
        <v>7.5193029332599859E-2</v>
      </c>
      <c r="P11">
        <f t="shared" si="3"/>
        <v>132751.16407002101</v>
      </c>
    </row>
    <row r="12" spans="1:16" x14ac:dyDescent="0.3">
      <c r="A12" s="53">
        <v>200100</v>
      </c>
      <c r="B12" s="53">
        <v>1418</v>
      </c>
      <c r="C12" s="53">
        <v>371942000</v>
      </c>
      <c r="D12" s="54">
        <v>1.9035877860746526</v>
      </c>
      <c r="F12" s="53">
        <v>200100</v>
      </c>
      <c r="G12" s="53">
        <v>1418</v>
      </c>
      <c r="H12" s="53">
        <v>371942000</v>
      </c>
      <c r="I12" s="2">
        <f t="shared" si="0"/>
        <v>30489.803447482078</v>
      </c>
      <c r="J12" s="53">
        <v>200000</v>
      </c>
      <c r="K12" s="2">
        <f t="shared" si="1"/>
        <v>44170</v>
      </c>
      <c r="L12" s="2">
        <f t="shared" si="1"/>
        <v>11626066000</v>
      </c>
      <c r="M12">
        <f>1-SUM(K12:$K$13)/$K$15</f>
        <v>0.99753585318137128</v>
      </c>
      <c r="N12">
        <f>SUM(L12:$L$13)/(J12*SUM(K12:$K$13))</f>
        <v>1.7304654165216913</v>
      </c>
      <c r="O12">
        <f t="shared" si="2"/>
        <v>7.8967625084899254E-2</v>
      </c>
      <c r="P12">
        <f t="shared" si="3"/>
        <v>263211.81797600182</v>
      </c>
    </row>
    <row r="13" spans="1:16" x14ac:dyDescent="0.3">
      <c r="A13" s="53">
        <v>400000</v>
      </c>
      <c r="B13" s="53">
        <v>439</v>
      </c>
      <c r="C13" s="53">
        <v>335404000</v>
      </c>
      <c r="D13" s="54">
        <v>1.9100455580865603</v>
      </c>
      <c r="F13" s="53">
        <v>400000</v>
      </c>
      <c r="G13" s="53">
        <v>439</v>
      </c>
      <c r="H13" s="53">
        <v>335404000</v>
      </c>
      <c r="I13" s="2">
        <f t="shared" si="0"/>
        <v>60979.606894964156</v>
      </c>
      <c r="J13" s="53">
        <v>400000</v>
      </c>
      <c r="K13" s="2">
        <f t="shared" si="1"/>
        <v>10437</v>
      </c>
      <c r="L13" s="2">
        <f>H13+H24+H35+H46+H57+H68+H79+H90+H101+H112+H123+H134</f>
        <v>7273039000</v>
      </c>
      <c r="M13">
        <f>1-SUM(K13:$K$13)/$K$15</f>
        <v>0.99952902923899811</v>
      </c>
      <c r="N13">
        <f>SUM(L13:$L$13)/(J13*SUM(K13:$K$13))</f>
        <v>1.7421287247293284</v>
      </c>
      <c r="O13">
        <f t="shared" si="2"/>
        <v>0.10587333524959279</v>
      </c>
      <c r="P13">
        <f t="shared" si="3"/>
        <v>696851.4898917313</v>
      </c>
    </row>
    <row r="14" spans="1:16" x14ac:dyDescent="0.3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6" x14ac:dyDescent="0.3">
      <c r="A15" s="53">
        <v>15100</v>
      </c>
      <c r="B15" s="53">
        <v>200340</v>
      </c>
      <c r="C15" s="53">
        <v>3465785000</v>
      </c>
      <c r="D15" s="54">
        <v>1.9707713968004201</v>
      </c>
      <c r="F15" s="53">
        <v>15100</v>
      </c>
      <c r="G15" s="53">
        <v>200340</v>
      </c>
      <c r="H15" s="53">
        <v>3465785000</v>
      </c>
      <c r="I15">
        <f>H15/G15</f>
        <v>17299.51582310073</v>
      </c>
      <c r="K15" s="5">
        <v>22160611.367462769</v>
      </c>
    </row>
    <row r="16" spans="1:16" x14ac:dyDescent="0.3">
      <c r="A16" s="53">
        <v>20100</v>
      </c>
      <c r="B16" s="53">
        <v>95785</v>
      </c>
      <c r="C16" s="53">
        <v>2138404000</v>
      </c>
      <c r="D16" s="54">
        <v>1.9156415691014763</v>
      </c>
      <c r="F16" s="53">
        <v>20100</v>
      </c>
      <c r="G16" s="53">
        <v>95785</v>
      </c>
      <c r="H16" s="53">
        <v>2138404000</v>
      </c>
      <c r="I16">
        <f t="shared" ref="I16:I24" si="4">H16/G16</f>
        <v>22325.040455186096</v>
      </c>
    </row>
    <row r="17" spans="1:9" x14ac:dyDescent="0.3">
      <c r="A17" s="53">
        <v>25100</v>
      </c>
      <c r="B17" s="53">
        <v>63974</v>
      </c>
      <c r="C17" s="53">
        <v>1751008000</v>
      </c>
      <c r="D17" s="54">
        <v>1.8596554305303021</v>
      </c>
      <c r="F17" s="53">
        <v>25100</v>
      </c>
      <c r="G17" s="53">
        <v>63974</v>
      </c>
      <c r="H17" s="53">
        <v>1751008000</v>
      </c>
      <c r="I17">
        <f t="shared" si="4"/>
        <v>27370.619314096351</v>
      </c>
    </row>
    <row r="18" spans="1:9" x14ac:dyDescent="0.3">
      <c r="A18" s="53">
        <v>30100</v>
      </c>
      <c r="B18" s="53">
        <v>62648</v>
      </c>
      <c r="C18" s="53">
        <v>2138997000</v>
      </c>
      <c r="D18" s="54">
        <v>1.8773334266906729</v>
      </c>
      <c r="F18" s="53">
        <v>30100</v>
      </c>
      <c r="G18" s="53">
        <v>62648</v>
      </c>
      <c r="H18" s="53">
        <v>2138997000</v>
      </c>
      <c r="I18">
        <f t="shared" si="4"/>
        <v>34143.101136508747</v>
      </c>
    </row>
    <row r="19" spans="1:9" x14ac:dyDescent="0.3">
      <c r="A19" s="53">
        <v>40100</v>
      </c>
      <c r="B19" s="53">
        <v>23993</v>
      </c>
      <c r="C19" s="53">
        <v>1066036000</v>
      </c>
      <c r="D19" s="54">
        <v>1.9638111052928351</v>
      </c>
      <c r="F19" s="53">
        <v>40100</v>
      </c>
      <c r="G19" s="53">
        <v>23993</v>
      </c>
      <c r="H19" s="53">
        <v>1066036000</v>
      </c>
      <c r="I19">
        <f t="shared" si="4"/>
        <v>44431.125745008962</v>
      </c>
    </row>
    <row r="20" spans="1:9" x14ac:dyDescent="0.3">
      <c r="A20" s="53">
        <v>50100</v>
      </c>
      <c r="B20" s="53">
        <v>19403</v>
      </c>
      <c r="C20" s="53">
        <v>1132291000</v>
      </c>
      <c r="D20" s="54">
        <v>1.9932061114291684</v>
      </c>
      <c r="F20" s="53">
        <v>50100</v>
      </c>
      <c r="G20" s="53">
        <v>19403</v>
      </c>
      <c r="H20" s="53">
        <v>1132291000</v>
      </c>
      <c r="I20">
        <f t="shared" si="4"/>
        <v>58356.491264237491</v>
      </c>
    </row>
    <row r="21" spans="1:9" x14ac:dyDescent="0.3">
      <c r="A21" s="53">
        <v>70100</v>
      </c>
      <c r="B21" s="53">
        <v>10057</v>
      </c>
      <c r="C21" s="53">
        <v>828248000</v>
      </c>
      <c r="D21" s="54">
        <v>2.0106364086290722</v>
      </c>
      <c r="F21" s="53">
        <v>70100</v>
      </c>
      <c r="G21" s="53">
        <v>10057</v>
      </c>
      <c r="H21" s="53">
        <v>828248000</v>
      </c>
      <c r="I21">
        <f t="shared" si="4"/>
        <v>82355.374366113159</v>
      </c>
    </row>
    <row r="22" spans="1:9" x14ac:dyDescent="0.3">
      <c r="A22" s="53">
        <v>100100</v>
      </c>
      <c r="B22" s="53">
        <v>7177</v>
      </c>
      <c r="C22" s="53">
        <v>959925000</v>
      </c>
      <c r="D22" s="54">
        <v>2.0248911729578185</v>
      </c>
      <c r="F22" s="53">
        <v>100100</v>
      </c>
      <c r="G22" s="53">
        <v>7177</v>
      </c>
      <c r="H22" s="53">
        <v>959925000</v>
      </c>
      <c r="I22">
        <f t="shared" si="4"/>
        <v>133750.17416747945</v>
      </c>
    </row>
    <row r="23" spans="1:9" x14ac:dyDescent="0.3">
      <c r="A23" s="53">
        <v>200100</v>
      </c>
      <c r="B23" s="53">
        <v>1785</v>
      </c>
      <c r="C23" s="53">
        <v>469729000</v>
      </c>
      <c r="D23" s="54">
        <v>2.0580601499757307</v>
      </c>
      <c r="F23" s="53">
        <v>200100</v>
      </c>
      <c r="G23" s="53">
        <v>1785</v>
      </c>
      <c r="H23" s="53">
        <v>469729000</v>
      </c>
      <c r="I23">
        <f t="shared" si="4"/>
        <v>263153.5014005602</v>
      </c>
    </row>
    <row r="24" spans="1:9" x14ac:dyDescent="0.3">
      <c r="A24" s="53">
        <v>400000</v>
      </c>
      <c r="B24" s="53">
        <v>581</v>
      </c>
      <c r="C24" s="53">
        <v>504632000</v>
      </c>
      <c r="D24" s="54">
        <v>2.1713941480206542</v>
      </c>
      <c r="F24" s="53">
        <v>400000</v>
      </c>
      <c r="G24" s="53">
        <v>581</v>
      </c>
      <c r="H24" s="53">
        <v>504632000</v>
      </c>
      <c r="I24">
        <f t="shared" si="4"/>
        <v>868557.65920826164</v>
      </c>
    </row>
    <row r="25" spans="1:9" x14ac:dyDescent="0.3">
      <c r="A25" s="51" t="s">
        <v>56</v>
      </c>
      <c r="B25" s="51" t="s">
        <v>64</v>
      </c>
      <c r="C25" s="51" t="s">
        <v>65</v>
      </c>
      <c r="D25" s="52" t="s">
        <v>59</v>
      </c>
    </row>
    <row r="26" spans="1:9" x14ac:dyDescent="0.3">
      <c r="A26" s="53">
        <v>15100</v>
      </c>
      <c r="B26" s="53">
        <v>744537</v>
      </c>
      <c r="C26" s="53">
        <v>13003368000</v>
      </c>
      <c r="D26" s="54">
        <v>2.3392061225147125</v>
      </c>
      <c r="F26" s="53">
        <v>15100</v>
      </c>
      <c r="G26" s="53">
        <v>744537</v>
      </c>
      <c r="H26" s="53">
        <v>13003368000</v>
      </c>
      <c r="I26">
        <f>H26/G26</f>
        <v>17465.039346600639</v>
      </c>
    </row>
    <row r="27" spans="1:9" x14ac:dyDescent="0.3">
      <c r="A27" s="53">
        <v>20100</v>
      </c>
      <c r="B27" s="53">
        <v>541424</v>
      </c>
      <c r="C27" s="53">
        <v>12223400000</v>
      </c>
      <c r="D27" s="54">
        <v>2.0490833938656121</v>
      </c>
      <c r="F27" s="53">
        <v>20100</v>
      </c>
      <c r="G27" s="53">
        <v>541424</v>
      </c>
      <c r="H27" s="53">
        <v>12223400000</v>
      </c>
      <c r="I27">
        <f t="shared" ref="I27:I35" si="5">H27/G27</f>
        <v>22576.391146310471</v>
      </c>
    </row>
    <row r="28" spans="1:9" x14ac:dyDescent="0.3">
      <c r="A28" s="53">
        <v>25100</v>
      </c>
      <c r="B28" s="53">
        <v>490753</v>
      </c>
      <c r="C28" s="53">
        <v>13465318000</v>
      </c>
      <c r="D28" s="54">
        <v>1.8735324509109086</v>
      </c>
      <c r="F28" s="53">
        <v>25100</v>
      </c>
      <c r="G28" s="53">
        <v>490753</v>
      </c>
      <c r="H28" s="53">
        <v>13465318000</v>
      </c>
      <c r="I28">
        <f t="shared" si="5"/>
        <v>27438.075773352379</v>
      </c>
    </row>
    <row r="29" spans="1:9" x14ac:dyDescent="0.3">
      <c r="A29" s="53">
        <v>30100</v>
      </c>
      <c r="B29" s="53">
        <v>581189</v>
      </c>
      <c r="C29" s="53">
        <v>20008855000</v>
      </c>
      <c r="D29" s="54">
        <v>1.8209332245470107</v>
      </c>
      <c r="F29" s="53">
        <v>30100</v>
      </c>
      <c r="G29" s="53">
        <v>581189</v>
      </c>
      <c r="H29" s="53">
        <v>20008855000</v>
      </c>
      <c r="I29">
        <f t="shared" si="5"/>
        <v>34427.449590408629</v>
      </c>
    </row>
    <row r="30" spans="1:9" x14ac:dyDescent="0.3">
      <c r="A30" s="53">
        <v>40100</v>
      </c>
      <c r="B30" s="53">
        <v>273414</v>
      </c>
      <c r="C30" s="53">
        <v>12149327000</v>
      </c>
      <c r="D30" s="54">
        <v>1.8187690472138376</v>
      </c>
      <c r="F30" s="53">
        <v>40100</v>
      </c>
      <c r="G30" s="53">
        <v>273414</v>
      </c>
      <c r="H30" s="53">
        <v>12149327000</v>
      </c>
      <c r="I30">
        <f t="shared" si="5"/>
        <v>44435.643383294198</v>
      </c>
    </row>
    <row r="31" spans="1:9" x14ac:dyDescent="0.3">
      <c r="A31" s="53">
        <v>50100</v>
      </c>
      <c r="B31" s="53">
        <v>205576</v>
      </c>
      <c r="C31" s="53">
        <v>11942173000</v>
      </c>
      <c r="D31" s="54">
        <v>1.8647250122325407</v>
      </c>
      <c r="F31" s="53">
        <v>50100</v>
      </c>
      <c r="G31" s="53">
        <v>205576</v>
      </c>
      <c r="H31" s="53">
        <v>11942173000</v>
      </c>
      <c r="I31">
        <f t="shared" si="5"/>
        <v>58091.280110518739</v>
      </c>
    </row>
    <row r="32" spans="1:9" x14ac:dyDescent="0.3">
      <c r="A32" s="53">
        <v>70100</v>
      </c>
      <c r="B32" s="53">
        <v>92380</v>
      </c>
      <c r="C32" s="53">
        <v>7588642000</v>
      </c>
      <c r="D32" s="54">
        <v>1.9258674594538798</v>
      </c>
      <c r="F32" s="53">
        <v>70100</v>
      </c>
      <c r="G32" s="53">
        <v>92380</v>
      </c>
      <c r="H32" s="53">
        <v>7588642000</v>
      </c>
      <c r="I32">
        <f t="shared" si="5"/>
        <v>82145.940679800828</v>
      </c>
    </row>
    <row r="33" spans="1:9" x14ac:dyDescent="0.3">
      <c r="A33" s="53">
        <v>100100</v>
      </c>
      <c r="B33" s="53">
        <v>60245</v>
      </c>
      <c r="C33" s="53">
        <v>8078897000</v>
      </c>
      <c r="D33" s="54">
        <v>1.9414044036158251</v>
      </c>
      <c r="F33" s="53">
        <v>100100</v>
      </c>
      <c r="G33" s="53">
        <v>60245</v>
      </c>
      <c r="H33" s="53">
        <v>8078897000</v>
      </c>
      <c r="I33">
        <f t="shared" si="5"/>
        <v>134100.70545273466</v>
      </c>
    </row>
    <row r="34" spans="1:9" x14ac:dyDescent="0.3">
      <c r="A34" s="53">
        <v>200100</v>
      </c>
      <c r="B34" s="53">
        <v>17489</v>
      </c>
      <c r="C34" s="53">
        <v>4633132000</v>
      </c>
      <c r="D34" s="54">
        <v>1.7934444702382428</v>
      </c>
      <c r="F34" s="53">
        <v>200100</v>
      </c>
      <c r="G34" s="53">
        <v>17489</v>
      </c>
      <c r="H34" s="53">
        <v>4633132000</v>
      </c>
      <c r="I34">
        <f t="shared" si="5"/>
        <v>264916.91920635826</v>
      </c>
    </row>
    <row r="35" spans="1:9" x14ac:dyDescent="0.3">
      <c r="A35" s="53">
        <v>400000</v>
      </c>
      <c r="B35" s="53">
        <v>4566</v>
      </c>
      <c r="C35" s="53">
        <v>3281707000</v>
      </c>
      <c r="D35" s="54">
        <v>1.7968172360928605</v>
      </c>
      <c r="F35" s="53">
        <v>400000</v>
      </c>
      <c r="G35" s="53">
        <v>4566</v>
      </c>
      <c r="H35" s="53">
        <v>3281707000</v>
      </c>
      <c r="I35">
        <f t="shared" si="5"/>
        <v>718726.89443714416</v>
      </c>
    </row>
    <row r="36" spans="1:9" x14ac:dyDescent="0.3">
      <c r="A36" s="51" t="s">
        <v>56</v>
      </c>
      <c r="B36" s="51" t="s">
        <v>66</v>
      </c>
      <c r="C36" s="51" t="s">
        <v>67</v>
      </c>
      <c r="D36" s="52" t="s">
        <v>59</v>
      </c>
    </row>
    <row r="37" spans="1:9" x14ac:dyDescent="0.3">
      <c r="A37" s="53">
        <v>15100</v>
      </c>
      <c r="B37" s="53">
        <v>55059</v>
      </c>
      <c r="C37" s="53">
        <v>953432000</v>
      </c>
      <c r="D37" s="54">
        <v>1.7118186664468618</v>
      </c>
      <c r="F37" s="53">
        <v>15100</v>
      </c>
      <c r="G37" s="53">
        <v>55059</v>
      </c>
      <c r="H37" s="53">
        <v>953432000</v>
      </c>
      <c r="I37">
        <f>H37/G37</f>
        <v>17316.551335839737</v>
      </c>
    </row>
    <row r="38" spans="1:9" x14ac:dyDescent="0.3">
      <c r="A38" s="53">
        <v>20100</v>
      </c>
      <c r="B38" s="53">
        <v>27145</v>
      </c>
      <c r="C38" s="53">
        <v>604584000</v>
      </c>
      <c r="D38" s="54">
        <v>1.6693893634292529</v>
      </c>
      <c r="F38" s="53">
        <v>20100</v>
      </c>
      <c r="G38" s="53">
        <v>27145</v>
      </c>
      <c r="H38" s="53">
        <v>604584000</v>
      </c>
      <c r="I38">
        <f t="shared" ref="I38:I46" si="6">H38/G38</f>
        <v>22272.389021919324</v>
      </c>
    </row>
    <row r="39" spans="1:9" x14ac:dyDescent="0.3">
      <c r="A39" s="53">
        <v>25100</v>
      </c>
      <c r="B39" s="53">
        <v>13783</v>
      </c>
      <c r="C39" s="53">
        <v>376030000</v>
      </c>
      <c r="D39" s="54">
        <v>1.6976956574965922</v>
      </c>
      <c r="F39" s="53">
        <v>25100</v>
      </c>
      <c r="G39" s="53">
        <v>13783</v>
      </c>
      <c r="H39" s="53">
        <v>376030000</v>
      </c>
      <c r="I39">
        <f t="shared" si="6"/>
        <v>27282.159181600524</v>
      </c>
    </row>
    <row r="40" spans="1:9" x14ac:dyDescent="0.3">
      <c r="A40" s="53">
        <v>30100</v>
      </c>
      <c r="B40" s="53">
        <v>10709</v>
      </c>
      <c r="C40" s="53">
        <v>365146000</v>
      </c>
      <c r="D40" s="54">
        <v>1.7661464613710662</v>
      </c>
      <c r="F40" s="53">
        <v>30100</v>
      </c>
      <c r="G40" s="53">
        <v>10709</v>
      </c>
      <c r="H40" s="53">
        <v>365146000</v>
      </c>
      <c r="I40">
        <f t="shared" si="6"/>
        <v>34097.114576524422</v>
      </c>
    </row>
    <row r="41" spans="1:9" x14ac:dyDescent="0.3">
      <c r="A41" s="53">
        <v>40100</v>
      </c>
      <c r="B41" s="53">
        <v>3888</v>
      </c>
      <c r="C41" s="53">
        <v>172450000</v>
      </c>
      <c r="D41" s="54">
        <v>1.8719133932147423</v>
      </c>
      <c r="F41" s="53">
        <v>40100</v>
      </c>
      <c r="G41" s="53">
        <v>3888</v>
      </c>
      <c r="H41" s="53">
        <v>172450000</v>
      </c>
      <c r="I41">
        <f t="shared" si="6"/>
        <v>44354.423868312755</v>
      </c>
    </row>
    <row r="42" spans="1:9" x14ac:dyDescent="0.3">
      <c r="A42" s="53">
        <v>50100</v>
      </c>
      <c r="B42" s="53">
        <v>2931</v>
      </c>
      <c r="C42" s="53">
        <v>170609000</v>
      </c>
      <c r="D42" s="54">
        <v>1.9369286459291981</v>
      </c>
      <c r="F42" s="53">
        <v>50100</v>
      </c>
      <c r="G42" s="53">
        <v>2931</v>
      </c>
      <c r="H42" s="53">
        <v>170609000</v>
      </c>
      <c r="I42">
        <f t="shared" si="6"/>
        <v>58208.461276015012</v>
      </c>
    </row>
    <row r="43" spans="1:9" x14ac:dyDescent="0.3">
      <c r="A43" s="53">
        <v>70100</v>
      </c>
      <c r="B43" s="53">
        <v>1330</v>
      </c>
      <c r="C43" s="53">
        <v>109571000</v>
      </c>
      <c r="D43" s="54">
        <v>2.0332378890040608</v>
      </c>
      <c r="F43" s="53">
        <v>70100</v>
      </c>
      <c r="G43" s="53">
        <v>1330</v>
      </c>
      <c r="H43" s="53">
        <v>109571000</v>
      </c>
      <c r="I43">
        <f t="shared" si="6"/>
        <v>82384.210526315786</v>
      </c>
    </row>
    <row r="44" spans="1:9" x14ac:dyDescent="0.3">
      <c r="A44" s="53">
        <v>100100</v>
      </c>
      <c r="B44" s="53">
        <v>802</v>
      </c>
      <c r="C44" s="53">
        <v>107386000</v>
      </c>
      <c r="D44" s="54">
        <v>2.1057355613669606</v>
      </c>
      <c r="F44" s="53">
        <v>100100</v>
      </c>
      <c r="G44" s="53">
        <v>802</v>
      </c>
      <c r="H44" s="53">
        <v>107386000</v>
      </c>
      <c r="I44">
        <f t="shared" si="6"/>
        <v>133897.75561097256</v>
      </c>
    </row>
    <row r="45" spans="1:9" x14ac:dyDescent="0.3">
      <c r="A45" s="53">
        <v>200100</v>
      </c>
      <c r="B45" s="53">
        <v>285</v>
      </c>
      <c r="C45" s="53">
        <v>74283000</v>
      </c>
      <c r="D45" s="54">
        <v>1.8862595729162446</v>
      </c>
      <c r="F45" s="53">
        <v>200100</v>
      </c>
      <c r="G45" s="53">
        <v>285</v>
      </c>
      <c r="H45" s="53">
        <v>74283000</v>
      </c>
      <c r="I45">
        <f t="shared" si="6"/>
        <v>260642.10526315789</v>
      </c>
    </row>
    <row r="46" spans="1:9" x14ac:dyDescent="0.3">
      <c r="A46" s="53">
        <v>400000</v>
      </c>
      <c r="B46" s="53">
        <v>85</v>
      </c>
      <c r="C46" s="53">
        <v>65370000</v>
      </c>
      <c r="D46" s="54">
        <v>1.9226470588235296</v>
      </c>
      <c r="F46" s="53">
        <v>400000</v>
      </c>
      <c r="G46" s="53">
        <v>85</v>
      </c>
      <c r="H46" s="53">
        <v>65370000</v>
      </c>
      <c r="I46">
        <f t="shared" si="6"/>
        <v>769058.82352941181</v>
      </c>
    </row>
    <row r="47" spans="1:9" x14ac:dyDescent="0.3">
      <c r="A47" s="51" t="s">
        <v>56</v>
      </c>
      <c r="B47" s="51" t="s">
        <v>68</v>
      </c>
      <c r="C47" s="51" t="s">
        <v>69</v>
      </c>
      <c r="D47" s="52" t="s">
        <v>59</v>
      </c>
    </row>
    <row r="48" spans="1:9" x14ac:dyDescent="0.3">
      <c r="A48" s="53">
        <v>15100</v>
      </c>
      <c r="B48" s="53">
        <v>440474</v>
      </c>
      <c r="C48" s="53">
        <v>7741784000</v>
      </c>
      <c r="D48" s="54">
        <v>2.0298380518488166</v>
      </c>
      <c r="F48" s="53">
        <v>15100</v>
      </c>
      <c r="G48" s="53">
        <v>440474</v>
      </c>
      <c r="H48" s="53">
        <v>7741784000</v>
      </c>
      <c r="I48">
        <f>H48/G48</f>
        <v>17576.029459173526</v>
      </c>
    </row>
    <row r="49" spans="1:9" x14ac:dyDescent="0.3">
      <c r="A49" s="53">
        <v>20100</v>
      </c>
      <c r="B49" s="53">
        <v>417627</v>
      </c>
      <c r="C49" s="53">
        <v>9420178000</v>
      </c>
      <c r="D49" s="54">
        <v>1.6846117717264633</v>
      </c>
      <c r="F49" s="53">
        <v>20100</v>
      </c>
      <c r="G49" s="53">
        <v>417627</v>
      </c>
      <c r="H49" s="53">
        <v>9420178000</v>
      </c>
      <c r="I49">
        <f t="shared" ref="I49:I57" si="7">H49/G49</f>
        <v>22556.439119118255</v>
      </c>
    </row>
    <row r="50" spans="1:9" x14ac:dyDescent="0.3">
      <c r="A50" s="53">
        <v>25100</v>
      </c>
      <c r="B50" s="53">
        <v>382052</v>
      </c>
      <c r="C50" s="53">
        <v>10496382000</v>
      </c>
      <c r="D50" s="54">
        <v>1.4856854312024026</v>
      </c>
      <c r="F50" s="53">
        <v>25100</v>
      </c>
      <c r="G50" s="53">
        <v>382052</v>
      </c>
      <c r="H50" s="53">
        <v>10496382000</v>
      </c>
      <c r="I50">
        <f t="shared" si="7"/>
        <v>27473.699915194789</v>
      </c>
    </row>
    <row r="51" spans="1:9" x14ac:dyDescent="0.3">
      <c r="A51" s="53">
        <v>30100</v>
      </c>
      <c r="B51" s="53">
        <v>492721</v>
      </c>
      <c r="C51" s="53">
        <v>16980272000</v>
      </c>
      <c r="D51" s="54">
        <v>1.3642106120485094</v>
      </c>
      <c r="F51" s="53">
        <v>30100</v>
      </c>
      <c r="G51" s="53">
        <v>492721</v>
      </c>
      <c r="H51" s="53">
        <v>16980272000</v>
      </c>
      <c r="I51">
        <f t="shared" si="7"/>
        <v>34462.245368068339</v>
      </c>
    </row>
    <row r="52" spans="1:9" x14ac:dyDescent="0.3">
      <c r="A52" s="53">
        <v>40100</v>
      </c>
      <c r="B52" s="53">
        <v>226263</v>
      </c>
      <c r="C52" s="53">
        <v>1049703000</v>
      </c>
      <c r="D52" s="54">
        <v>1.1856963001608456</v>
      </c>
      <c r="F52" s="53">
        <v>40100</v>
      </c>
      <c r="G52" s="53">
        <v>226263</v>
      </c>
      <c r="H52" s="53">
        <v>10497030000</v>
      </c>
      <c r="I52">
        <f t="shared" si="7"/>
        <v>46393.047029341964</v>
      </c>
    </row>
    <row r="53" spans="1:9" x14ac:dyDescent="0.3">
      <c r="A53" s="53">
        <v>50100</v>
      </c>
      <c r="B53" s="53">
        <v>162295</v>
      </c>
      <c r="C53" s="53">
        <v>9403794000</v>
      </c>
      <c r="D53" s="54">
        <v>1.6528214024309416</v>
      </c>
      <c r="F53" s="53">
        <v>50100</v>
      </c>
      <c r="G53" s="53">
        <v>162295</v>
      </c>
      <c r="H53" s="53">
        <v>9403794000</v>
      </c>
      <c r="I53">
        <f t="shared" si="7"/>
        <v>57942.598354847651</v>
      </c>
    </row>
    <row r="54" spans="1:9" x14ac:dyDescent="0.3">
      <c r="A54" s="53">
        <v>70100</v>
      </c>
      <c r="B54" s="53">
        <v>65914</v>
      </c>
      <c r="C54" s="53">
        <v>5395631000</v>
      </c>
      <c r="D54" s="54">
        <v>1.690499392738914</v>
      </c>
      <c r="F54" s="53">
        <v>70100</v>
      </c>
      <c r="G54" s="53">
        <v>65914</v>
      </c>
      <c r="H54" s="53">
        <v>5395631000</v>
      </c>
      <c r="I54">
        <f t="shared" si="7"/>
        <v>81858.649148890981</v>
      </c>
    </row>
    <row r="55" spans="1:9" x14ac:dyDescent="0.3">
      <c r="A55" s="53">
        <v>100100</v>
      </c>
      <c r="B55" s="53">
        <v>38268</v>
      </c>
      <c r="C55" s="53">
        <v>4985708000</v>
      </c>
      <c r="D55" s="54">
        <v>1.6958939714955501</v>
      </c>
      <c r="F55" s="53">
        <v>100100</v>
      </c>
      <c r="G55" s="53">
        <v>38268</v>
      </c>
      <c r="H55" s="53">
        <v>4985708000</v>
      </c>
      <c r="I55">
        <f t="shared" si="7"/>
        <v>130283.99707327271</v>
      </c>
    </row>
    <row r="56" spans="1:9" x14ac:dyDescent="0.3">
      <c r="A56" s="53">
        <v>200100</v>
      </c>
      <c r="B56" s="53">
        <v>7154</v>
      </c>
      <c r="C56" s="53">
        <v>1914296000</v>
      </c>
      <c r="D56" s="54">
        <v>1.7006364733641308</v>
      </c>
      <c r="F56" s="53">
        <v>200100</v>
      </c>
      <c r="G56" s="53">
        <v>7154</v>
      </c>
      <c r="H56" s="53">
        <v>1914296000</v>
      </c>
      <c r="I56">
        <f t="shared" si="7"/>
        <v>267584.0089460442</v>
      </c>
    </row>
    <row r="57" spans="1:9" x14ac:dyDescent="0.3">
      <c r="A57" s="53">
        <v>400000</v>
      </c>
      <c r="B57" s="53">
        <v>1704</v>
      </c>
      <c r="C57" s="53">
        <v>1100058000</v>
      </c>
      <c r="D57" s="54">
        <v>1.6139348591549296</v>
      </c>
      <c r="F57" s="53">
        <v>400000</v>
      </c>
      <c r="G57" s="53">
        <v>1704</v>
      </c>
      <c r="H57" s="53">
        <v>1100058000</v>
      </c>
      <c r="I57">
        <f t="shared" si="7"/>
        <v>645573.94366197183</v>
      </c>
    </row>
    <row r="58" spans="1:9" x14ac:dyDescent="0.3">
      <c r="A58" s="51" t="s">
        <v>56</v>
      </c>
      <c r="B58" s="51" t="s">
        <v>70</v>
      </c>
      <c r="C58" s="51" t="s">
        <v>71</v>
      </c>
      <c r="D58" s="52" t="s">
        <v>59</v>
      </c>
    </row>
    <row r="59" spans="1:9" x14ac:dyDescent="0.3">
      <c r="A59" s="53">
        <v>16500</v>
      </c>
      <c r="B59" s="53">
        <v>260685</v>
      </c>
      <c r="C59" s="53">
        <v>4799321000</v>
      </c>
      <c r="D59" s="54">
        <v>2.3165520468875362</v>
      </c>
      <c r="F59" s="53">
        <v>15100</v>
      </c>
      <c r="G59" s="2">
        <v>358948.33528483548</v>
      </c>
      <c r="H59" s="2">
        <v>6308886515.2875652</v>
      </c>
    </row>
    <row r="60" spans="1:9" x14ac:dyDescent="0.3">
      <c r="A60" s="53">
        <v>20100</v>
      </c>
      <c r="B60" s="53">
        <v>340330</v>
      </c>
      <c r="C60" s="53">
        <v>7647754000</v>
      </c>
      <c r="D60" s="54">
        <v>2.0788370117027362</v>
      </c>
      <c r="F60" s="53">
        <v>20100</v>
      </c>
      <c r="G60" s="55">
        <v>340330</v>
      </c>
      <c r="H60" s="55">
        <v>7647754000</v>
      </c>
    </row>
    <row r="61" spans="1:9" x14ac:dyDescent="0.3">
      <c r="A61" s="53">
        <v>25100</v>
      </c>
      <c r="B61" s="53">
        <v>273396</v>
      </c>
      <c r="C61" s="53">
        <v>7506741000</v>
      </c>
      <c r="D61" s="54">
        <v>1.9006702796808017</v>
      </c>
      <c r="F61" s="53">
        <v>25100</v>
      </c>
      <c r="G61" s="55">
        <v>273396</v>
      </c>
      <c r="H61" s="55">
        <v>7506741000</v>
      </c>
    </row>
    <row r="62" spans="1:9" x14ac:dyDescent="0.3">
      <c r="A62" s="53">
        <v>30100</v>
      </c>
      <c r="B62" s="53">
        <v>360581</v>
      </c>
      <c r="C62" s="53">
        <v>12469148000</v>
      </c>
      <c r="D62" s="54">
        <v>1.8048273849574392</v>
      </c>
      <c r="F62" s="53">
        <v>30100</v>
      </c>
      <c r="G62" s="55">
        <v>360581</v>
      </c>
      <c r="H62" s="55">
        <v>12469148000</v>
      </c>
    </row>
    <row r="63" spans="1:9" x14ac:dyDescent="0.3">
      <c r="A63" s="53">
        <v>40100</v>
      </c>
      <c r="B63" s="53">
        <v>190038</v>
      </c>
      <c r="C63" s="53">
        <v>8462120000</v>
      </c>
      <c r="D63" s="54">
        <v>1.7278303583315635</v>
      </c>
      <c r="F63" s="53">
        <v>40100</v>
      </c>
      <c r="G63" s="55">
        <v>190038</v>
      </c>
      <c r="H63" s="55">
        <v>8462120000</v>
      </c>
    </row>
    <row r="64" spans="1:9" x14ac:dyDescent="0.3">
      <c r="A64" s="53">
        <v>50100</v>
      </c>
      <c r="B64" s="53">
        <v>155051</v>
      </c>
      <c r="C64" s="53">
        <v>9027136000</v>
      </c>
      <c r="D64" s="54">
        <v>1.7114871864141745</v>
      </c>
      <c r="F64" s="53">
        <v>50100</v>
      </c>
      <c r="G64" s="55">
        <v>155051</v>
      </c>
      <c r="H64" s="55">
        <v>9027136000</v>
      </c>
    </row>
    <row r="65" spans="1:8" x14ac:dyDescent="0.3">
      <c r="A65" s="53">
        <v>70100</v>
      </c>
      <c r="B65" s="53">
        <v>73530</v>
      </c>
      <c r="C65" s="53">
        <v>6040800000</v>
      </c>
      <c r="D65" s="54">
        <v>1.6886679611660651</v>
      </c>
      <c r="F65" s="53">
        <v>70100</v>
      </c>
      <c r="G65" s="55">
        <v>73530</v>
      </c>
      <c r="H65" s="55">
        <v>6040800000</v>
      </c>
    </row>
    <row r="66" spans="1:8" x14ac:dyDescent="0.3">
      <c r="A66" s="53">
        <v>100100</v>
      </c>
      <c r="B66" s="53">
        <v>47864</v>
      </c>
      <c r="C66" s="53">
        <v>6334187000</v>
      </c>
      <c r="D66" s="54">
        <v>1.6472190645740756</v>
      </c>
      <c r="F66" s="53">
        <v>100100</v>
      </c>
      <c r="G66" s="55">
        <v>47864</v>
      </c>
      <c r="H66" s="55">
        <v>6334187000</v>
      </c>
    </row>
    <row r="67" spans="1:8" x14ac:dyDescent="0.3">
      <c r="A67" s="53">
        <v>200100</v>
      </c>
      <c r="B67" s="53">
        <v>7745</v>
      </c>
      <c r="C67" s="53">
        <v>2031150000</v>
      </c>
      <c r="D67" s="54">
        <v>1.6523901045540641</v>
      </c>
      <c r="F67" s="53">
        <v>200100</v>
      </c>
      <c r="G67" s="55">
        <v>7745</v>
      </c>
      <c r="H67" s="55">
        <v>2031150000</v>
      </c>
    </row>
    <row r="68" spans="1:8" x14ac:dyDescent="0.3">
      <c r="A68" s="53">
        <v>400000</v>
      </c>
      <c r="B68" s="53">
        <v>1654</v>
      </c>
      <c r="C68" s="53">
        <v>1076566000</v>
      </c>
      <c r="D68" s="54">
        <v>1.6272158403869408</v>
      </c>
      <c r="F68" s="53">
        <v>400000</v>
      </c>
      <c r="G68" s="55">
        <v>1654</v>
      </c>
      <c r="H68" s="55">
        <v>1076566000</v>
      </c>
    </row>
    <row r="69" spans="1:8" x14ac:dyDescent="0.3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3">
      <c r="A70" s="53">
        <v>19250</v>
      </c>
      <c r="B70" s="53">
        <v>19155</v>
      </c>
      <c r="C70" s="53">
        <v>379502000</v>
      </c>
      <c r="D70" s="54">
        <v>2.2183869280041022</v>
      </c>
      <c r="F70" s="53">
        <v>15100</v>
      </c>
      <c r="G70" s="2">
        <v>172020.55530892397</v>
      </c>
      <c r="H70" s="2">
        <v>3023438347.693037</v>
      </c>
    </row>
    <row r="71" spans="1:8" x14ac:dyDescent="0.3">
      <c r="A71" s="53">
        <v>20100</v>
      </c>
      <c r="B71" s="53">
        <v>163098</v>
      </c>
      <c r="C71" s="53">
        <v>3659677000</v>
      </c>
      <c r="D71" s="54">
        <v>2.1608151929934238</v>
      </c>
      <c r="F71" s="53">
        <v>20100</v>
      </c>
      <c r="G71" s="55">
        <v>163098</v>
      </c>
      <c r="H71" s="55">
        <v>3659677000</v>
      </c>
    </row>
    <row r="72" spans="1:8" x14ac:dyDescent="0.3">
      <c r="A72" s="53">
        <v>25100</v>
      </c>
      <c r="B72" s="53">
        <v>111550</v>
      </c>
      <c r="C72" s="53">
        <v>3055663000</v>
      </c>
      <c r="D72" s="54">
        <v>2.0412136104619378</v>
      </c>
      <c r="F72" s="53">
        <v>25100</v>
      </c>
      <c r="G72" s="55">
        <v>111550</v>
      </c>
      <c r="H72" s="55">
        <v>3055663000</v>
      </c>
    </row>
    <row r="73" spans="1:8" x14ac:dyDescent="0.3">
      <c r="A73" s="53">
        <v>30100</v>
      </c>
      <c r="B73" s="53">
        <v>128656</v>
      </c>
      <c r="C73" s="53">
        <v>4439166000</v>
      </c>
      <c r="D73" s="54">
        <v>1.9720859791306118</v>
      </c>
      <c r="F73" s="53">
        <v>30100</v>
      </c>
      <c r="G73" s="55">
        <v>128656</v>
      </c>
      <c r="H73" s="55">
        <v>4439166000</v>
      </c>
    </row>
    <row r="74" spans="1:8" x14ac:dyDescent="0.3">
      <c r="A74" s="53">
        <v>40100</v>
      </c>
      <c r="B74" s="53">
        <v>67511</v>
      </c>
      <c r="C74" s="53">
        <v>3010483000</v>
      </c>
      <c r="D74" s="54">
        <v>1.8817170374242087</v>
      </c>
      <c r="F74" s="53">
        <v>40100</v>
      </c>
      <c r="G74" s="55">
        <v>67511</v>
      </c>
      <c r="H74" s="55">
        <v>3010483000</v>
      </c>
    </row>
    <row r="75" spans="1:8" x14ac:dyDescent="0.3">
      <c r="A75" s="53">
        <v>50100</v>
      </c>
      <c r="B75" s="53">
        <v>63043</v>
      </c>
      <c r="C75" s="53">
        <v>3689543000</v>
      </c>
      <c r="D75" s="54">
        <v>1.823251353151202</v>
      </c>
      <c r="F75" s="53">
        <v>50100</v>
      </c>
      <c r="G75" s="55">
        <v>63043</v>
      </c>
      <c r="H75" s="55">
        <v>3689543000</v>
      </c>
    </row>
    <row r="76" spans="1:8" x14ac:dyDescent="0.3">
      <c r="A76" s="53">
        <v>70100</v>
      </c>
      <c r="B76" s="53">
        <v>36116</v>
      </c>
      <c r="C76" s="53">
        <v>2984245000</v>
      </c>
      <c r="D76" s="54">
        <v>1.7364638243728925</v>
      </c>
      <c r="F76" s="53">
        <v>70100</v>
      </c>
      <c r="G76" s="55">
        <v>36116</v>
      </c>
      <c r="H76" s="55">
        <v>2984245000</v>
      </c>
    </row>
    <row r="77" spans="1:8" x14ac:dyDescent="0.3">
      <c r="A77" s="53">
        <v>100100</v>
      </c>
      <c r="B77" s="53">
        <v>26175</v>
      </c>
      <c r="C77" s="53">
        <v>3488507000</v>
      </c>
      <c r="D77" s="54">
        <v>1.6570106563541807</v>
      </c>
      <c r="F77" s="53">
        <v>100100</v>
      </c>
      <c r="G77" s="55">
        <v>26175</v>
      </c>
      <c r="H77" s="55">
        <v>3488507000</v>
      </c>
    </row>
    <row r="78" spans="1:8" x14ac:dyDescent="0.3">
      <c r="A78" s="53">
        <v>200100</v>
      </c>
      <c r="B78" s="53">
        <v>4920</v>
      </c>
      <c r="C78" s="53">
        <v>1266405000</v>
      </c>
      <c r="D78" s="54">
        <v>1.5621747089991298</v>
      </c>
      <c r="F78" s="53">
        <v>200100</v>
      </c>
      <c r="G78" s="55">
        <v>4920</v>
      </c>
      <c r="H78" s="55">
        <v>1266405000</v>
      </c>
    </row>
    <row r="79" spans="1:8" x14ac:dyDescent="0.3">
      <c r="A79" s="53">
        <v>400000</v>
      </c>
      <c r="B79" s="53">
        <v>894</v>
      </c>
      <c r="C79" s="53">
        <v>551000000</v>
      </c>
      <c r="D79" s="54">
        <v>1.54082774049217</v>
      </c>
      <c r="F79" s="53">
        <v>400000</v>
      </c>
      <c r="G79" s="55">
        <v>894</v>
      </c>
      <c r="H79" s="55">
        <v>551000000</v>
      </c>
    </row>
    <row r="80" spans="1:8" x14ac:dyDescent="0.3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3">
      <c r="A81" s="53">
        <v>15100</v>
      </c>
      <c r="B81" s="53"/>
      <c r="C81" s="53"/>
      <c r="D81" s="54"/>
      <c r="F81" s="53">
        <v>15100</v>
      </c>
      <c r="G81" s="2">
        <v>61500.239948679489</v>
      </c>
      <c r="H81" s="2">
        <v>1080930029.0842314</v>
      </c>
    </row>
    <row r="82" spans="1:8" x14ac:dyDescent="0.3">
      <c r="A82" s="53">
        <v>22000</v>
      </c>
      <c r="B82" s="53">
        <v>30912</v>
      </c>
      <c r="C82" s="53">
        <v>730637000</v>
      </c>
      <c r="D82" s="54">
        <v>2.1908691446117974</v>
      </c>
      <c r="F82" s="53">
        <v>20100</v>
      </c>
      <c r="G82" s="2">
        <v>58310.276450022415</v>
      </c>
      <c r="H82" s="2">
        <v>1308396041.5688033</v>
      </c>
    </row>
    <row r="83" spans="1:8" x14ac:dyDescent="0.3">
      <c r="A83" s="53">
        <v>25100</v>
      </c>
      <c r="B83" s="53">
        <v>39881</v>
      </c>
      <c r="C83" s="53">
        <v>1090781000</v>
      </c>
      <c r="D83" s="54">
        <v>2.1289010544034088</v>
      </c>
      <c r="F83" s="53">
        <v>25100</v>
      </c>
      <c r="G83" s="55">
        <v>39881</v>
      </c>
      <c r="H83" s="55">
        <v>1090781000</v>
      </c>
    </row>
    <row r="84" spans="1:8" x14ac:dyDescent="0.3">
      <c r="A84" s="53">
        <v>30100</v>
      </c>
      <c r="B84" s="53">
        <v>39632</v>
      </c>
      <c r="C84" s="53">
        <v>1363428000</v>
      </c>
      <c r="D84" s="54">
        <v>2.104021079161416</v>
      </c>
      <c r="F84" s="53">
        <v>30100</v>
      </c>
      <c r="G84" s="55">
        <v>39632</v>
      </c>
      <c r="H84" s="55">
        <v>1363428000</v>
      </c>
    </row>
    <row r="85" spans="1:8" x14ac:dyDescent="0.3">
      <c r="A85" s="53">
        <v>40100</v>
      </c>
      <c r="B85" s="53">
        <v>19824</v>
      </c>
      <c r="C85" s="53">
        <v>884851000</v>
      </c>
      <c r="D85" s="54">
        <v>2.0158812350279538</v>
      </c>
      <c r="F85" s="53">
        <v>40100</v>
      </c>
      <c r="G85" s="55">
        <v>19824</v>
      </c>
      <c r="H85" s="55">
        <v>884851000</v>
      </c>
    </row>
    <row r="86" spans="1:8" x14ac:dyDescent="0.3">
      <c r="A86" s="53">
        <v>50100</v>
      </c>
      <c r="B86" s="53">
        <v>19910</v>
      </c>
      <c r="C86" s="53">
        <v>1169824000</v>
      </c>
      <c r="D86" s="54">
        <v>1.927169331660094</v>
      </c>
      <c r="F86" s="53">
        <v>50100</v>
      </c>
      <c r="G86" s="55">
        <v>19910</v>
      </c>
      <c r="H86" s="55">
        <v>1169824000</v>
      </c>
    </row>
    <row r="87" spans="1:8" x14ac:dyDescent="0.3">
      <c r="A87" s="53">
        <v>70100</v>
      </c>
      <c r="B87" s="53">
        <v>12926</v>
      </c>
      <c r="C87" s="53">
        <v>1070666000</v>
      </c>
      <c r="D87" s="54">
        <v>1.7940751038139711</v>
      </c>
      <c r="F87" s="53">
        <v>70100</v>
      </c>
      <c r="G87" s="55">
        <v>12926</v>
      </c>
      <c r="H87" s="55">
        <v>1070666000</v>
      </c>
    </row>
    <row r="88" spans="1:8" x14ac:dyDescent="0.3">
      <c r="A88" s="53">
        <v>100100</v>
      </c>
      <c r="B88" s="53">
        <v>10329</v>
      </c>
      <c r="C88" s="53">
        <v>1382253000</v>
      </c>
      <c r="D88" s="54">
        <v>1.6884121099815015</v>
      </c>
      <c r="F88" s="53">
        <v>100100</v>
      </c>
      <c r="G88" s="55">
        <v>10329</v>
      </c>
      <c r="H88" s="55">
        <v>1382253000</v>
      </c>
    </row>
    <row r="89" spans="1:8" x14ac:dyDescent="0.3">
      <c r="A89" s="53">
        <v>200100</v>
      </c>
      <c r="B89" s="53">
        <v>2146</v>
      </c>
      <c r="C89" s="53">
        <v>549460000</v>
      </c>
      <c r="D89" s="54">
        <v>1.5700077277655102</v>
      </c>
      <c r="F89" s="53">
        <v>200100</v>
      </c>
      <c r="G89" s="55">
        <v>2146</v>
      </c>
      <c r="H89" s="55">
        <v>549460000</v>
      </c>
    </row>
    <row r="90" spans="1:8" x14ac:dyDescent="0.3">
      <c r="A90" s="53">
        <v>400000</v>
      </c>
      <c r="B90" s="53">
        <v>358</v>
      </c>
      <c r="C90" s="53">
        <v>237193000</v>
      </c>
      <c r="D90" s="54">
        <v>1.6563756983240223</v>
      </c>
      <c r="F90" s="53">
        <v>400000</v>
      </c>
      <c r="G90" s="55">
        <v>358</v>
      </c>
      <c r="H90" s="55">
        <v>237193000</v>
      </c>
    </row>
    <row r="91" spans="1:8" x14ac:dyDescent="0.3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3">
      <c r="A92" s="53">
        <v>15100</v>
      </c>
      <c r="B92" s="53"/>
      <c r="C92" s="53"/>
      <c r="D92" s="54"/>
      <c r="F92" s="53">
        <v>15100</v>
      </c>
      <c r="G92" s="2">
        <v>22858.455323569524</v>
      </c>
      <c r="H92" s="2">
        <v>401760884.15825993</v>
      </c>
    </row>
    <row r="93" spans="1:8" x14ac:dyDescent="0.3">
      <c r="A93" s="53">
        <v>24750</v>
      </c>
      <c r="B93" s="53">
        <v>15</v>
      </c>
      <c r="C93" s="53">
        <v>375000</v>
      </c>
      <c r="D93" s="54">
        <v>2.1309993611284685</v>
      </c>
      <c r="F93" s="53">
        <v>20100</v>
      </c>
      <c r="G93" s="2">
        <v>21672.807297176158</v>
      </c>
      <c r="H93" s="2">
        <v>486305622.33079344</v>
      </c>
    </row>
    <row r="94" spans="1:8" x14ac:dyDescent="0.3">
      <c r="A94" s="53">
        <v>25100</v>
      </c>
      <c r="B94" s="53">
        <v>14823</v>
      </c>
      <c r="C94" s="53">
        <v>405792000</v>
      </c>
      <c r="D94" s="54">
        <v>2.1016224813887634</v>
      </c>
      <c r="F94" s="53">
        <v>25100</v>
      </c>
      <c r="G94" s="55">
        <v>14823</v>
      </c>
      <c r="H94" s="55">
        <v>405792000</v>
      </c>
    </row>
    <row r="95" spans="1:8" x14ac:dyDescent="0.3">
      <c r="A95" s="53">
        <v>30100</v>
      </c>
      <c r="B95" s="53">
        <v>13764</v>
      </c>
      <c r="C95" s="53">
        <v>471807000</v>
      </c>
      <c r="D95" s="54">
        <v>2.1179943703006687</v>
      </c>
      <c r="F95" s="53">
        <v>30100</v>
      </c>
      <c r="G95" s="55">
        <v>13764</v>
      </c>
      <c r="H95" s="55">
        <v>471807000</v>
      </c>
    </row>
    <row r="96" spans="1:8" x14ac:dyDescent="0.3">
      <c r="A96" s="53">
        <v>40100</v>
      </c>
      <c r="B96" s="53">
        <v>5877</v>
      </c>
      <c r="C96" s="53">
        <v>262035000</v>
      </c>
      <c r="D96" s="54">
        <v>2.0850661323389037</v>
      </c>
      <c r="F96" s="53">
        <v>40100</v>
      </c>
      <c r="G96" s="55">
        <v>5877</v>
      </c>
      <c r="H96" s="55">
        <v>262035000</v>
      </c>
    </row>
    <row r="97" spans="1:8" x14ac:dyDescent="0.3">
      <c r="A97" s="53">
        <v>50100</v>
      </c>
      <c r="B97" s="53">
        <v>5885</v>
      </c>
      <c r="C97" s="53">
        <v>346169000</v>
      </c>
      <c r="D97" s="54">
        <v>1.983510641946348</v>
      </c>
      <c r="F97" s="53">
        <v>50100</v>
      </c>
      <c r="G97" s="55">
        <v>5885</v>
      </c>
      <c r="H97" s="55">
        <v>346169000</v>
      </c>
    </row>
    <row r="98" spans="1:8" x14ac:dyDescent="0.3">
      <c r="A98" s="53">
        <v>70100</v>
      </c>
      <c r="B98" s="53">
        <v>4196</v>
      </c>
      <c r="C98" s="53">
        <v>348127000</v>
      </c>
      <c r="D98" s="54">
        <v>1.8104891783479704</v>
      </c>
      <c r="F98" s="53">
        <v>70100</v>
      </c>
      <c r="G98" s="55">
        <v>4196</v>
      </c>
      <c r="H98" s="55">
        <v>348127000</v>
      </c>
    </row>
    <row r="99" spans="1:8" x14ac:dyDescent="0.3">
      <c r="A99" s="53">
        <v>100100</v>
      </c>
      <c r="B99" s="53">
        <v>3596</v>
      </c>
      <c r="C99" s="53">
        <v>480845000</v>
      </c>
      <c r="D99" s="54">
        <v>1.6801144704478783</v>
      </c>
      <c r="F99" s="53">
        <v>100100</v>
      </c>
      <c r="G99" s="55">
        <v>3596</v>
      </c>
      <c r="H99" s="55">
        <v>480845000</v>
      </c>
    </row>
    <row r="100" spans="1:8" x14ac:dyDescent="0.3">
      <c r="A100" s="53">
        <v>200100</v>
      </c>
      <c r="B100" s="53">
        <v>769</v>
      </c>
      <c r="C100" s="53">
        <v>197240000</v>
      </c>
      <c r="D100" s="54">
        <v>1.549906604544234</v>
      </c>
      <c r="F100" s="53">
        <v>200100</v>
      </c>
      <c r="G100" s="55">
        <v>769</v>
      </c>
      <c r="H100" s="55">
        <v>197240000</v>
      </c>
    </row>
    <row r="101" spans="1:8" x14ac:dyDescent="0.3">
      <c r="A101" s="53">
        <v>400000</v>
      </c>
      <c r="B101" s="53">
        <v>104</v>
      </c>
      <c r="C101" s="53">
        <v>73509000</v>
      </c>
      <c r="D101" s="54">
        <v>1.7670432692307694</v>
      </c>
      <c r="F101" s="53">
        <v>400000</v>
      </c>
      <c r="G101" s="55">
        <v>104</v>
      </c>
      <c r="H101" s="55">
        <v>73509000</v>
      </c>
    </row>
    <row r="102" spans="1:8" x14ac:dyDescent="0.3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3">
      <c r="A103" s="53">
        <v>15100</v>
      </c>
      <c r="B103" s="53"/>
      <c r="C103" s="53"/>
      <c r="D103" s="54"/>
      <c r="F103" s="53">
        <v>15100</v>
      </c>
      <c r="G103" s="2">
        <v>9354.9606827715143</v>
      </c>
      <c r="H103" s="2">
        <v>164423064.54980224</v>
      </c>
    </row>
    <row r="104" spans="1:8" x14ac:dyDescent="0.3">
      <c r="A104" s="53">
        <v>20100</v>
      </c>
      <c r="B104" s="53"/>
      <c r="C104" s="53"/>
      <c r="D104" s="54"/>
      <c r="F104" s="53">
        <v>20100</v>
      </c>
      <c r="G104" s="2">
        <v>8869.7270782471151</v>
      </c>
      <c r="H104" s="2">
        <v>199023508.47060153</v>
      </c>
    </row>
    <row r="105" spans="1:8" x14ac:dyDescent="0.3">
      <c r="A105" s="53">
        <v>27500</v>
      </c>
      <c r="B105" s="53">
        <v>2264</v>
      </c>
      <c r="C105" s="53">
        <v>65539000</v>
      </c>
      <c r="D105" s="54">
        <v>2.1056392543053821</v>
      </c>
      <c r="F105" s="53">
        <v>25100</v>
      </c>
      <c r="G105" s="2">
        <v>6066.4021360069746</v>
      </c>
      <c r="H105" s="2">
        <v>166072823.01656497</v>
      </c>
    </row>
    <row r="106" spans="1:8" x14ac:dyDescent="0.3">
      <c r="A106" s="53">
        <v>30100</v>
      </c>
      <c r="B106" s="53">
        <v>5633</v>
      </c>
      <c r="C106" s="53">
        <v>192300000</v>
      </c>
      <c r="D106" s="54">
        <v>2.0968895414859849</v>
      </c>
      <c r="F106" s="53">
        <v>30100</v>
      </c>
      <c r="G106" s="55">
        <v>5633</v>
      </c>
      <c r="H106" s="55">
        <v>192300000</v>
      </c>
    </row>
    <row r="107" spans="1:8" x14ac:dyDescent="0.3">
      <c r="A107" s="53">
        <v>40100</v>
      </c>
      <c r="B107" s="53">
        <v>2058</v>
      </c>
      <c r="C107" s="53">
        <v>91666000</v>
      </c>
      <c r="D107" s="54">
        <v>2.1599377115007212</v>
      </c>
      <c r="F107" s="53">
        <v>40100</v>
      </c>
      <c r="G107" s="55">
        <v>2058</v>
      </c>
      <c r="H107" s="55">
        <v>91666000</v>
      </c>
    </row>
    <row r="108" spans="1:8" x14ac:dyDescent="0.3">
      <c r="A108" s="53">
        <v>50100</v>
      </c>
      <c r="B108" s="53">
        <v>1886</v>
      </c>
      <c r="C108" s="53">
        <v>110690000</v>
      </c>
      <c r="D108" s="54">
        <v>2.0823070569844155</v>
      </c>
      <c r="F108" s="53">
        <v>50100</v>
      </c>
      <c r="G108" s="55">
        <v>1886</v>
      </c>
      <c r="H108" s="55">
        <v>110690000</v>
      </c>
    </row>
    <row r="109" spans="1:8" x14ac:dyDescent="0.3">
      <c r="A109" s="53">
        <v>70100</v>
      </c>
      <c r="B109" s="53">
        <v>1416</v>
      </c>
      <c r="C109" s="53">
        <v>117926000</v>
      </c>
      <c r="D109" s="54">
        <v>1.8970473178747072</v>
      </c>
      <c r="F109" s="53">
        <v>70100</v>
      </c>
      <c r="G109" s="55">
        <v>1416</v>
      </c>
      <c r="H109" s="55">
        <v>117926000</v>
      </c>
    </row>
    <row r="110" spans="1:8" x14ac:dyDescent="0.3">
      <c r="A110" s="53">
        <v>100100</v>
      </c>
      <c r="B110" s="53">
        <v>1235</v>
      </c>
      <c r="C110" s="53">
        <v>164968000</v>
      </c>
      <c r="D110" s="54">
        <v>1.7715240021478207</v>
      </c>
      <c r="F110" s="53">
        <v>100100</v>
      </c>
      <c r="G110" s="55">
        <v>1235</v>
      </c>
      <c r="H110" s="55">
        <v>164968000</v>
      </c>
    </row>
    <row r="111" spans="1:8" x14ac:dyDescent="0.3">
      <c r="A111" s="53">
        <v>200100</v>
      </c>
      <c r="B111" s="53">
        <v>317</v>
      </c>
      <c r="C111" s="53">
        <v>81468000</v>
      </c>
      <c r="D111" s="54">
        <v>1.6533494616328201</v>
      </c>
      <c r="F111" s="53">
        <v>200100</v>
      </c>
      <c r="G111" s="55">
        <v>317</v>
      </c>
      <c r="H111" s="55">
        <v>81468000</v>
      </c>
    </row>
    <row r="112" spans="1:8" x14ac:dyDescent="0.3">
      <c r="A112" s="53">
        <v>400000</v>
      </c>
      <c r="B112" s="53">
        <v>35</v>
      </c>
      <c r="C112" s="53">
        <v>34986000</v>
      </c>
      <c r="D112" s="54">
        <v>2.4990000000000001</v>
      </c>
      <c r="F112" s="53">
        <v>400000</v>
      </c>
      <c r="G112" s="55">
        <v>35</v>
      </c>
      <c r="H112" s="55">
        <v>34986000</v>
      </c>
    </row>
    <row r="113" spans="1:8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3">
      <c r="A114" s="53">
        <v>15100</v>
      </c>
      <c r="B114" s="53"/>
      <c r="C114" s="53"/>
      <c r="D114" s="54"/>
      <c r="F114" s="53">
        <v>15100</v>
      </c>
      <c r="G114" s="2">
        <v>3768.2830106477932</v>
      </c>
      <c r="H114" s="2">
        <v>66231453.205648735</v>
      </c>
    </row>
    <row r="115" spans="1:8" x14ac:dyDescent="0.3">
      <c r="A115" s="53">
        <v>20100</v>
      </c>
      <c r="B115" s="53"/>
      <c r="C115" s="53"/>
      <c r="D115" s="54"/>
      <c r="F115" s="53">
        <v>20100</v>
      </c>
      <c r="G115" s="2">
        <v>3572.8254763909022</v>
      </c>
      <c r="H115" s="2">
        <v>80168899.808469936</v>
      </c>
    </row>
    <row r="116" spans="1:8" x14ac:dyDescent="0.3">
      <c r="A116" s="53">
        <v>25100</v>
      </c>
      <c r="B116" s="53"/>
      <c r="C116" s="53"/>
      <c r="D116" s="54"/>
      <c r="F116" s="53">
        <v>25100</v>
      </c>
      <c r="G116" s="2">
        <v>2443.6147708212552</v>
      </c>
      <c r="H116" s="2">
        <v>66895994.406064823</v>
      </c>
    </row>
    <row r="117" spans="1:8" x14ac:dyDescent="0.3">
      <c r="A117" s="53">
        <v>30250</v>
      </c>
      <c r="B117" s="53">
        <v>2235</v>
      </c>
      <c r="C117" s="53">
        <v>77332000</v>
      </c>
      <c r="D117" s="54">
        <v>2.0053058778480457</v>
      </c>
      <c r="F117" s="53">
        <v>30100</v>
      </c>
      <c r="G117" s="2">
        <v>2269.0355329949239</v>
      </c>
      <c r="H117" s="2">
        <v>78356469.543147206</v>
      </c>
    </row>
    <row r="118" spans="1:8" x14ac:dyDescent="0.3">
      <c r="A118" s="53">
        <v>40100</v>
      </c>
      <c r="B118" s="53">
        <v>877</v>
      </c>
      <c r="C118" s="53">
        <v>38953000</v>
      </c>
      <c r="D118" s="54">
        <v>2.0761420730563045</v>
      </c>
      <c r="F118" s="53">
        <v>40100</v>
      </c>
      <c r="G118" s="55">
        <v>877</v>
      </c>
      <c r="H118" s="55">
        <v>38953000</v>
      </c>
    </row>
    <row r="119" spans="1:8" x14ac:dyDescent="0.3">
      <c r="A119" s="53">
        <v>50100</v>
      </c>
      <c r="B119" s="53">
        <v>681</v>
      </c>
      <c r="C119" s="53">
        <v>40149000</v>
      </c>
      <c r="D119" s="54">
        <v>2.0614150886938645</v>
      </c>
      <c r="F119" s="53">
        <v>50100</v>
      </c>
      <c r="G119" s="55">
        <v>681</v>
      </c>
      <c r="H119" s="55">
        <v>40149000</v>
      </c>
    </row>
    <row r="120" spans="1:8" x14ac:dyDescent="0.3">
      <c r="A120" s="53">
        <v>70100</v>
      </c>
      <c r="B120" s="53">
        <v>471</v>
      </c>
      <c r="C120" s="53">
        <v>39026000</v>
      </c>
      <c r="D120" s="54">
        <v>1.8954015272300075</v>
      </c>
      <c r="F120" s="53">
        <v>70100</v>
      </c>
      <c r="G120" s="55">
        <v>471</v>
      </c>
      <c r="H120" s="55">
        <v>39026000</v>
      </c>
    </row>
    <row r="121" spans="1:8" x14ac:dyDescent="0.3">
      <c r="A121" s="53">
        <v>100100</v>
      </c>
      <c r="B121" s="53">
        <v>426</v>
      </c>
      <c r="C121" s="53">
        <v>57754000</v>
      </c>
      <c r="D121" s="54">
        <v>1.7559671658032312</v>
      </c>
      <c r="F121" s="53">
        <v>100100</v>
      </c>
      <c r="G121" s="55">
        <v>426</v>
      </c>
      <c r="H121" s="55">
        <v>57754000</v>
      </c>
    </row>
    <row r="122" spans="1:8" x14ac:dyDescent="0.3">
      <c r="A122" s="53">
        <v>200100</v>
      </c>
      <c r="B122" s="53">
        <v>108</v>
      </c>
      <c r="C122" s="53">
        <v>27981000</v>
      </c>
      <c r="D122" s="54">
        <v>1.5742128935532234</v>
      </c>
      <c r="F122" s="53">
        <v>200100</v>
      </c>
      <c r="G122" s="55">
        <v>108</v>
      </c>
      <c r="H122" s="55">
        <v>27981000</v>
      </c>
    </row>
    <row r="123" spans="1:8" x14ac:dyDescent="0.3">
      <c r="A123" s="53">
        <v>400000</v>
      </c>
      <c r="B123" s="53">
        <v>15</v>
      </c>
      <c r="C123" s="53">
        <v>10764000</v>
      </c>
      <c r="D123" s="54">
        <v>1.794</v>
      </c>
      <c r="F123" s="53">
        <v>400000</v>
      </c>
      <c r="G123" s="55">
        <v>15</v>
      </c>
      <c r="H123" s="55">
        <v>10764000</v>
      </c>
    </row>
    <row r="124" spans="1:8" x14ac:dyDescent="0.3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3">
      <c r="A125" s="53">
        <v>15100</v>
      </c>
      <c r="B125" s="53"/>
      <c r="C125" s="53"/>
      <c r="D125" s="54"/>
      <c r="F125" s="53">
        <v>15100</v>
      </c>
      <c r="G125" s="2">
        <v>1692.9344426399437</v>
      </c>
      <c r="H125" s="2">
        <v>29755065.636289168</v>
      </c>
    </row>
    <row r="126" spans="1:8" x14ac:dyDescent="0.3">
      <c r="A126" s="53">
        <v>20100</v>
      </c>
      <c r="B126" s="53"/>
      <c r="C126" s="53"/>
      <c r="D126" s="54"/>
      <c r="F126" s="53">
        <v>20100</v>
      </c>
      <c r="G126" s="2">
        <v>1605.1234181277257</v>
      </c>
      <c r="H126" s="2">
        <v>36016586.68704351</v>
      </c>
    </row>
    <row r="127" spans="1:8" x14ac:dyDescent="0.3">
      <c r="A127" s="53">
        <v>25100</v>
      </c>
      <c r="B127" s="53"/>
      <c r="C127" s="53"/>
      <c r="D127" s="54"/>
      <c r="F127" s="53">
        <v>25100</v>
      </c>
      <c r="G127" s="2">
        <v>1097.8155298786482</v>
      </c>
      <c r="H127" s="2">
        <v>30053616.643089551</v>
      </c>
    </row>
    <row r="128" spans="1:8" x14ac:dyDescent="0.3">
      <c r="A128" s="53">
        <v>33000</v>
      </c>
      <c r="B128" s="53">
        <v>691</v>
      </c>
      <c r="C128" s="53">
        <v>25114000</v>
      </c>
      <c r="D128" s="54">
        <v>1.8119065808141439</v>
      </c>
      <c r="F128" s="53">
        <v>30100</v>
      </c>
      <c r="G128" s="2">
        <v>1019.3842645381984</v>
      </c>
      <c r="H128" s="2">
        <v>35202336.374002278</v>
      </c>
    </row>
    <row r="129" spans="1:8" x14ac:dyDescent="0.3">
      <c r="A129" s="53">
        <v>40100</v>
      </c>
      <c r="B129" s="53">
        <v>394</v>
      </c>
      <c r="C129" s="53">
        <v>17378000</v>
      </c>
      <c r="D129" s="54">
        <v>1.9055182556429437</v>
      </c>
      <c r="F129" s="53">
        <v>40100</v>
      </c>
      <c r="G129" s="55">
        <v>394</v>
      </c>
      <c r="H129" s="55">
        <v>17378000</v>
      </c>
    </row>
    <row r="130" spans="1:8" x14ac:dyDescent="0.3">
      <c r="A130" s="53">
        <v>50100</v>
      </c>
      <c r="B130" s="53">
        <v>245</v>
      </c>
      <c r="C130" s="53">
        <v>14174000</v>
      </c>
      <c r="D130" s="54">
        <v>1.9624434435775611</v>
      </c>
      <c r="F130" s="53">
        <v>50100</v>
      </c>
      <c r="G130" s="55">
        <v>245</v>
      </c>
      <c r="H130" s="55">
        <v>14174000</v>
      </c>
    </row>
    <row r="131" spans="1:8" x14ac:dyDescent="0.3">
      <c r="A131" s="53">
        <v>70100</v>
      </c>
      <c r="B131" s="53">
        <v>151</v>
      </c>
      <c r="C131" s="53">
        <v>12579000</v>
      </c>
      <c r="D131" s="54">
        <v>1.8234579851912234</v>
      </c>
      <c r="F131" s="53">
        <v>70100</v>
      </c>
      <c r="G131" s="55">
        <v>151</v>
      </c>
      <c r="H131" s="55">
        <v>12579000</v>
      </c>
    </row>
    <row r="132" spans="1:8" x14ac:dyDescent="0.3">
      <c r="A132" s="53">
        <v>100100</v>
      </c>
      <c r="B132" s="53">
        <v>149</v>
      </c>
      <c r="C132" s="53">
        <v>19540000</v>
      </c>
      <c r="D132" s="54">
        <v>1.63998163998164</v>
      </c>
      <c r="F132" s="53">
        <v>100100</v>
      </c>
      <c r="G132" s="55">
        <v>149</v>
      </c>
      <c r="H132" s="55">
        <v>19540000</v>
      </c>
    </row>
    <row r="133" spans="1:8" x14ac:dyDescent="0.3">
      <c r="A133" s="53">
        <v>200100</v>
      </c>
      <c r="B133" s="53">
        <v>34</v>
      </c>
      <c r="C133" s="53">
        <v>8980000</v>
      </c>
      <c r="D133" s="54">
        <v>1.5034149591870731</v>
      </c>
      <c r="F133" s="53">
        <v>200100</v>
      </c>
      <c r="G133" s="55">
        <v>34</v>
      </c>
      <c r="H133" s="55">
        <v>8980000</v>
      </c>
    </row>
    <row r="134" spans="1:8" x14ac:dyDescent="0.3">
      <c r="A134" s="53">
        <v>400000</v>
      </c>
      <c r="B134" s="53">
        <v>2</v>
      </c>
      <c r="C134" s="53">
        <v>1850000</v>
      </c>
      <c r="D134" s="54">
        <v>2.3125</v>
      </c>
      <c r="F134" s="53">
        <v>400000</v>
      </c>
      <c r="G134" s="55">
        <v>2</v>
      </c>
      <c r="H134" s="55">
        <v>1850000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C1" workbookViewId="0">
      <selection activeCell="I4" sqref="I4:J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5" x14ac:dyDescent="0.3">
      <c r="A1" s="79" t="s">
        <v>237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6125</v>
      </c>
      <c r="M3" t="s">
        <v>7</v>
      </c>
      <c r="N3" t="s">
        <v>8</v>
      </c>
      <c r="O3" t="s">
        <v>14</v>
      </c>
    </row>
    <row r="4" spans="1:15" x14ac:dyDescent="0.3">
      <c r="A4" s="53">
        <v>15100</v>
      </c>
      <c r="B4" s="53">
        <v>984313</v>
      </c>
      <c r="C4" s="53">
        <v>17028670000</v>
      </c>
      <c r="D4" s="54">
        <v>1.6151678660010402</v>
      </c>
      <c r="F4" s="53">
        <v>15100</v>
      </c>
      <c r="G4" s="53">
        <v>984313</v>
      </c>
      <c r="H4" s="53">
        <v>17028670000</v>
      </c>
      <c r="I4" s="2">
        <f>J4/6.55957</f>
        <v>2286.7352585611557</v>
      </c>
      <c r="J4" s="53">
        <v>15000</v>
      </c>
      <c r="K4" s="2">
        <f>G4+G15+G26+G37+G48+G59+G70+G81+G92+G103+G114+G125</f>
        <v>3113250.2440044079</v>
      </c>
      <c r="L4" s="2">
        <f>H4+H15+H26+H37+H48+H59+H70+H81+H92+H103+H114+H125</f>
        <v>54388581847.582291</v>
      </c>
      <c r="M4">
        <f>1-SUM(K4:$K$13)/$K$15</f>
        <v>0.45349792482760598</v>
      </c>
      <c r="N4">
        <f>SUM(L4:$L$13)/(J4*SUM(K4:$K$13))</f>
        <v>2.3848326712031906</v>
      </c>
      <c r="O4">
        <f>(G4+G15+G37)/K4</f>
        <v>0.4147498269651374</v>
      </c>
    </row>
    <row r="5" spans="1:15" x14ac:dyDescent="0.3">
      <c r="A5" s="53">
        <v>20100</v>
      </c>
      <c r="B5" s="53">
        <v>475377</v>
      </c>
      <c r="C5" s="53">
        <v>10571686000</v>
      </c>
      <c r="D5" s="54">
        <v>1.5593210916014346</v>
      </c>
      <c r="F5" s="53">
        <v>20100</v>
      </c>
      <c r="G5" s="53">
        <v>475377</v>
      </c>
      <c r="H5" s="53">
        <v>10571686000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2242449.6598373395</v>
      </c>
      <c r="L5" s="2">
        <f t="shared" si="1"/>
        <v>50297925271.233536</v>
      </c>
      <c r="M5">
        <f>1-SUM(K5:$K$13)/$K$15</f>
        <v>0.59270706532463691</v>
      </c>
      <c r="N5">
        <f>SUM(L5:$L$13)/(J5*SUM(K5:$K$13))</f>
        <v>2.1014054552818084</v>
      </c>
      <c r="O5">
        <f t="shared" ref="O5:O13" si="2">(G5+G16+G38)/K5</f>
        <v>0.29596115885524099</v>
      </c>
    </row>
    <row r="6" spans="1:15" x14ac:dyDescent="0.3">
      <c r="A6" s="53">
        <v>25100</v>
      </c>
      <c r="B6" s="53">
        <v>215417</v>
      </c>
      <c r="C6" s="53">
        <v>5876677000</v>
      </c>
      <c r="D6" s="54">
        <v>1.5751662943409457</v>
      </c>
      <c r="F6" s="53">
        <v>25100</v>
      </c>
      <c r="G6" s="53">
        <v>215417</v>
      </c>
      <c r="H6" s="53">
        <v>5876677000</v>
      </c>
      <c r="I6" s="2">
        <f t="shared" si="0"/>
        <v>3811.2254309352597</v>
      </c>
      <c r="J6" s="53">
        <v>25000</v>
      </c>
      <c r="K6" s="2">
        <f t="shared" si="1"/>
        <v>1610935.6223862658</v>
      </c>
      <c r="L6" s="2">
        <f t="shared" si="1"/>
        <v>44311735420.056602</v>
      </c>
      <c r="M6">
        <f>1-SUM(K6:$K$13)/$K$15</f>
        <v>0.69297831411197763</v>
      </c>
      <c r="N6">
        <f>SUM(L6:$L$13)/(J6*SUM(K6:$K$13))</f>
        <v>1.9371501537133051</v>
      </c>
      <c r="O6">
        <f t="shared" si="2"/>
        <v>0.19341927490463598</v>
      </c>
    </row>
    <row r="7" spans="1:15" x14ac:dyDescent="0.3">
      <c r="A7" s="53">
        <v>30100</v>
      </c>
      <c r="B7" s="53">
        <v>179494</v>
      </c>
      <c r="C7" s="53">
        <v>6121852000</v>
      </c>
      <c r="D7" s="54">
        <v>1.5939957605057018</v>
      </c>
      <c r="F7" s="53">
        <v>30100</v>
      </c>
      <c r="G7" s="53">
        <v>179494</v>
      </c>
      <c r="H7" s="53">
        <v>6121852000</v>
      </c>
      <c r="I7" s="2">
        <f t="shared" si="0"/>
        <v>4573.4705171223113</v>
      </c>
      <c r="J7" s="53">
        <v>30000</v>
      </c>
      <c r="K7" s="2">
        <f t="shared" si="1"/>
        <v>2284113.6921717087</v>
      </c>
      <c r="L7" s="2">
        <f t="shared" si="1"/>
        <v>78946307731.682312</v>
      </c>
      <c r="M7">
        <f>1-SUM(K7:$K$13)/$K$15</f>
        <v>0.76501138110372446</v>
      </c>
      <c r="N7">
        <f>SUM(L7:$L$13)/(J7*SUM(K7:$K$13))</f>
        <v>1.8280709711877239</v>
      </c>
      <c r="O7">
        <f t="shared" si="2"/>
        <v>0.12795072373220104</v>
      </c>
    </row>
    <row r="8" spans="1:15" x14ac:dyDescent="0.3">
      <c r="A8" s="53">
        <v>40100</v>
      </c>
      <c r="B8" s="53">
        <v>61845</v>
      </c>
      <c r="C8" s="53">
        <v>2744355000</v>
      </c>
      <c r="D8" s="54">
        <v>1.66259212547035</v>
      </c>
      <c r="F8" s="53">
        <v>40100</v>
      </c>
      <c r="G8" s="53">
        <v>61845</v>
      </c>
      <c r="H8" s="53">
        <v>2744355000</v>
      </c>
      <c r="I8" s="2">
        <f t="shared" si="0"/>
        <v>6097.9606894964154</v>
      </c>
      <c r="J8" s="53">
        <v>40000</v>
      </c>
      <c r="K8" s="2">
        <f t="shared" si="1"/>
        <v>1199861</v>
      </c>
      <c r="L8" s="2">
        <f t="shared" si="1"/>
        <v>53428859000</v>
      </c>
      <c r="M8">
        <f>1-SUM(K8:$K$13)/$K$15</f>
        <v>0.86714563918242504</v>
      </c>
      <c r="N8">
        <f>SUM(L8:$L$13)/(J8*SUM(K8:$K$13))</f>
        <v>1.7607980692887191</v>
      </c>
      <c r="O8">
        <f t="shared" si="2"/>
        <v>8.8079369193598253E-2</v>
      </c>
    </row>
    <row r="9" spans="1:15" x14ac:dyDescent="0.3">
      <c r="A9" s="53">
        <v>50100</v>
      </c>
      <c r="B9" s="53">
        <v>41648</v>
      </c>
      <c r="C9" s="53">
        <v>2416306000</v>
      </c>
      <c r="D9" s="54">
        <v>1.7162847341291865</v>
      </c>
      <c r="F9" s="53">
        <v>50100</v>
      </c>
      <c r="G9" s="53">
        <v>41648</v>
      </c>
      <c r="H9" s="53">
        <v>2416306000</v>
      </c>
      <c r="I9" s="2">
        <f t="shared" si="0"/>
        <v>7622.4508618705195</v>
      </c>
      <c r="J9" s="53">
        <v>50000</v>
      </c>
      <c r="K9" s="2">
        <f t="shared" si="1"/>
        <v>979756</v>
      </c>
      <c r="L9" s="2">
        <f t="shared" si="1"/>
        <v>56968311000</v>
      </c>
      <c r="M9">
        <f>1-SUM(K9:$K$13)/$K$15</f>
        <v>0.92079748385748206</v>
      </c>
      <c r="N9">
        <f>SUM(L9:$L$13)/(J9*SUM(K9:$K$13))</f>
        <v>1.759568840923359</v>
      </c>
      <c r="O9">
        <f t="shared" si="2"/>
        <v>7.5595352312208347E-2</v>
      </c>
    </row>
    <row r="10" spans="1:15" x14ac:dyDescent="0.3">
      <c r="A10" s="53">
        <v>70100</v>
      </c>
      <c r="B10" s="53">
        <v>17223</v>
      </c>
      <c r="C10" s="53">
        <v>1413286000</v>
      </c>
      <c r="D10" s="54">
        <v>1.7854259662874474</v>
      </c>
      <c r="F10" s="53">
        <v>70100</v>
      </c>
      <c r="G10" s="53">
        <v>17223</v>
      </c>
      <c r="H10" s="53">
        <v>1413286000</v>
      </c>
      <c r="I10" s="2">
        <f t="shared" si="0"/>
        <v>10671.431206618727</v>
      </c>
      <c r="J10" s="53">
        <v>70000</v>
      </c>
      <c r="K10" s="2">
        <f t="shared" si="1"/>
        <v>438626</v>
      </c>
      <c r="L10" s="2">
        <f t="shared" si="1"/>
        <v>35997365000</v>
      </c>
      <c r="M10">
        <f>1-SUM(K10:$K$13)/$K$15</f>
        <v>0.96460732243999725</v>
      </c>
      <c r="N10">
        <f>SUM(L10:$L$13)/(J10*SUM(K10:$K$13))</f>
        <v>1.7843776102712119</v>
      </c>
      <c r="O10">
        <f t="shared" si="2"/>
        <v>7.5458363161326508E-2</v>
      </c>
    </row>
    <row r="11" spans="1:15" x14ac:dyDescent="0.3">
      <c r="A11" s="53">
        <v>100100</v>
      </c>
      <c r="B11" s="53">
        <v>10028</v>
      </c>
      <c r="C11" s="53">
        <v>1319515000</v>
      </c>
      <c r="D11" s="54">
        <v>1.8429768106104716</v>
      </c>
      <c r="F11" s="53">
        <v>100100</v>
      </c>
      <c r="G11" s="53">
        <v>10028</v>
      </c>
      <c r="H11" s="53">
        <v>1319515000</v>
      </c>
      <c r="I11" s="2">
        <f t="shared" si="0"/>
        <v>15244.901723741039</v>
      </c>
      <c r="J11" s="53">
        <v>100000</v>
      </c>
      <c r="K11" s="2">
        <f t="shared" si="1"/>
        <v>277778</v>
      </c>
      <c r="L11" s="2">
        <f t="shared" si="1"/>
        <v>36878172000</v>
      </c>
      <c r="M11">
        <f>1-SUM(K11:$K$13)/$K$15</f>
        <v>0.98422050598579258</v>
      </c>
      <c r="N11">
        <f>SUM(L11:$L$13)/(J11*SUM(K11:$K$13))</f>
        <v>1.7815204454645923</v>
      </c>
      <c r="O11">
        <f t="shared" si="2"/>
        <v>7.4267940585647535E-2</v>
      </c>
    </row>
    <row r="12" spans="1:15" x14ac:dyDescent="0.3">
      <c r="A12" s="53">
        <v>200100</v>
      </c>
      <c r="B12" s="53">
        <v>1955</v>
      </c>
      <c r="C12" s="53">
        <v>514067000</v>
      </c>
      <c r="D12" s="54">
        <v>1.9887601470894332</v>
      </c>
      <c r="F12" s="53">
        <v>200100</v>
      </c>
      <c r="G12" s="53">
        <v>1955</v>
      </c>
      <c r="H12" s="53">
        <v>514067000</v>
      </c>
      <c r="I12" s="2">
        <f t="shared" si="0"/>
        <v>30489.803447482078</v>
      </c>
      <c r="J12" s="53">
        <v>200000</v>
      </c>
      <c r="K12" s="2">
        <f t="shared" si="1"/>
        <v>60894</v>
      </c>
      <c r="L12" s="2">
        <f t="shared" si="1"/>
        <v>16028613000</v>
      </c>
      <c r="M12">
        <f>1-SUM(K12:$K$13)/$K$15</f>
        <v>0.99664136316020535</v>
      </c>
      <c r="N12">
        <f>SUM(L12:$L$13)/(J12*SUM(K12:$K$13))</f>
        <v>1.7300766189157524</v>
      </c>
      <c r="O12">
        <f t="shared" si="2"/>
        <v>7.552468223470292E-2</v>
      </c>
    </row>
    <row r="13" spans="1:15" x14ac:dyDescent="0.3">
      <c r="A13" s="53">
        <v>400000</v>
      </c>
      <c r="B13" s="53">
        <v>530</v>
      </c>
      <c r="C13" s="53">
        <v>474841000</v>
      </c>
      <c r="D13" s="54">
        <v>2.2398160377358489</v>
      </c>
      <c r="F13" s="53">
        <v>400000</v>
      </c>
      <c r="G13" s="53">
        <v>530</v>
      </c>
      <c r="H13" s="53">
        <v>474841000</v>
      </c>
      <c r="I13" s="2">
        <f t="shared" si="0"/>
        <v>60979.606894964156</v>
      </c>
      <c r="J13" s="53">
        <v>400000</v>
      </c>
      <c r="K13" s="2">
        <f t="shared" si="1"/>
        <v>14218</v>
      </c>
      <c r="L13" s="2">
        <f>H13+H24+H35+H46+H57+H68+H79+H90+H101+H112+H123+H134</f>
        <v>9961290000</v>
      </c>
      <c r="M13">
        <f>1-SUM(K13:$K$13)/$K$15</f>
        <v>0.99936424141830593</v>
      </c>
      <c r="N13">
        <f>SUM(L13:$L$13)/(J13*SUM(K13:$K$13))</f>
        <v>1.7515279926853284</v>
      </c>
      <c r="O13">
        <f t="shared" si="2"/>
        <v>9.4739063159375442E-2</v>
      </c>
    </row>
    <row r="14" spans="1:15" x14ac:dyDescent="0.3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3">
      <c r="A15" s="53">
        <v>15100</v>
      </c>
      <c r="B15" s="53">
        <v>242806</v>
      </c>
      <c r="C15" s="53">
        <v>4240947000</v>
      </c>
      <c r="D15" s="54">
        <v>2.0078332224553082</v>
      </c>
      <c r="F15" s="53">
        <v>15100</v>
      </c>
      <c r="G15" s="53">
        <v>242806</v>
      </c>
      <c r="H15" s="53">
        <v>4240947000</v>
      </c>
      <c r="K15" s="5">
        <v>22363834.967221908</v>
      </c>
    </row>
    <row r="16" spans="1:15" x14ac:dyDescent="0.3">
      <c r="A16" s="53">
        <v>20100</v>
      </c>
      <c r="B16" s="53">
        <v>149291</v>
      </c>
      <c r="C16" s="53">
        <v>3334923000</v>
      </c>
      <c r="D16" s="54">
        <v>1.8853083516068945</v>
      </c>
      <c r="F16" s="53">
        <v>20100</v>
      </c>
      <c r="G16" s="53">
        <v>149291</v>
      </c>
      <c r="H16" s="53">
        <v>3334923000</v>
      </c>
    </row>
    <row r="17" spans="1:8" x14ac:dyDescent="0.3">
      <c r="A17" s="53">
        <v>25100</v>
      </c>
      <c r="B17" s="53">
        <v>75247</v>
      </c>
      <c r="C17" s="53">
        <v>2061363000</v>
      </c>
      <c r="D17" s="54">
        <v>1.8621219684804982</v>
      </c>
      <c r="F17" s="53">
        <v>25100</v>
      </c>
      <c r="G17" s="53">
        <v>75247</v>
      </c>
      <c r="H17" s="53">
        <v>2061363000</v>
      </c>
    </row>
    <row r="18" spans="1:8" x14ac:dyDescent="0.3">
      <c r="A18" s="53">
        <v>30100</v>
      </c>
      <c r="B18" s="53">
        <v>95051</v>
      </c>
      <c r="C18" s="53">
        <v>3268308000</v>
      </c>
      <c r="D18" s="54">
        <v>1.8109461924687111</v>
      </c>
      <c r="F18" s="53">
        <v>30100</v>
      </c>
      <c r="G18" s="53">
        <v>95051</v>
      </c>
      <c r="H18" s="53">
        <v>3268308000</v>
      </c>
    </row>
    <row r="19" spans="1:8" x14ac:dyDescent="0.3">
      <c r="A19" s="53">
        <v>40100</v>
      </c>
      <c r="B19" s="53">
        <v>37804</v>
      </c>
      <c r="C19" s="53">
        <v>1677507000</v>
      </c>
      <c r="D19" s="54">
        <v>1.8762546620456215</v>
      </c>
      <c r="F19" s="53">
        <v>40100</v>
      </c>
      <c r="G19" s="53">
        <v>37804</v>
      </c>
      <c r="H19" s="53">
        <v>1677507000</v>
      </c>
    </row>
    <row r="20" spans="1:8" x14ac:dyDescent="0.3">
      <c r="A20" s="53">
        <v>50100</v>
      </c>
      <c r="B20" s="53">
        <v>28137</v>
      </c>
      <c r="C20" s="53">
        <v>1638365000</v>
      </c>
      <c r="D20" s="54">
        <v>1.929240144868581</v>
      </c>
      <c r="F20" s="53">
        <v>50100</v>
      </c>
      <c r="G20" s="53">
        <v>28137</v>
      </c>
      <c r="H20" s="53">
        <v>1638365000</v>
      </c>
    </row>
    <row r="21" spans="1:8" x14ac:dyDescent="0.3">
      <c r="A21" s="53">
        <v>70100</v>
      </c>
      <c r="B21" s="53">
        <v>13869</v>
      </c>
      <c r="C21" s="53">
        <v>1142378000</v>
      </c>
      <c r="D21" s="54">
        <v>1.964339694554381</v>
      </c>
      <c r="F21" s="53">
        <v>70100</v>
      </c>
      <c r="G21" s="53">
        <v>13869</v>
      </c>
      <c r="H21" s="53">
        <v>1142378000</v>
      </c>
    </row>
    <row r="22" spans="1:8" x14ac:dyDescent="0.3">
      <c r="A22" s="53">
        <v>100100</v>
      </c>
      <c r="B22" s="53">
        <v>9471</v>
      </c>
      <c r="C22" s="53">
        <v>1263352000</v>
      </c>
      <c r="D22" s="54">
        <v>1.9902497886944293</v>
      </c>
      <c r="F22" s="53">
        <v>100100</v>
      </c>
      <c r="G22" s="53">
        <v>9471</v>
      </c>
      <c r="H22" s="53">
        <v>1263352000</v>
      </c>
    </row>
    <row r="23" spans="1:8" x14ac:dyDescent="0.3">
      <c r="A23" s="53">
        <v>200100</v>
      </c>
      <c r="B23" s="53">
        <v>2279</v>
      </c>
      <c r="C23" s="53">
        <v>607975000</v>
      </c>
      <c r="D23" s="54">
        <v>2.0335751511319624</v>
      </c>
      <c r="F23" s="53">
        <v>200100</v>
      </c>
      <c r="G23" s="53">
        <v>2279</v>
      </c>
      <c r="H23" s="53">
        <v>607975000</v>
      </c>
    </row>
    <row r="24" spans="1:8" x14ac:dyDescent="0.3">
      <c r="A24" s="53">
        <v>400000</v>
      </c>
      <c r="B24" s="53">
        <v>723</v>
      </c>
      <c r="C24" s="53">
        <v>613594000</v>
      </c>
      <c r="D24" s="54">
        <v>2.1216943291839558</v>
      </c>
      <c r="F24" s="53">
        <v>400000</v>
      </c>
      <c r="G24" s="53">
        <v>723</v>
      </c>
      <c r="H24" s="53">
        <v>613594000</v>
      </c>
    </row>
    <row r="25" spans="1:8" x14ac:dyDescent="0.3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3">
      <c r="A26" s="53">
        <v>15100</v>
      </c>
      <c r="B26" s="53">
        <v>708653</v>
      </c>
      <c r="C26" s="53">
        <v>12447356000</v>
      </c>
      <c r="D26" s="54">
        <v>2.5274864668300534</v>
      </c>
      <c r="F26" s="53">
        <v>15100</v>
      </c>
      <c r="G26" s="53">
        <v>708653</v>
      </c>
      <c r="H26" s="53">
        <v>12447356000</v>
      </c>
    </row>
    <row r="27" spans="1:8" x14ac:dyDescent="0.3">
      <c r="A27" s="53">
        <v>20100</v>
      </c>
      <c r="B27" s="53">
        <v>614041</v>
      </c>
      <c r="C27" s="53">
        <v>13798184000</v>
      </c>
      <c r="D27" s="54">
        <v>2.1629153298814319</v>
      </c>
      <c r="F27" s="53">
        <v>20100</v>
      </c>
      <c r="G27" s="53">
        <v>614041</v>
      </c>
      <c r="H27" s="53">
        <v>13798184000</v>
      </c>
    </row>
    <row r="28" spans="1:8" x14ac:dyDescent="0.3">
      <c r="A28" s="53">
        <v>25100</v>
      </c>
      <c r="B28" s="53">
        <v>450971</v>
      </c>
      <c r="C28" s="53">
        <v>12464195000</v>
      </c>
      <c r="D28" s="54">
        <v>1.9726754812463037</v>
      </c>
      <c r="F28" s="53">
        <v>25100</v>
      </c>
      <c r="G28" s="53">
        <v>450971</v>
      </c>
      <c r="H28" s="53">
        <v>12464195000</v>
      </c>
    </row>
    <row r="29" spans="1:8" x14ac:dyDescent="0.3">
      <c r="A29" s="53">
        <v>30100</v>
      </c>
      <c r="B29" s="53">
        <v>741190</v>
      </c>
      <c r="C29" s="53">
        <v>25622254000</v>
      </c>
      <c r="D29" s="54">
        <v>1.8395618674823577</v>
      </c>
      <c r="F29" s="53">
        <v>30100</v>
      </c>
      <c r="G29" s="53">
        <v>741190</v>
      </c>
      <c r="H29" s="53">
        <v>25622254000</v>
      </c>
    </row>
    <row r="30" spans="1:8" x14ac:dyDescent="0.3">
      <c r="A30" s="53">
        <v>40100</v>
      </c>
      <c r="B30" s="53">
        <v>386461</v>
      </c>
      <c r="C30" s="53">
        <v>17211608000</v>
      </c>
      <c r="D30" s="54">
        <v>1.7884358047623192</v>
      </c>
      <c r="F30" s="53">
        <v>40100</v>
      </c>
      <c r="G30" s="53">
        <v>386461</v>
      </c>
      <c r="H30" s="53">
        <v>17211608000</v>
      </c>
    </row>
    <row r="31" spans="1:8" x14ac:dyDescent="0.3">
      <c r="A31" s="53">
        <v>50100</v>
      </c>
      <c r="B31" s="53">
        <v>311881</v>
      </c>
      <c r="C31" s="53">
        <v>18113085000</v>
      </c>
      <c r="D31" s="54">
        <v>1.8080060425126756</v>
      </c>
      <c r="F31" s="53">
        <v>50100</v>
      </c>
      <c r="G31" s="53">
        <v>311881</v>
      </c>
      <c r="H31" s="53">
        <v>18113085000</v>
      </c>
    </row>
    <row r="32" spans="1:8" x14ac:dyDescent="0.3">
      <c r="A32" s="53">
        <v>70100</v>
      </c>
      <c r="B32" s="53">
        <v>134440</v>
      </c>
      <c r="C32" s="53">
        <v>11021948000</v>
      </c>
      <c r="D32" s="54">
        <v>1.8826261457112559</v>
      </c>
      <c r="F32" s="53">
        <v>70100</v>
      </c>
      <c r="G32" s="53">
        <v>134440</v>
      </c>
      <c r="H32" s="53">
        <v>11021948000</v>
      </c>
    </row>
    <row r="33" spans="1:8" x14ac:dyDescent="0.3">
      <c r="A33" s="53">
        <v>100100</v>
      </c>
      <c r="B33" s="53">
        <v>81191</v>
      </c>
      <c r="C33" s="53">
        <v>10766753000</v>
      </c>
      <c r="D33" s="54">
        <v>1.9260896418546289</v>
      </c>
      <c r="F33" s="53">
        <v>100100</v>
      </c>
      <c r="G33" s="53">
        <v>81191</v>
      </c>
      <c r="H33" s="53">
        <v>10766753000</v>
      </c>
    </row>
    <row r="34" spans="1:8" x14ac:dyDescent="0.3">
      <c r="A34" s="53">
        <v>200100</v>
      </c>
      <c r="B34" s="53">
        <v>23203</v>
      </c>
      <c r="C34" s="53">
        <v>6148640000</v>
      </c>
      <c r="D34" s="54">
        <v>1.7974098173530006</v>
      </c>
      <c r="F34" s="53">
        <v>200100</v>
      </c>
      <c r="G34" s="53">
        <v>23203</v>
      </c>
      <c r="H34" s="53">
        <v>6148640000</v>
      </c>
    </row>
    <row r="35" spans="1:8" x14ac:dyDescent="0.3">
      <c r="A35" s="53">
        <v>400000</v>
      </c>
      <c r="B35" s="53">
        <v>6085</v>
      </c>
      <c r="C35" s="53">
        <v>4385132000</v>
      </c>
      <c r="D35" s="54">
        <v>1.8016154478225144</v>
      </c>
      <c r="F35" s="53">
        <v>400000</v>
      </c>
      <c r="G35" s="53">
        <v>6085</v>
      </c>
      <c r="H35" s="53">
        <v>4385132000</v>
      </c>
    </row>
    <row r="36" spans="1:8" x14ac:dyDescent="0.3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3">
      <c r="A37" s="53">
        <v>15100</v>
      </c>
      <c r="B37" s="53">
        <v>64101</v>
      </c>
      <c r="C37" s="53">
        <v>1115348000</v>
      </c>
      <c r="D37" s="54">
        <v>1.7662286373933496</v>
      </c>
      <c r="F37" s="53">
        <v>15100</v>
      </c>
      <c r="G37" s="53">
        <v>64101</v>
      </c>
      <c r="H37" s="53">
        <v>1115348000</v>
      </c>
    </row>
    <row r="38" spans="1:8" x14ac:dyDescent="0.3">
      <c r="A38" s="53">
        <v>20100</v>
      </c>
      <c r="B38" s="53">
        <v>39010</v>
      </c>
      <c r="C38" s="53">
        <v>870685000</v>
      </c>
      <c r="D38" s="54">
        <v>1.6497881098380258</v>
      </c>
      <c r="F38" s="53">
        <v>20100</v>
      </c>
      <c r="G38" s="53">
        <v>39010</v>
      </c>
      <c r="H38" s="53">
        <v>870685000</v>
      </c>
    </row>
    <row r="39" spans="1:8" x14ac:dyDescent="0.3">
      <c r="A39" s="53">
        <v>25100</v>
      </c>
      <c r="B39" s="53">
        <v>20922</v>
      </c>
      <c r="C39" s="53">
        <v>571606000</v>
      </c>
      <c r="D39" s="54">
        <v>1.6418322067736741</v>
      </c>
      <c r="F39" s="53">
        <v>25100</v>
      </c>
      <c r="G39" s="53">
        <v>20922</v>
      </c>
      <c r="H39" s="53">
        <v>571606000</v>
      </c>
    </row>
    <row r="40" spans="1:8" x14ac:dyDescent="0.3">
      <c r="A40" s="53">
        <v>30100</v>
      </c>
      <c r="B40" s="53">
        <v>17709</v>
      </c>
      <c r="C40" s="53">
        <v>604440000</v>
      </c>
      <c r="D40" s="54">
        <v>1.6744295320982725</v>
      </c>
      <c r="F40" s="53">
        <v>30100</v>
      </c>
      <c r="G40" s="53">
        <v>17709</v>
      </c>
      <c r="H40" s="53">
        <v>604440000</v>
      </c>
    </row>
    <row r="41" spans="1:8" x14ac:dyDescent="0.3">
      <c r="A41" s="53">
        <v>40100</v>
      </c>
      <c r="B41" s="53">
        <v>6034</v>
      </c>
      <c r="C41" s="53">
        <v>267601000</v>
      </c>
      <c r="D41" s="54">
        <v>1.7733667269640419</v>
      </c>
      <c r="F41" s="53">
        <v>40100</v>
      </c>
      <c r="G41" s="53">
        <v>6034</v>
      </c>
      <c r="H41" s="53">
        <v>267601000</v>
      </c>
    </row>
    <row r="42" spans="1:8" x14ac:dyDescent="0.3">
      <c r="A42" s="53">
        <v>50100</v>
      </c>
      <c r="B42" s="53">
        <v>4280</v>
      </c>
      <c r="C42" s="53">
        <v>248902000</v>
      </c>
      <c r="D42" s="54">
        <v>1.8286611135271356</v>
      </c>
      <c r="F42" s="53">
        <v>50100</v>
      </c>
      <c r="G42" s="53">
        <v>4280</v>
      </c>
      <c r="H42" s="53">
        <v>248902000</v>
      </c>
    </row>
    <row r="43" spans="1:8" x14ac:dyDescent="0.3">
      <c r="A43" s="53">
        <v>70100</v>
      </c>
      <c r="B43" s="53">
        <v>2006</v>
      </c>
      <c r="C43" s="53">
        <v>164443000</v>
      </c>
      <c r="D43" s="54">
        <v>1.8750624802641704</v>
      </c>
      <c r="F43" s="53">
        <v>70100</v>
      </c>
      <c r="G43" s="53">
        <v>2006</v>
      </c>
      <c r="H43" s="53">
        <v>164443000</v>
      </c>
    </row>
    <row r="44" spans="1:8" x14ac:dyDescent="0.3">
      <c r="A44" s="53">
        <v>100100</v>
      </c>
      <c r="B44" s="53">
        <v>1131</v>
      </c>
      <c r="C44" s="53">
        <v>147227000</v>
      </c>
      <c r="D44" s="54">
        <v>1.936566578076012</v>
      </c>
      <c r="F44" s="53">
        <v>100100</v>
      </c>
      <c r="G44" s="53">
        <v>1131</v>
      </c>
      <c r="H44" s="53">
        <v>147227000</v>
      </c>
    </row>
    <row r="45" spans="1:8" x14ac:dyDescent="0.3">
      <c r="A45" s="53">
        <v>200100</v>
      </c>
      <c r="B45" s="53">
        <v>365</v>
      </c>
      <c r="C45" s="53">
        <v>95682000</v>
      </c>
      <c r="D45" s="54">
        <v>1.7528817290701053</v>
      </c>
      <c r="F45" s="53">
        <v>200100</v>
      </c>
      <c r="G45" s="53">
        <v>365</v>
      </c>
      <c r="H45" s="53">
        <v>95682000</v>
      </c>
    </row>
    <row r="46" spans="1:8" x14ac:dyDescent="0.3">
      <c r="A46" s="53">
        <v>400000</v>
      </c>
      <c r="B46" s="53">
        <v>94</v>
      </c>
      <c r="C46" s="53">
        <v>65313000</v>
      </c>
      <c r="D46" s="54">
        <v>1.7370478723404257</v>
      </c>
      <c r="F46" s="53">
        <v>400000</v>
      </c>
      <c r="G46" s="53">
        <v>94</v>
      </c>
      <c r="H46" s="53">
        <v>65313000</v>
      </c>
    </row>
    <row r="47" spans="1:8" x14ac:dyDescent="0.3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3">
      <c r="A48" s="53">
        <v>15312</v>
      </c>
      <c r="B48" s="53">
        <v>344188</v>
      </c>
      <c r="C48" s="53">
        <v>6138573000</v>
      </c>
      <c r="D48" s="54">
        <v>2.5197672371535806</v>
      </c>
      <c r="F48" s="53">
        <v>15100</v>
      </c>
      <c r="G48" s="55">
        <v>449665.70154598798</v>
      </c>
      <c r="H48" s="55">
        <v>7898293054.7569304</v>
      </c>
    </row>
    <row r="49" spans="1:8" x14ac:dyDescent="0.3">
      <c r="A49" s="53">
        <v>20100</v>
      </c>
      <c r="B49" s="53">
        <v>389631</v>
      </c>
      <c r="C49" s="53">
        <v>8779432000</v>
      </c>
      <c r="D49" s="54">
        <v>2.0891433452961286</v>
      </c>
      <c r="F49" s="53">
        <v>20100</v>
      </c>
      <c r="G49" s="55">
        <v>389631</v>
      </c>
      <c r="H49" s="55">
        <v>8779432000</v>
      </c>
    </row>
    <row r="50" spans="1:8" x14ac:dyDescent="0.3">
      <c r="A50" s="53">
        <v>25100</v>
      </c>
      <c r="B50" s="53">
        <v>367733</v>
      </c>
      <c r="C50" s="53">
        <v>10133812000</v>
      </c>
      <c r="D50" s="54">
        <v>1.8501351540016935</v>
      </c>
      <c r="F50" s="53">
        <v>25100</v>
      </c>
      <c r="G50" s="55">
        <v>367733</v>
      </c>
      <c r="H50" s="55">
        <v>10133812000</v>
      </c>
    </row>
    <row r="51" spans="1:8" x14ac:dyDescent="0.3">
      <c r="A51" s="53">
        <v>30100</v>
      </c>
      <c r="B51" s="53">
        <v>594030</v>
      </c>
      <c r="C51" s="53">
        <v>20598709000</v>
      </c>
      <c r="D51" s="54">
        <v>1.7152846208503894</v>
      </c>
      <c r="F51" s="53">
        <v>30100</v>
      </c>
      <c r="G51" s="55">
        <v>594030</v>
      </c>
      <c r="H51" s="55">
        <v>20598709000</v>
      </c>
    </row>
    <row r="52" spans="1:8" x14ac:dyDescent="0.3">
      <c r="A52" s="53">
        <v>40100</v>
      </c>
      <c r="B52" s="53">
        <v>328703</v>
      </c>
      <c r="C52" s="53">
        <v>14620761000</v>
      </c>
      <c r="D52" s="54">
        <v>1.6254056219634736</v>
      </c>
      <c r="F52" s="53">
        <v>40100</v>
      </c>
      <c r="G52" s="55">
        <v>328703</v>
      </c>
      <c r="H52" s="55">
        <v>14620761000</v>
      </c>
    </row>
    <row r="53" spans="1:8" x14ac:dyDescent="0.3">
      <c r="A53" s="53">
        <v>50100</v>
      </c>
      <c r="B53" s="53">
        <v>249697</v>
      </c>
      <c r="C53" s="53">
        <v>14476405000</v>
      </c>
      <c r="D53" s="54">
        <v>1.6285053372897158</v>
      </c>
      <c r="F53" s="53">
        <v>50100</v>
      </c>
      <c r="G53" s="55">
        <v>249697</v>
      </c>
      <c r="H53" s="55">
        <v>14476405000</v>
      </c>
    </row>
    <row r="54" spans="1:8" x14ac:dyDescent="0.3">
      <c r="A54" s="53">
        <v>70100</v>
      </c>
      <c r="B54" s="53">
        <v>98272</v>
      </c>
      <c r="C54" s="53">
        <v>8030745000</v>
      </c>
      <c r="D54" s="54">
        <v>1.6738501647295654</v>
      </c>
      <c r="F54" s="53">
        <v>70100</v>
      </c>
      <c r="G54" s="55">
        <v>98272</v>
      </c>
      <c r="H54" s="55">
        <v>8030745000</v>
      </c>
    </row>
    <row r="55" spans="1:8" x14ac:dyDescent="0.3">
      <c r="A55" s="53">
        <v>100100</v>
      </c>
      <c r="B55" s="53">
        <v>55150</v>
      </c>
      <c r="C55" s="53">
        <v>7257554000</v>
      </c>
      <c r="D55" s="54">
        <v>1.69679991446127</v>
      </c>
      <c r="F55" s="53">
        <v>100100</v>
      </c>
      <c r="G55" s="55">
        <v>55150</v>
      </c>
      <c r="H55" s="55">
        <v>7257554000</v>
      </c>
    </row>
    <row r="56" spans="1:8" x14ac:dyDescent="0.3">
      <c r="A56" s="53">
        <v>200100</v>
      </c>
      <c r="B56" s="53">
        <v>9066</v>
      </c>
      <c r="C56" s="53">
        <v>2459041000</v>
      </c>
      <c r="D56" s="54">
        <v>1.7652882529528005</v>
      </c>
      <c r="F56" s="53">
        <v>200100</v>
      </c>
      <c r="G56" s="55">
        <v>9066</v>
      </c>
      <c r="H56" s="55">
        <v>2459041000</v>
      </c>
    </row>
    <row r="57" spans="1:8" x14ac:dyDescent="0.3">
      <c r="A57" s="53">
        <v>400000</v>
      </c>
      <c r="B57" s="53">
        <v>2438</v>
      </c>
      <c r="C57" s="53">
        <v>1604565000</v>
      </c>
      <c r="D57" s="54">
        <v>1.6453701804757996</v>
      </c>
      <c r="F57" s="53">
        <v>400000</v>
      </c>
      <c r="G57" s="55">
        <v>2438</v>
      </c>
      <c r="H57" s="55">
        <v>1604565000</v>
      </c>
    </row>
    <row r="58" spans="1:8" x14ac:dyDescent="0.3">
      <c r="A58" s="51" t="s">
        <v>56</v>
      </c>
      <c r="B58" s="51" t="s">
        <v>70</v>
      </c>
      <c r="C58" s="51" t="s">
        <v>71</v>
      </c>
      <c r="D58" s="52" t="s">
        <v>59</v>
      </c>
      <c r="G58" s="2"/>
      <c r="H58" s="2"/>
    </row>
    <row r="59" spans="1:8" x14ac:dyDescent="0.3">
      <c r="A59" s="53">
        <v>18375</v>
      </c>
      <c r="B59" s="53">
        <v>113192</v>
      </c>
      <c r="C59" s="53">
        <v>2180650000</v>
      </c>
      <c r="D59" s="54">
        <v>2.3553116427016128</v>
      </c>
      <c r="F59" s="53">
        <v>15100</v>
      </c>
      <c r="G59" s="2">
        <f>G48*G60/G49</f>
        <v>391787.38950656389</v>
      </c>
      <c r="H59" s="2">
        <f>G59*H48/G48</f>
        <v>6881671443.5681009</v>
      </c>
    </row>
    <row r="60" spans="1:8" x14ac:dyDescent="0.3">
      <c r="A60" s="53">
        <v>20100</v>
      </c>
      <c r="B60" s="53">
        <v>339480</v>
      </c>
      <c r="C60" s="53">
        <v>7640232000</v>
      </c>
      <c r="D60" s="54">
        <v>2.2318662877735633</v>
      </c>
      <c r="F60" s="53">
        <v>20100</v>
      </c>
      <c r="G60" s="55">
        <v>339480</v>
      </c>
      <c r="H60" s="55">
        <v>7640232000</v>
      </c>
    </row>
    <row r="61" spans="1:8" x14ac:dyDescent="0.3">
      <c r="A61" s="53">
        <v>25100</v>
      </c>
      <c r="B61" s="53">
        <v>283724</v>
      </c>
      <c r="C61" s="53">
        <v>7801616000</v>
      </c>
      <c r="D61" s="54">
        <v>2.0065135860232837</v>
      </c>
      <c r="F61" s="53">
        <v>25100</v>
      </c>
      <c r="G61" s="55">
        <v>283724</v>
      </c>
      <c r="H61" s="55">
        <v>7801616000</v>
      </c>
    </row>
    <row r="62" spans="1:8" x14ac:dyDescent="0.3">
      <c r="A62" s="53">
        <v>30100</v>
      </c>
      <c r="B62" s="53">
        <v>423874</v>
      </c>
      <c r="C62" s="53">
        <v>14708370000</v>
      </c>
      <c r="D62" s="54">
        <v>1.8699817880084142</v>
      </c>
      <c r="F62" s="53">
        <v>30100</v>
      </c>
      <c r="G62" s="55">
        <v>423874</v>
      </c>
      <c r="H62" s="55">
        <v>14708370000</v>
      </c>
    </row>
    <row r="63" spans="1:8" x14ac:dyDescent="0.3">
      <c r="A63" s="53">
        <v>40100</v>
      </c>
      <c r="B63" s="53">
        <v>257722</v>
      </c>
      <c r="C63" s="53">
        <v>11496669000</v>
      </c>
      <c r="D63" s="54">
        <v>1.7434698033523321</v>
      </c>
      <c r="F63" s="53">
        <v>40100</v>
      </c>
      <c r="G63" s="55">
        <v>257722</v>
      </c>
      <c r="H63" s="55">
        <v>11496669000</v>
      </c>
    </row>
    <row r="64" spans="1:8" x14ac:dyDescent="0.3">
      <c r="A64" s="53">
        <v>50100</v>
      </c>
      <c r="B64" s="53">
        <v>227847</v>
      </c>
      <c r="C64" s="53">
        <v>13265446000</v>
      </c>
      <c r="D64" s="54">
        <v>1.7100775271433477</v>
      </c>
      <c r="F64" s="53">
        <v>50100</v>
      </c>
      <c r="G64" s="55">
        <v>227847</v>
      </c>
      <c r="H64" s="55">
        <v>13265446000</v>
      </c>
    </row>
    <row r="65" spans="1:8" x14ac:dyDescent="0.3">
      <c r="A65" s="53">
        <v>70100</v>
      </c>
      <c r="B65" s="53">
        <v>104450</v>
      </c>
      <c r="C65" s="53">
        <v>8573403000</v>
      </c>
      <c r="D65" s="54">
        <v>1.7021748491781516</v>
      </c>
      <c r="F65" s="53">
        <v>70100</v>
      </c>
      <c r="G65" s="55">
        <v>104450</v>
      </c>
      <c r="H65" s="55">
        <v>8573403000</v>
      </c>
    </row>
    <row r="66" spans="1:8" x14ac:dyDescent="0.3">
      <c r="A66" s="53">
        <v>100100</v>
      </c>
      <c r="B66" s="53">
        <v>67003</v>
      </c>
      <c r="C66" s="53">
        <v>8914831000</v>
      </c>
      <c r="D66" s="54">
        <v>1.6690868947887989</v>
      </c>
      <c r="F66" s="53">
        <v>100100</v>
      </c>
      <c r="G66" s="55">
        <v>67003</v>
      </c>
      <c r="H66" s="55">
        <v>8914831000</v>
      </c>
    </row>
    <row r="67" spans="1:8" x14ac:dyDescent="0.3">
      <c r="A67" s="53">
        <v>200100</v>
      </c>
      <c r="B67" s="53">
        <v>12072</v>
      </c>
      <c r="C67" s="53">
        <v>3135714000</v>
      </c>
      <c r="D67" s="54">
        <v>1.6231838418690199</v>
      </c>
      <c r="F67" s="53">
        <v>200100</v>
      </c>
      <c r="G67" s="55">
        <v>12072</v>
      </c>
      <c r="H67" s="55">
        <v>3135714000</v>
      </c>
    </row>
    <row r="68" spans="1:8" x14ac:dyDescent="0.3">
      <c r="A68" s="53">
        <v>400000</v>
      </c>
      <c r="B68" s="53">
        <v>2382</v>
      </c>
      <c r="C68" s="53">
        <v>1558932000</v>
      </c>
      <c r="D68" s="54">
        <v>1.6361586901763223</v>
      </c>
      <c r="F68" s="53">
        <v>400000</v>
      </c>
      <c r="G68" s="55">
        <v>2382</v>
      </c>
      <c r="H68" s="55">
        <v>1558932000</v>
      </c>
    </row>
    <row r="69" spans="1:8" x14ac:dyDescent="0.3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3">
      <c r="A70" s="51"/>
      <c r="B70" s="51"/>
      <c r="C70" s="51"/>
      <c r="D70" s="52"/>
      <c r="F70" s="53">
        <v>15100</v>
      </c>
      <c r="G70" s="2">
        <v>173854.92913414235</v>
      </c>
      <c r="H70" s="2">
        <v>3053728969.3085918</v>
      </c>
    </row>
    <row r="71" spans="1:8" x14ac:dyDescent="0.3">
      <c r="A71" s="53">
        <v>21437.5</v>
      </c>
      <c r="B71" s="53">
        <v>111726</v>
      </c>
      <c r="C71" s="53">
        <v>2600241000</v>
      </c>
      <c r="D71" s="54">
        <v>2.2375204316635866</v>
      </c>
      <c r="F71" s="53">
        <v>20100</v>
      </c>
      <c r="G71" s="2">
        <v>150643.62182966544</v>
      </c>
      <c r="H71" s="2">
        <v>3390338812.5925193</v>
      </c>
    </row>
    <row r="72" spans="1:8" x14ac:dyDescent="0.3">
      <c r="A72" s="53">
        <v>25100</v>
      </c>
      <c r="B72" s="53">
        <v>125902</v>
      </c>
      <c r="C72" s="53">
        <v>3454976000</v>
      </c>
      <c r="D72" s="54">
        <v>2.1150853526185869</v>
      </c>
      <c r="F72" s="53">
        <v>25100</v>
      </c>
      <c r="G72" s="55">
        <v>125902</v>
      </c>
      <c r="H72" s="55">
        <v>3454976000</v>
      </c>
    </row>
    <row r="73" spans="1:8" x14ac:dyDescent="0.3">
      <c r="A73" s="53">
        <v>30100</v>
      </c>
      <c r="B73" s="53">
        <v>154732</v>
      </c>
      <c r="C73" s="53">
        <v>5342484000</v>
      </c>
      <c r="D73" s="54">
        <v>2.0236419782743309</v>
      </c>
      <c r="F73" s="53">
        <v>30100</v>
      </c>
      <c r="G73" s="55">
        <v>154732</v>
      </c>
      <c r="H73" s="55">
        <v>5342484000</v>
      </c>
    </row>
    <row r="74" spans="1:8" x14ac:dyDescent="0.3">
      <c r="A74" s="53">
        <v>40100</v>
      </c>
      <c r="B74" s="53">
        <v>85874</v>
      </c>
      <c r="C74" s="53">
        <v>3831635000</v>
      </c>
      <c r="D74" s="54">
        <v>1.9135588023449754</v>
      </c>
      <c r="F74" s="53">
        <v>40100</v>
      </c>
      <c r="G74" s="55">
        <v>85874</v>
      </c>
      <c r="H74" s="55">
        <v>3831635000</v>
      </c>
    </row>
    <row r="75" spans="1:8" x14ac:dyDescent="0.3">
      <c r="A75" s="53">
        <v>50100</v>
      </c>
      <c r="B75" s="53">
        <v>82587</v>
      </c>
      <c r="C75" s="53">
        <v>4832977000</v>
      </c>
      <c r="D75" s="54">
        <v>1.8513640446856925</v>
      </c>
      <c r="F75" s="53">
        <v>50100</v>
      </c>
      <c r="G75" s="55">
        <v>82587</v>
      </c>
      <c r="H75" s="55">
        <v>4832977000</v>
      </c>
    </row>
    <row r="76" spans="1:8" x14ac:dyDescent="0.3">
      <c r="A76" s="53">
        <v>70100</v>
      </c>
      <c r="B76" s="53">
        <v>46286</v>
      </c>
      <c r="C76" s="53">
        <v>3818764000</v>
      </c>
      <c r="D76" s="54">
        <v>1.7734675149373178</v>
      </c>
      <c r="F76" s="53">
        <v>70100</v>
      </c>
      <c r="G76" s="55">
        <v>46286</v>
      </c>
      <c r="H76" s="55">
        <v>3818764000</v>
      </c>
    </row>
    <row r="77" spans="1:8" x14ac:dyDescent="0.3">
      <c r="A77" s="53">
        <v>100100</v>
      </c>
      <c r="B77" s="53">
        <v>34609</v>
      </c>
      <c r="C77" s="53">
        <v>4628154000</v>
      </c>
      <c r="D77" s="54">
        <v>1.688740346025803</v>
      </c>
      <c r="F77" s="53">
        <v>100100</v>
      </c>
      <c r="G77" s="55">
        <v>34609</v>
      </c>
      <c r="H77" s="55">
        <v>4628154000</v>
      </c>
    </row>
    <row r="78" spans="1:8" x14ac:dyDescent="0.3">
      <c r="A78" s="53">
        <v>200100</v>
      </c>
      <c r="B78" s="53">
        <v>7377</v>
      </c>
      <c r="C78" s="53">
        <v>1884523000</v>
      </c>
      <c r="D78" s="54">
        <v>1.5493954487746322</v>
      </c>
      <c r="F78" s="53">
        <v>200100</v>
      </c>
      <c r="G78" s="55">
        <v>7377</v>
      </c>
      <c r="H78" s="55">
        <v>1884523000</v>
      </c>
    </row>
    <row r="79" spans="1:8" x14ac:dyDescent="0.3">
      <c r="A79" s="53">
        <v>400000</v>
      </c>
      <c r="B79" s="53">
        <v>1292</v>
      </c>
      <c r="C79" s="53">
        <v>803162000</v>
      </c>
      <c r="D79" s="54">
        <v>1.5541060371517028</v>
      </c>
      <c r="F79" s="53">
        <v>400000</v>
      </c>
      <c r="G79" s="55">
        <v>1292</v>
      </c>
      <c r="H79" s="55">
        <v>803162000</v>
      </c>
    </row>
    <row r="80" spans="1:8" x14ac:dyDescent="0.3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3">
      <c r="A81" s="53">
        <v>15100</v>
      </c>
      <c r="B81" s="53"/>
      <c r="C81" s="53"/>
      <c r="D81" s="54"/>
      <c r="F81" s="53">
        <v>15100</v>
      </c>
      <c r="G81" s="55">
        <v>62260.893749108123</v>
      </c>
      <c r="H81" s="55">
        <v>1093600830.5522215</v>
      </c>
    </row>
    <row r="82" spans="1:8" x14ac:dyDescent="0.3">
      <c r="A82" s="53">
        <v>24500</v>
      </c>
      <c r="B82" s="53">
        <v>5270</v>
      </c>
      <c r="C82" s="53">
        <v>130761000</v>
      </c>
      <c r="D82" s="54">
        <v>2.1885295115359442</v>
      </c>
      <c r="F82" s="53">
        <v>20100</v>
      </c>
      <c r="G82" s="55">
        <v>53948.464846118055</v>
      </c>
      <c r="H82" s="55">
        <v>1214147482.8213334</v>
      </c>
    </row>
    <row r="83" spans="1:8" x14ac:dyDescent="0.3">
      <c r="A83" s="53">
        <v>25100</v>
      </c>
      <c r="B83" s="53">
        <v>45088</v>
      </c>
      <c r="C83" s="53">
        <v>1236397000</v>
      </c>
      <c r="D83" s="54">
        <v>2.1709477528747483</v>
      </c>
      <c r="F83" s="53">
        <v>25100</v>
      </c>
      <c r="G83" s="55">
        <v>45088</v>
      </c>
      <c r="H83" s="55">
        <v>1236397000</v>
      </c>
    </row>
    <row r="84" spans="1:8" x14ac:dyDescent="0.3">
      <c r="A84" s="53">
        <v>30100</v>
      </c>
      <c r="B84" s="53">
        <v>49541</v>
      </c>
      <c r="C84" s="53">
        <v>1701675000</v>
      </c>
      <c r="D84" s="54">
        <v>2.1245407448653069</v>
      </c>
      <c r="F84" s="53">
        <v>30100</v>
      </c>
      <c r="G84" s="55">
        <v>49541</v>
      </c>
      <c r="H84" s="55">
        <v>1701675000</v>
      </c>
    </row>
    <row r="85" spans="1:8" x14ac:dyDescent="0.3">
      <c r="A85" s="53">
        <v>40100</v>
      </c>
      <c r="B85" s="53">
        <v>23980</v>
      </c>
      <c r="C85" s="53">
        <v>1070503000</v>
      </c>
      <c r="D85" s="54">
        <v>2.0546968490625819</v>
      </c>
      <c r="F85" s="53">
        <v>40100</v>
      </c>
      <c r="G85" s="55">
        <v>23980</v>
      </c>
      <c r="H85" s="55">
        <v>1070503000</v>
      </c>
    </row>
    <row r="86" spans="1:8" x14ac:dyDescent="0.3">
      <c r="A86" s="53">
        <v>50100</v>
      </c>
      <c r="B86" s="53">
        <v>23814</v>
      </c>
      <c r="C86" s="53">
        <v>1398389000</v>
      </c>
      <c r="D86" s="54">
        <v>1.9700220976198639</v>
      </c>
      <c r="F86" s="53">
        <v>50100</v>
      </c>
      <c r="G86" s="55">
        <v>23814</v>
      </c>
      <c r="H86" s="55">
        <v>1398389000</v>
      </c>
    </row>
    <row r="87" spans="1:8" x14ac:dyDescent="0.3">
      <c r="A87" s="53">
        <v>70100</v>
      </c>
      <c r="B87" s="53">
        <v>15325</v>
      </c>
      <c r="C87" s="53">
        <v>1270517000</v>
      </c>
      <c r="D87" s="54">
        <v>1.8362535303994163</v>
      </c>
      <c r="F87" s="53">
        <v>70100</v>
      </c>
      <c r="G87" s="55">
        <v>15325</v>
      </c>
      <c r="H87" s="55">
        <v>1270517000</v>
      </c>
    </row>
    <row r="88" spans="1:8" x14ac:dyDescent="0.3">
      <c r="A88" s="53">
        <v>100100</v>
      </c>
      <c r="B88" s="53">
        <v>12940</v>
      </c>
      <c r="C88" s="53">
        <v>1737447000</v>
      </c>
      <c r="D88" s="54">
        <v>1.7140507197880244</v>
      </c>
      <c r="F88" s="53">
        <v>100100</v>
      </c>
      <c r="G88" s="55">
        <v>12940</v>
      </c>
      <c r="H88" s="55">
        <v>1737447000</v>
      </c>
    </row>
    <row r="89" spans="1:8" x14ac:dyDescent="0.3">
      <c r="A89" s="53">
        <v>200100</v>
      </c>
      <c r="B89" s="53">
        <v>2965</v>
      </c>
      <c r="C89" s="53">
        <v>763466000</v>
      </c>
      <c r="D89" s="54">
        <v>1.557963759119279</v>
      </c>
      <c r="F89" s="53">
        <v>200100</v>
      </c>
      <c r="G89" s="55">
        <v>2965</v>
      </c>
      <c r="H89" s="55">
        <v>763466000</v>
      </c>
    </row>
    <row r="90" spans="1:8" x14ac:dyDescent="0.3">
      <c r="A90" s="53">
        <v>400000</v>
      </c>
      <c r="B90" s="53">
        <v>479</v>
      </c>
      <c r="C90" s="53">
        <v>310196000</v>
      </c>
      <c r="D90" s="54">
        <v>1.6189770354906052</v>
      </c>
      <c r="F90" s="53">
        <v>400000</v>
      </c>
      <c r="G90" s="55">
        <v>479</v>
      </c>
      <c r="H90" s="55">
        <v>310196000</v>
      </c>
    </row>
    <row r="91" spans="1:8" x14ac:dyDescent="0.3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3">
      <c r="A92" s="53">
        <v>15100</v>
      </c>
      <c r="B92" s="53"/>
      <c r="C92" s="53"/>
      <c r="D92" s="54"/>
      <c r="F92" s="53">
        <v>15100</v>
      </c>
      <c r="G92" s="2">
        <v>22309.912715410821</v>
      </c>
      <c r="H92" s="2">
        <v>391869399.97099453</v>
      </c>
    </row>
    <row r="93" spans="1:8" x14ac:dyDescent="0.3">
      <c r="A93" s="53">
        <v>20100</v>
      </c>
      <c r="B93" s="53"/>
      <c r="C93" s="53"/>
      <c r="D93" s="54"/>
      <c r="F93" s="53">
        <v>20100</v>
      </c>
      <c r="G93" s="2">
        <v>19331.324518041376</v>
      </c>
      <c r="H93" s="2">
        <v>435064817.32391983</v>
      </c>
    </row>
    <row r="94" spans="1:8" x14ac:dyDescent="0.3">
      <c r="A94" s="53">
        <v>27562.5</v>
      </c>
      <c r="B94" s="53">
        <v>6990</v>
      </c>
      <c r="C94" s="53">
        <v>201636000</v>
      </c>
      <c r="D94" s="54">
        <v>2.1202374390360363</v>
      </c>
      <c r="F94" s="53">
        <v>25100</v>
      </c>
      <c r="G94" s="2">
        <v>16156.358894652914</v>
      </c>
      <c r="H94" s="2">
        <v>443037474.89957815</v>
      </c>
    </row>
    <row r="95" spans="1:8" x14ac:dyDescent="0.3">
      <c r="A95" s="53">
        <v>30100</v>
      </c>
      <c r="B95" s="53">
        <v>17752</v>
      </c>
      <c r="C95" s="53">
        <v>607613000</v>
      </c>
      <c r="D95" s="54">
        <v>2.1061629522969949</v>
      </c>
      <c r="F95" s="53">
        <v>30100</v>
      </c>
      <c r="G95" s="55">
        <v>17752</v>
      </c>
      <c r="H95" s="55">
        <v>607613000</v>
      </c>
    </row>
    <row r="96" spans="1:8" x14ac:dyDescent="0.3">
      <c r="A96" s="53">
        <v>40100</v>
      </c>
      <c r="B96" s="53">
        <v>7194</v>
      </c>
      <c r="C96" s="53">
        <v>320035000</v>
      </c>
      <c r="D96" s="54">
        <v>2.1193523987545935</v>
      </c>
      <c r="F96" s="53">
        <v>40100</v>
      </c>
      <c r="G96" s="55">
        <v>7194</v>
      </c>
      <c r="H96" s="55">
        <v>320035000</v>
      </c>
    </row>
    <row r="97" spans="1:8" x14ac:dyDescent="0.3">
      <c r="A97" s="53">
        <v>50100</v>
      </c>
      <c r="B97" s="53">
        <v>6739</v>
      </c>
      <c r="C97" s="53">
        <v>396234000</v>
      </c>
      <c r="D97" s="54">
        <v>2.0427336891620618</v>
      </c>
      <c r="F97" s="53">
        <v>50100</v>
      </c>
      <c r="G97" s="55">
        <v>6739</v>
      </c>
      <c r="H97" s="55">
        <v>396234000</v>
      </c>
    </row>
    <row r="98" spans="1:8" x14ac:dyDescent="0.3">
      <c r="A98" s="53">
        <v>70100</v>
      </c>
      <c r="B98" s="53">
        <v>4612</v>
      </c>
      <c r="C98" s="53">
        <v>383176000</v>
      </c>
      <c r="D98" s="54">
        <v>1.8764913549853932</v>
      </c>
      <c r="F98" s="53">
        <v>70100</v>
      </c>
      <c r="G98" s="55">
        <v>4612</v>
      </c>
      <c r="H98" s="55">
        <v>383176000</v>
      </c>
    </row>
    <row r="99" spans="1:8" x14ac:dyDescent="0.3">
      <c r="A99" s="53">
        <v>100100</v>
      </c>
      <c r="B99" s="53">
        <v>4246</v>
      </c>
      <c r="C99" s="53">
        <v>571175000</v>
      </c>
      <c r="D99" s="54">
        <v>1.7247604336072242</v>
      </c>
      <c r="F99" s="53">
        <v>100100</v>
      </c>
      <c r="G99" s="55">
        <v>4246</v>
      </c>
      <c r="H99" s="55">
        <v>571175000</v>
      </c>
    </row>
    <row r="100" spans="1:8" x14ac:dyDescent="0.3">
      <c r="A100" s="53">
        <v>200100</v>
      </c>
      <c r="B100" s="53">
        <v>1055</v>
      </c>
      <c r="C100" s="53">
        <v>273841000</v>
      </c>
      <c r="D100" s="54">
        <v>1.5421130744451452</v>
      </c>
      <c r="F100" s="53">
        <v>200100</v>
      </c>
      <c r="G100" s="55">
        <v>1055</v>
      </c>
      <c r="H100" s="55">
        <v>273841000</v>
      </c>
    </row>
    <row r="101" spans="1:8" x14ac:dyDescent="0.3">
      <c r="A101" s="53">
        <v>400000</v>
      </c>
      <c r="B101" s="53">
        <v>136</v>
      </c>
      <c r="C101" s="53">
        <v>93674000</v>
      </c>
      <c r="D101" s="54">
        <v>1.7219485294117647</v>
      </c>
      <c r="F101" s="53">
        <v>400000</v>
      </c>
      <c r="G101" s="55">
        <v>136</v>
      </c>
      <c r="H101" s="55">
        <v>93674000</v>
      </c>
    </row>
    <row r="102" spans="1:8" x14ac:dyDescent="0.3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3">
      <c r="A103" s="53">
        <v>15100</v>
      </c>
      <c r="B103" s="53"/>
      <c r="C103" s="53"/>
      <c r="D103" s="54"/>
      <c r="F103" s="53">
        <v>15100</v>
      </c>
      <c r="G103" s="2">
        <v>8288.6134831351101</v>
      </c>
      <c r="H103" s="2">
        <v>145587929.17123431</v>
      </c>
    </row>
    <row r="104" spans="1:8" x14ac:dyDescent="0.3">
      <c r="A104" s="53">
        <v>20100</v>
      </c>
      <c r="B104" s="53"/>
      <c r="C104" s="53"/>
      <c r="D104" s="54"/>
      <c r="F104" s="53">
        <v>20100</v>
      </c>
      <c r="G104" s="2">
        <v>7182.0037617815287</v>
      </c>
      <c r="H104" s="2">
        <v>161635957.83222464</v>
      </c>
    </row>
    <row r="105" spans="1:8" x14ac:dyDescent="0.3">
      <c r="A105" s="53">
        <v>25100</v>
      </c>
      <c r="B105" s="53"/>
      <c r="C105" s="53"/>
      <c r="D105" s="54"/>
      <c r="F105" s="53">
        <v>25100</v>
      </c>
      <c r="G105" s="2">
        <v>6002.4355935775375</v>
      </c>
      <c r="H105" s="2">
        <v>164597971.97907397</v>
      </c>
    </row>
    <row r="106" spans="1:8" x14ac:dyDescent="0.3">
      <c r="A106" s="53">
        <v>30625</v>
      </c>
      <c r="B106" s="53">
        <v>6249</v>
      </c>
      <c r="C106" s="53">
        <v>217144000</v>
      </c>
      <c r="D106" s="54">
        <v>2.0852535809132493</v>
      </c>
      <c r="F106" s="53">
        <v>30100</v>
      </c>
      <c r="G106" s="2">
        <v>6595.2506596306066</v>
      </c>
      <c r="H106" s="2">
        <v>227566144.85488126</v>
      </c>
    </row>
    <row r="107" spans="1:8" x14ac:dyDescent="0.3">
      <c r="A107" s="53">
        <v>40100</v>
      </c>
      <c r="B107" s="53">
        <v>2606</v>
      </c>
      <c r="C107" s="53">
        <v>115732000</v>
      </c>
      <c r="D107" s="54">
        <v>2.1592066548592297</v>
      </c>
      <c r="F107" s="53">
        <v>40100</v>
      </c>
      <c r="G107" s="55">
        <v>2606</v>
      </c>
      <c r="H107" s="55">
        <v>115732000</v>
      </c>
    </row>
    <row r="108" spans="1:8" x14ac:dyDescent="0.3">
      <c r="A108" s="53">
        <v>50100</v>
      </c>
      <c r="B108" s="53">
        <v>2084</v>
      </c>
      <c r="C108" s="53">
        <v>121692000</v>
      </c>
      <c r="D108" s="54">
        <v>2.1344754934575292</v>
      </c>
      <c r="F108" s="53">
        <v>50100</v>
      </c>
      <c r="G108" s="55">
        <v>2084</v>
      </c>
      <c r="H108" s="55">
        <v>121692000</v>
      </c>
    </row>
    <row r="109" spans="1:8" x14ac:dyDescent="0.3">
      <c r="A109" s="53">
        <v>70100</v>
      </c>
      <c r="B109" s="53">
        <v>1470</v>
      </c>
      <c r="C109" s="53">
        <v>122681000</v>
      </c>
      <c r="D109" s="54">
        <v>1.9607049381462636</v>
      </c>
      <c r="F109" s="53">
        <v>70100</v>
      </c>
      <c r="G109" s="55">
        <v>1470</v>
      </c>
      <c r="H109" s="55">
        <v>122681000</v>
      </c>
    </row>
    <row r="110" spans="1:8" x14ac:dyDescent="0.3">
      <c r="A110" s="53">
        <v>100100</v>
      </c>
      <c r="B110" s="53">
        <v>1423</v>
      </c>
      <c r="C110" s="53">
        <v>192498000</v>
      </c>
      <c r="D110" s="54">
        <v>1.8025744569623228</v>
      </c>
      <c r="F110" s="53">
        <v>100100</v>
      </c>
      <c r="G110" s="55">
        <v>1423</v>
      </c>
      <c r="H110" s="55">
        <v>192498000</v>
      </c>
    </row>
    <row r="111" spans="1:8" x14ac:dyDescent="0.3">
      <c r="A111" s="53">
        <v>200100</v>
      </c>
      <c r="B111" s="53">
        <v>383</v>
      </c>
      <c r="C111" s="53">
        <v>99955000</v>
      </c>
      <c r="D111" s="54">
        <v>1.6609898360512416</v>
      </c>
      <c r="F111" s="53">
        <v>200100</v>
      </c>
      <c r="G111" s="55">
        <v>383</v>
      </c>
      <c r="H111" s="55">
        <v>99955000</v>
      </c>
    </row>
    <row r="112" spans="1:8" x14ac:dyDescent="0.3">
      <c r="A112" s="53">
        <v>400000</v>
      </c>
      <c r="B112" s="53">
        <v>40</v>
      </c>
      <c r="C112" s="53">
        <v>40635000</v>
      </c>
      <c r="D112" s="54">
        <v>2.5396874999999999</v>
      </c>
      <c r="F112" s="53">
        <v>400000</v>
      </c>
      <c r="G112" s="55">
        <v>40</v>
      </c>
      <c r="H112" s="55">
        <v>40635000</v>
      </c>
    </row>
    <row r="113" spans="1:8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3">
      <c r="A114" s="53">
        <v>15100</v>
      </c>
      <c r="B114" s="53"/>
      <c r="C114" s="53"/>
      <c r="D114" s="54"/>
      <c r="F114" s="53">
        <v>15100</v>
      </c>
      <c r="G114" s="2">
        <v>3609.9678830999032</v>
      </c>
      <c r="H114" s="2">
        <v>63408403.533902884</v>
      </c>
    </row>
    <row r="115" spans="1:8" x14ac:dyDescent="0.3">
      <c r="A115" s="53">
        <v>20100</v>
      </c>
      <c r="B115" s="53"/>
      <c r="C115" s="53"/>
      <c r="D115" s="54"/>
      <c r="F115" s="53">
        <v>20100</v>
      </c>
      <c r="G115" s="2">
        <v>3128.0024058411486</v>
      </c>
      <c r="H115" s="2">
        <v>70397855.7711339</v>
      </c>
    </row>
    <row r="116" spans="1:8" x14ac:dyDescent="0.3">
      <c r="A116" s="53">
        <v>25100</v>
      </c>
      <c r="B116" s="53"/>
      <c r="C116" s="53"/>
      <c r="D116" s="54"/>
      <c r="F116" s="53">
        <v>25100</v>
      </c>
      <c r="G116" s="2">
        <v>2614.2610892979678</v>
      </c>
      <c r="H116" s="2">
        <v>71687911.817440107</v>
      </c>
    </row>
    <row r="117" spans="1:8" x14ac:dyDescent="0.3">
      <c r="A117" s="53">
        <v>33687.5</v>
      </c>
      <c r="B117" s="53">
        <v>1553</v>
      </c>
      <c r="C117" s="53">
        <v>57003000</v>
      </c>
      <c r="D117" s="54">
        <v>1.925218018894834</v>
      </c>
      <c r="F117" s="53">
        <v>30100</v>
      </c>
      <c r="G117" s="2">
        <v>2872.45184139706</v>
      </c>
      <c r="H117" s="2">
        <v>99112653.265652433</v>
      </c>
    </row>
    <row r="118" spans="1:8" x14ac:dyDescent="0.3">
      <c r="A118" s="53">
        <v>40100</v>
      </c>
      <c r="B118" s="53">
        <v>1135</v>
      </c>
      <c r="C118" s="53">
        <v>50162000</v>
      </c>
      <c r="D118" s="54">
        <v>1.9855460976063726</v>
      </c>
      <c r="F118" s="53">
        <v>40100</v>
      </c>
      <c r="G118" s="55">
        <v>1135</v>
      </c>
      <c r="H118" s="55">
        <v>50162000</v>
      </c>
    </row>
    <row r="119" spans="1:8" x14ac:dyDescent="0.3">
      <c r="A119" s="53">
        <v>50100</v>
      </c>
      <c r="B119" s="53">
        <v>747</v>
      </c>
      <c r="C119" s="53">
        <v>43566000</v>
      </c>
      <c r="D119" s="54">
        <v>2.0287355191041794</v>
      </c>
      <c r="F119" s="53">
        <v>50100</v>
      </c>
      <c r="G119" s="55">
        <v>747</v>
      </c>
      <c r="H119" s="55">
        <v>43566000</v>
      </c>
    </row>
    <row r="120" spans="1:8" x14ac:dyDescent="0.3">
      <c r="A120" s="53">
        <v>70100</v>
      </c>
      <c r="B120" s="53">
        <v>511</v>
      </c>
      <c r="C120" s="53">
        <v>42422000</v>
      </c>
      <c r="D120" s="54">
        <v>1.8777358969511317</v>
      </c>
      <c r="F120" s="53">
        <v>70100</v>
      </c>
      <c r="G120" s="55">
        <v>511</v>
      </c>
      <c r="H120" s="55">
        <v>42422000</v>
      </c>
    </row>
    <row r="121" spans="1:8" x14ac:dyDescent="0.3">
      <c r="A121" s="53">
        <v>100100</v>
      </c>
      <c r="B121" s="53">
        <v>435</v>
      </c>
      <c r="C121" s="53">
        <v>59101000</v>
      </c>
      <c r="D121" s="54">
        <v>1.7518748856777027</v>
      </c>
      <c r="F121" s="53">
        <v>100100</v>
      </c>
      <c r="G121" s="55">
        <v>435</v>
      </c>
      <c r="H121" s="55">
        <v>59101000</v>
      </c>
    </row>
    <row r="122" spans="1:8" x14ac:dyDescent="0.3">
      <c r="A122" s="53">
        <v>200100</v>
      </c>
      <c r="B122" s="53">
        <v>117</v>
      </c>
      <c r="C122" s="53">
        <v>30952000</v>
      </c>
      <c r="D122" s="54">
        <v>1.5219833692176468</v>
      </c>
      <c r="F122" s="53">
        <v>200100</v>
      </c>
      <c r="G122" s="55">
        <v>117</v>
      </c>
      <c r="H122" s="55">
        <v>30952000</v>
      </c>
    </row>
    <row r="123" spans="1:8" x14ac:dyDescent="0.3">
      <c r="A123" s="53">
        <v>400000</v>
      </c>
      <c r="B123" s="53">
        <v>16</v>
      </c>
      <c r="C123" s="53">
        <v>9553000</v>
      </c>
      <c r="D123" s="54">
        <v>1.49265625</v>
      </c>
      <c r="F123" s="53">
        <v>400000</v>
      </c>
      <c r="G123" s="55">
        <v>16</v>
      </c>
      <c r="H123" s="55">
        <v>9553000</v>
      </c>
    </row>
    <row r="124" spans="1:8" x14ac:dyDescent="0.3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3">
      <c r="A125" s="53">
        <v>15100</v>
      </c>
      <c r="B125" s="53"/>
      <c r="C125" s="53"/>
      <c r="D125" s="54"/>
      <c r="F125" s="53">
        <v>15100</v>
      </c>
      <c r="G125" s="2">
        <v>1599.8359869596929</v>
      </c>
      <c r="H125" s="2">
        <v>28100816.720311146</v>
      </c>
    </row>
    <row r="126" spans="1:8" x14ac:dyDescent="0.3">
      <c r="A126" s="53">
        <v>20100</v>
      </c>
      <c r="B126" s="53"/>
      <c r="C126" s="53"/>
      <c r="D126" s="54"/>
      <c r="F126" s="53">
        <v>20100</v>
      </c>
      <c r="G126" s="2">
        <v>1386.2424758925972</v>
      </c>
      <c r="H126" s="2">
        <v>31198344.892405596</v>
      </c>
    </row>
    <row r="127" spans="1:8" x14ac:dyDescent="0.3">
      <c r="A127" s="53">
        <v>25100</v>
      </c>
      <c r="B127" s="53"/>
      <c r="C127" s="53"/>
      <c r="D127" s="54"/>
      <c r="F127" s="53">
        <v>25100</v>
      </c>
      <c r="G127" s="2">
        <v>1158.5668087373374</v>
      </c>
      <c r="H127" s="2">
        <v>31770061.360504299</v>
      </c>
    </row>
    <row r="128" spans="1:8" x14ac:dyDescent="0.3">
      <c r="A128" s="53">
        <v>36750</v>
      </c>
      <c r="B128" s="53">
        <v>304</v>
      </c>
      <c r="C128" s="53">
        <v>11690000</v>
      </c>
      <c r="D128" s="54">
        <v>1.8732526230831317</v>
      </c>
      <c r="F128" s="53">
        <v>30100</v>
      </c>
      <c r="G128" s="2">
        <v>1272.9896706808117</v>
      </c>
      <c r="H128" s="2">
        <v>43923933.561782531</v>
      </c>
    </row>
    <row r="129" spans="1:8" x14ac:dyDescent="0.3">
      <c r="A129" s="53">
        <v>40100</v>
      </c>
      <c r="B129" s="53">
        <v>503</v>
      </c>
      <c r="C129" s="53">
        <v>22291000</v>
      </c>
      <c r="D129" s="54">
        <v>1.9134912505244148</v>
      </c>
      <c r="F129" s="53">
        <v>40100</v>
      </c>
      <c r="G129" s="55">
        <v>503</v>
      </c>
      <c r="H129" s="55">
        <v>22291000</v>
      </c>
    </row>
    <row r="130" spans="1:8" x14ac:dyDescent="0.3">
      <c r="A130" s="53">
        <v>50100</v>
      </c>
      <c r="B130" s="53">
        <v>295</v>
      </c>
      <c r="C130" s="53">
        <v>16944000</v>
      </c>
      <c r="D130" s="54">
        <v>2.0187469372631983</v>
      </c>
      <c r="F130" s="53">
        <v>50100</v>
      </c>
      <c r="G130" s="55">
        <v>295</v>
      </c>
      <c r="H130" s="55">
        <v>16944000</v>
      </c>
    </row>
    <row r="131" spans="1:8" x14ac:dyDescent="0.3">
      <c r="A131" s="53">
        <v>70100</v>
      </c>
      <c r="B131" s="53">
        <v>162</v>
      </c>
      <c r="C131" s="53">
        <v>13602000</v>
      </c>
      <c r="D131" s="54">
        <v>1.9358404118207233</v>
      </c>
      <c r="F131" s="53">
        <v>70100</v>
      </c>
      <c r="G131" s="55">
        <v>162</v>
      </c>
      <c r="H131" s="55">
        <v>13602000</v>
      </c>
    </row>
    <row r="132" spans="1:8" x14ac:dyDescent="0.3">
      <c r="A132" s="53">
        <v>100100</v>
      </c>
      <c r="B132" s="53">
        <v>151</v>
      </c>
      <c r="C132" s="53">
        <v>20565000</v>
      </c>
      <c r="D132" s="54">
        <v>1.7525128899536482</v>
      </c>
      <c r="F132" s="53">
        <v>100100</v>
      </c>
      <c r="G132" s="55">
        <v>151</v>
      </c>
      <c r="H132" s="55">
        <v>20565000</v>
      </c>
    </row>
    <row r="133" spans="1:8" x14ac:dyDescent="0.3">
      <c r="A133" s="53">
        <v>200100</v>
      </c>
      <c r="B133" s="53">
        <v>57</v>
      </c>
      <c r="C133" s="53">
        <v>14757000</v>
      </c>
      <c r="D133" s="54">
        <v>1.3701482592037315</v>
      </c>
      <c r="F133" s="53">
        <v>200100</v>
      </c>
      <c r="G133" s="55">
        <v>57</v>
      </c>
      <c r="H133" s="55">
        <v>14757000</v>
      </c>
    </row>
    <row r="134" spans="1:8" x14ac:dyDescent="0.3">
      <c r="A134" s="53">
        <v>400000</v>
      </c>
      <c r="B134" s="53">
        <v>3</v>
      </c>
      <c r="C134" s="53">
        <v>1693000</v>
      </c>
      <c r="D134" s="54">
        <v>1.4108333333333334</v>
      </c>
      <c r="F134" s="53">
        <v>400000</v>
      </c>
      <c r="G134" s="55">
        <v>3</v>
      </c>
      <c r="H134" s="55">
        <v>1693000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C1" workbookViewId="0">
      <selection activeCell="I4" sqref="I4:J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5" x14ac:dyDescent="0.3">
      <c r="A1" s="79" t="s">
        <v>238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6725</v>
      </c>
      <c r="M3" t="s">
        <v>7</v>
      </c>
      <c r="N3" t="s">
        <v>8</v>
      </c>
      <c r="O3" t="s">
        <v>14</v>
      </c>
    </row>
    <row r="4" spans="1:15" x14ac:dyDescent="0.3">
      <c r="A4" s="53">
        <v>15100</v>
      </c>
      <c r="B4" s="53">
        <v>1094555</v>
      </c>
      <c r="C4" s="53">
        <v>19104717000</v>
      </c>
      <c r="D4" s="54">
        <v>1.6795663132643981</v>
      </c>
      <c r="F4" s="53">
        <v>15100</v>
      </c>
      <c r="G4" s="53">
        <v>1094555</v>
      </c>
      <c r="H4" s="53">
        <v>19104717000</v>
      </c>
      <c r="I4" s="2">
        <f>J4/6.55957</f>
        <v>2286.7352585611557</v>
      </c>
      <c r="J4" s="53">
        <v>15000</v>
      </c>
      <c r="K4" s="2">
        <f>G4+G15+G26+G37+G48+G59+G70+G81+G92+G103+G114+G125</f>
        <v>2810998.0979779502</v>
      </c>
      <c r="L4" s="2">
        <f>H4+H15+H26+H37+H48+H59+H70+H81+H92+H103+H114+H125</f>
        <v>49582692087.382118</v>
      </c>
      <c r="M4">
        <f>1-SUM(K4:$K$13)/$K$15</f>
        <v>0.3981539641702575</v>
      </c>
      <c r="N4">
        <f>SUM(L4:$L$13)/(J4*SUM(K4:$K$13))</f>
        <v>2.5788254315404022</v>
      </c>
      <c r="O4">
        <f>(G4+G15+G37)/K4</f>
        <v>0.50466487366905632</v>
      </c>
    </row>
    <row r="5" spans="1:15" x14ac:dyDescent="0.3">
      <c r="A5" s="53">
        <v>20100</v>
      </c>
      <c r="B5" s="53">
        <v>650079</v>
      </c>
      <c r="C5" s="53">
        <v>14480514000</v>
      </c>
      <c r="D5" s="54">
        <v>1.5625720899947213</v>
      </c>
      <c r="F5" s="53">
        <v>20100</v>
      </c>
      <c r="G5" s="53">
        <v>650079</v>
      </c>
      <c r="H5" s="53">
        <v>14480514000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2394369.0330150551</v>
      </c>
      <c r="L5" s="2">
        <f t="shared" si="1"/>
        <v>53760166483.754181</v>
      </c>
      <c r="M5">
        <f>1-SUM(K5:$K$13)/$K$15</f>
        <v>0.52310375543154897</v>
      </c>
      <c r="N5">
        <f>SUM(L5:$L$13)/(J5*SUM(K5:$K$13))</f>
        <v>2.2097962809187184</v>
      </c>
      <c r="O5">
        <f t="shared" ref="O5:O13" si="2">(G5+G16+G38)/K5</f>
        <v>0.37285397016508554</v>
      </c>
    </row>
    <row r="6" spans="1:15" x14ac:dyDescent="0.3">
      <c r="A6" s="53">
        <v>25100</v>
      </c>
      <c r="B6" s="53">
        <v>322671</v>
      </c>
      <c r="C6" s="53">
        <v>8791765000</v>
      </c>
      <c r="D6" s="54">
        <v>1.5540251224162724</v>
      </c>
      <c r="F6" s="53">
        <v>25100</v>
      </c>
      <c r="G6" s="53">
        <v>322671</v>
      </c>
      <c r="H6" s="53">
        <v>8791765000</v>
      </c>
      <c r="I6" s="2">
        <f t="shared" si="0"/>
        <v>3811.2254309352597</v>
      </c>
      <c r="J6" s="53">
        <v>25000</v>
      </c>
      <c r="K6" s="2">
        <f t="shared" si="1"/>
        <v>1767599.4810979785</v>
      </c>
      <c r="L6" s="2">
        <f t="shared" si="1"/>
        <v>48395586549.834793</v>
      </c>
      <c r="M6">
        <f>1-SUM(K6:$K$13)/$K$15</f>
        <v>0.62953424753787202</v>
      </c>
      <c r="N6">
        <f>SUM(L6:$L$13)/(J6*SUM(K6:$K$13))</f>
        <v>2.0176994739453531</v>
      </c>
      <c r="O6">
        <f t="shared" si="2"/>
        <v>0.2629385248016135</v>
      </c>
    </row>
    <row r="7" spans="1:15" x14ac:dyDescent="0.3">
      <c r="A7" s="53">
        <v>30100</v>
      </c>
      <c r="B7" s="53">
        <v>264902</v>
      </c>
      <c r="C7" s="53">
        <v>9062822000</v>
      </c>
      <c r="D7" s="54">
        <v>1.5707088781459819</v>
      </c>
      <c r="F7" s="53">
        <v>30100</v>
      </c>
      <c r="G7" s="53">
        <v>264902</v>
      </c>
      <c r="H7" s="53">
        <v>9062822000</v>
      </c>
      <c r="I7" s="2">
        <f t="shared" si="0"/>
        <v>4573.4705171223113</v>
      </c>
      <c r="J7" s="53">
        <v>30000</v>
      </c>
      <c r="K7" s="2">
        <f t="shared" si="1"/>
        <v>2594283.0835095746</v>
      </c>
      <c r="L7" s="2">
        <f t="shared" si="1"/>
        <v>90159304841.760468</v>
      </c>
      <c r="M7">
        <f>1-SUM(K7:$K$13)/$K$15</f>
        <v>0.70810462663404894</v>
      </c>
      <c r="N7">
        <f>SUM(L7:$L$13)/(J7*SUM(K7:$K$13))</f>
        <v>1.88834945600117</v>
      </c>
      <c r="O7">
        <f t="shared" si="2"/>
        <v>0.15777229655534983</v>
      </c>
    </row>
    <row r="8" spans="1:15" x14ac:dyDescent="0.3">
      <c r="A8" s="53">
        <v>40100</v>
      </c>
      <c r="B8" s="53">
        <v>92483</v>
      </c>
      <c r="C8" s="53">
        <v>4098492000</v>
      </c>
      <c r="D8" s="54">
        <v>1.6244503485402213</v>
      </c>
      <c r="F8" s="53">
        <v>40100</v>
      </c>
      <c r="G8" s="53">
        <v>92483</v>
      </c>
      <c r="H8" s="53">
        <v>4098492000</v>
      </c>
      <c r="I8" s="2">
        <f t="shared" si="0"/>
        <v>6097.9606894964154</v>
      </c>
      <c r="J8" s="53">
        <v>40000</v>
      </c>
      <c r="K8" s="2">
        <f t="shared" si="1"/>
        <v>1539890.3076923077</v>
      </c>
      <c r="L8" s="2">
        <f t="shared" si="1"/>
        <v>68633411938.46154</v>
      </c>
      <c r="M8">
        <f>1-SUM(K8:$K$13)/$K$15</f>
        <v>0.82342136412682665</v>
      </c>
      <c r="N8">
        <f>SUM(L8:$L$13)/(J8*SUM(K8:$K$13))</f>
        <v>1.7737711061255019</v>
      </c>
      <c r="O8">
        <f t="shared" si="2"/>
        <v>0.10418079729355348</v>
      </c>
    </row>
    <row r="9" spans="1:15" x14ac:dyDescent="0.3">
      <c r="A9" s="53">
        <v>50100</v>
      </c>
      <c r="B9" s="53">
        <v>60364</v>
      </c>
      <c r="C9" s="53">
        <v>3494765000</v>
      </c>
      <c r="D9" s="54">
        <v>1.6797003450057713</v>
      </c>
      <c r="F9" s="53">
        <v>50100</v>
      </c>
      <c r="G9" s="53">
        <v>60364</v>
      </c>
      <c r="H9" s="53">
        <v>3494765000</v>
      </c>
      <c r="I9" s="2">
        <f t="shared" si="0"/>
        <v>7622.4508618705195</v>
      </c>
      <c r="J9" s="53">
        <v>50000</v>
      </c>
      <c r="K9" s="2">
        <f t="shared" si="1"/>
        <v>1351107</v>
      </c>
      <c r="L9" s="2">
        <f t="shared" si="1"/>
        <v>78694569000</v>
      </c>
      <c r="M9">
        <f>1-SUM(K9:$K$13)/$K$15</f>
        <v>0.89186999546878543</v>
      </c>
      <c r="N9">
        <f>SUM(L9:$L$13)/(J9*SUM(K9:$K$13))</f>
        <v>1.753005665124971</v>
      </c>
      <c r="O9">
        <f t="shared" si="2"/>
        <v>7.9225405537829349E-2</v>
      </c>
    </row>
    <row r="10" spans="1:15" x14ac:dyDescent="0.3">
      <c r="A10" s="53">
        <v>70100</v>
      </c>
      <c r="B10" s="53">
        <v>24071</v>
      </c>
      <c r="C10" s="53">
        <v>1972850000</v>
      </c>
      <c r="D10" s="54">
        <v>1.7528797282936677</v>
      </c>
      <c r="F10" s="53">
        <v>70100</v>
      </c>
      <c r="G10" s="53">
        <v>24071</v>
      </c>
      <c r="H10" s="53">
        <v>1972850000</v>
      </c>
      <c r="I10" s="2">
        <f t="shared" si="0"/>
        <v>10671.431206618727</v>
      </c>
      <c r="J10" s="53">
        <v>70000</v>
      </c>
      <c r="K10" s="2">
        <f t="shared" si="1"/>
        <v>609558</v>
      </c>
      <c r="L10" s="2">
        <f t="shared" si="1"/>
        <v>49965848000</v>
      </c>
      <c r="M10">
        <f>1-SUM(K10:$K$13)/$K$15</f>
        <v>0.95192714660777344</v>
      </c>
      <c r="N10">
        <f>SUM(L10:$L$13)/(J10*SUM(K10:$K$13))</f>
        <v>1.7769535770028606</v>
      </c>
      <c r="O10">
        <f t="shared" si="2"/>
        <v>7.4972357019348443E-2</v>
      </c>
    </row>
    <row r="11" spans="1:15" x14ac:dyDescent="0.3">
      <c r="A11" s="53">
        <v>100100</v>
      </c>
      <c r="B11" s="53">
        <v>13446</v>
      </c>
      <c r="C11" s="53">
        <v>1769952000</v>
      </c>
      <c r="D11" s="54">
        <v>1.8110979821435904</v>
      </c>
      <c r="F11" s="53">
        <v>100100</v>
      </c>
      <c r="G11" s="53">
        <v>13446</v>
      </c>
      <c r="H11" s="53">
        <v>1769952000</v>
      </c>
      <c r="I11" s="2">
        <f t="shared" si="0"/>
        <v>15244.901723741039</v>
      </c>
      <c r="J11" s="53">
        <v>100000</v>
      </c>
      <c r="K11" s="2">
        <f t="shared" si="1"/>
        <v>370077</v>
      </c>
      <c r="L11" s="2">
        <f t="shared" si="1"/>
        <v>49064140000</v>
      </c>
      <c r="M11">
        <f>1-SUM(K11:$K$13)/$K$15</f>
        <v>0.97902220046655686</v>
      </c>
      <c r="N11">
        <f>SUM(L11:$L$13)/(J11*SUM(K11:$K$13))</f>
        <v>1.7917168144968194</v>
      </c>
      <c r="O11">
        <f t="shared" si="2"/>
        <v>7.4430456364486308E-2</v>
      </c>
    </row>
    <row r="12" spans="1:15" x14ac:dyDescent="0.3">
      <c r="A12" s="53">
        <v>200100</v>
      </c>
      <c r="B12" s="53">
        <v>2722</v>
      </c>
      <c r="C12" s="53">
        <v>720023000</v>
      </c>
      <c r="D12" s="54">
        <v>1.8830906655018025</v>
      </c>
      <c r="F12" s="53">
        <v>200100</v>
      </c>
      <c r="G12" s="53">
        <v>2722</v>
      </c>
      <c r="H12" s="53">
        <v>720023000</v>
      </c>
      <c r="I12" s="2">
        <f t="shared" si="0"/>
        <v>30489.803447482078</v>
      </c>
      <c r="J12" s="53">
        <v>200000</v>
      </c>
      <c r="K12" s="2">
        <f t="shared" si="1"/>
        <v>82051</v>
      </c>
      <c r="L12" s="2">
        <f t="shared" si="1"/>
        <v>21615680000</v>
      </c>
      <c r="M12">
        <f>1-SUM(K12:$K$13)/$K$15</f>
        <v>0.99547224500193654</v>
      </c>
      <c r="N12">
        <f>SUM(L12:$L$13)/(J12*SUM(K12:$K$13))</f>
        <v>1.7422656855911487</v>
      </c>
      <c r="O12">
        <f t="shared" si="2"/>
        <v>7.4965570194147541E-2</v>
      </c>
    </row>
    <row r="13" spans="1:15" x14ac:dyDescent="0.3">
      <c r="A13" s="53">
        <v>400000</v>
      </c>
      <c r="B13" s="53">
        <v>693</v>
      </c>
      <c r="C13" s="53">
        <v>566771000</v>
      </c>
      <c r="D13" s="54">
        <v>2.0446284271284272</v>
      </c>
      <c r="F13" s="53">
        <v>400000</v>
      </c>
      <c r="G13" s="53">
        <v>693</v>
      </c>
      <c r="H13" s="53">
        <v>566771000</v>
      </c>
      <c r="I13" s="2">
        <f t="shared" si="0"/>
        <v>60979.606894964156</v>
      </c>
      <c r="J13" s="53">
        <v>400000</v>
      </c>
      <c r="K13" s="2">
        <f t="shared" si="1"/>
        <v>19810</v>
      </c>
      <c r="L13" s="2">
        <f>H13+H24+H35+H46+H57+H68+H79+H90+H101+H112+H123+H134</f>
        <v>13878105000</v>
      </c>
      <c r="M13">
        <f>1-SUM(K13:$K$13)/$K$15</f>
        <v>0.99911943897554867</v>
      </c>
      <c r="N13">
        <f>SUM(L13:$L$13)/(J13*SUM(K13:$K$13))</f>
        <v>1.7514014386673398</v>
      </c>
      <c r="O13">
        <f t="shared" si="2"/>
        <v>8.9348813730439167E-2</v>
      </c>
    </row>
    <row r="14" spans="1:15" x14ac:dyDescent="0.3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3">
      <c r="A15" s="53">
        <v>15100</v>
      </c>
      <c r="B15" s="53">
        <v>253479</v>
      </c>
      <c r="C15" s="53">
        <v>4464783000</v>
      </c>
      <c r="D15" s="54">
        <v>2.0954419487420304</v>
      </c>
      <c r="F15" s="53">
        <v>15100</v>
      </c>
      <c r="G15" s="53">
        <v>253479</v>
      </c>
      <c r="H15" s="53">
        <v>4464783000</v>
      </c>
      <c r="K15" s="5">
        <v>22497021.160280854</v>
      </c>
    </row>
    <row r="16" spans="1:15" x14ac:dyDescent="0.3">
      <c r="A16" s="53">
        <v>20100</v>
      </c>
      <c r="B16" s="53">
        <v>193607</v>
      </c>
      <c r="C16" s="53">
        <v>4326419000</v>
      </c>
      <c r="D16" s="54">
        <v>1.8912090193933209</v>
      </c>
      <c r="F16" s="53">
        <v>20100</v>
      </c>
      <c r="G16" s="53">
        <v>193607</v>
      </c>
      <c r="H16" s="53">
        <v>4326419000</v>
      </c>
    </row>
    <row r="17" spans="1:8" x14ac:dyDescent="0.3">
      <c r="A17" s="53">
        <v>25100</v>
      </c>
      <c r="B17" s="53">
        <v>112313</v>
      </c>
      <c r="C17" s="53">
        <v>3056201000</v>
      </c>
      <c r="D17" s="54">
        <v>1.8461174403116436</v>
      </c>
      <c r="F17" s="53">
        <v>25100</v>
      </c>
      <c r="G17" s="53">
        <v>112313</v>
      </c>
      <c r="H17" s="53">
        <v>3056201000</v>
      </c>
    </row>
    <row r="18" spans="1:8" x14ac:dyDescent="0.3">
      <c r="A18" s="53">
        <v>30100</v>
      </c>
      <c r="B18" s="53">
        <v>117887</v>
      </c>
      <c r="C18" s="53">
        <v>4090411000</v>
      </c>
      <c r="D18" s="54">
        <v>1.822570925443658</v>
      </c>
      <c r="F18" s="53">
        <v>30100</v>
      </c>
      <c r="G18" s="53">
        <v>117887</v>
      </c>
      <c r="H18" s="53">
        <v>4090411000</v>
      </c>
    </row>
    <row r="19" spans="1:8" x14ac:dyDescent="0.3">
      <c r="A19" s="53">
        <v>40100</v>
      </c>
      <c r="B19" s="53">
        <v>58602</v>
      </c>
      <c r="C19" s="53">
        <v>2598337000</v>
      </c>
      <c r="D19" s="54">
        <v>1.8097844356496822</v>
      </c>
      <c r="F19" s="53">
        <v>40100</v>
      </c>
      <c r="G19" s="53">
        <v>58602</v>
      </c>
      <c r="H19" s="53">
        <v>2598337000</v>
      </c>
    </row>
    <row r="20" spans="1:8" x14ac:dyDescent="0.3">
      <c r="A20" s="53">
        <v>50100</v>
      </c>
      <c r="B20" s="53">
        <v>40406</v>
      </c>
      <c r="C20" s="53">
        <v>2346761000</v>
      </c>
      <c r="D20" s="54">
        <v>1.8854915397434076</v>
      </c>
      <c r="F20" s="53">
        <v>50100</v>
      </c>
      <c r="G20" s="53">
        <v>40406</v>
      </c>
      <c r="H20" s="53">
        <v>2346761000</v>
      </c>
    </row>
    <row r="21" spans="1:8" x14ac:dyDescent="0.3">
      <c r="A21" s="53">
        <v>70100</v>
      </c>
      <c r="B21" s="53">
        <v>18848</v>
      </c>
      <c r="C21" s="53">
        <v>1548789000</v>
      </c>
      <c r="D21" s="54">
        <v>1.9437415505384461</v>
      </c>
      <c r="F21" s="53">
        <v>70100</v>
      </c>
      <c r="G21" s="53">
        <v>18848</v>
      </c>
      <c r="H21" s="53">
        <v>1548789000</v>
      </c>
    </row>
    <row r="22" spans="1:8" x14ac:dyDescent="0.3">
      <c r="A22" s="53">
        <v>100100</v>
      </c>
      <c r="B22" s="53">
        <v>12403</v>
      </c>
      <c r="C22" s="53">
        <v>1650569000</v>
      </c>
      <c r="D22" s="54">
        <v>1.984885521142258</v>
      </c>
      <c r="F22" s="53">
        <v>100100</v>
      </c>
      <c r="G22" s="53">
        <v>12403</v>
      </c>
      <c r="H22" s="53">
        <v>1650569000</v>
      </c>
    </row>
    <row r="23" spans="1:8" x14ac:dyDescent="0.3">
      <c r="A23" s="53">
        <v>200100</v>
      </c>
      <c r="B23" s="53">
        <v>2991</v>
      </c>
      <c r="C23" s="53">
        <v>790167000</v>
      </c>
      <c r="D23" s="54">
        <v>2.0290402569415926</v>
      </c>
      <c r="F23" s="53">
        <v>200100</v>
      </c>
      <c r="G23" s="53">
        <v>2991</v>
      </c>
      <c r="H23" s="53">
        <v>790167000</v>
      </c>
    </row>
    <row r="24" spans="1:8" x14ac:dyDescent="0.3">
      <c r="A24" s="53">
        <v>400000</v>
      </c>
      <c r="B24" s="53">
        <v>934</v>
      </c>
      <c r="C24" s="53">
        <v>803426000</v>
      </c>
      <c r="D24" s="54">
        <v>2.1504978586723769</v>
      </c>
      <c r="F24" s="53">
        <v>400000</v>
      </c>
      <c r="G24" s="53">
        <v>934</v>
      </c>
      <c r="H24" s="53">
        <v>803426000</v>
      </c>
    </row>
    <row r="25" spans="1:8" x14ac:dyDescent="0.3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3">
      <c r="A26" s="53">
        <v>15100</v>
      </c>
      <c r="B26" s="53">
        <v>575601</v>
      </c>
      <c r="C26" s="53">
        <v>10243450000</v>
      </c>
      <c r="D26" s="54">
        <v>2.7710742918994025</v>
      </c>
      <c r="F26" s="53">
        <v>15100</v>
      </c>
      <c r="G26" s="53">
        <v>575601</v>
      </c>
      <c r="H26" s="53">
        <v>10243450000</v>
      </c>
    </row>
    <row r="27" spans="1:8" x14ac:dyDescent="0.3">
      <c r="A27" s="53">
        <v>20100</v>
      </c>
      <c r="B27" s="53">
        <v>620757</v>
      </c>
      <c r="C27" s="53">
        <v>13961317000</v>
      </c>
      <c r="D27" s="54">
        <v>2.2978607152374226</v>
      </c>
      <c r="F27" s="53">
        <v>20100</v>
      </c>
      <c r="G27" s="53">
        <v>620757</v>
      </c>
      <c r="H27" s="53">
        <v>13961317000</v>
      </c>
    </row>
    <row r="28" spans="1:8" x14ac:dyDescent="0.3">
      <c r="A28" s="53">
        <v>25100</v>
      </c>
      <c r="B28" s="53">
        <v>474937</v>
      </c>
      <c r="C28" s="53">
        <v>12974521000</v>
      </c>
      <c r="D28" s="54">
        <v>2.0685266926786507</v>
      </c>
      <c r="F28" s="53">
        <v>25100</v>
      </c>
      <c r="G28" s="53">
        <v>474937</v>
      </c>
      <c r="H28" s="53">
        <v>12974521000</v>
      </c>
    </row>
    <row r="29" spans="1:8" x14ac:dyDescent="0.3">
      <c r="A29" s="53">
        <v>30100</v>
      </c>
      <c r="B29" s="53">
        <v>818133</v>
      </c>
      <c r="C29" s="53">
        <v>28535011000</v>
      </c>
      <c r="D29" s="54">
        <v>1.910576015955292</v>
      </c>
      <c r="F29" s="53">
        <v>30100</v>
      </c>
      <c r="G29" s="53">
        <v>818133</v>
      </c>
      <c r="H29" s="53">
        <v>28535011000</v>
      </c>
    </row>
    <row r="30" spans="1:8" x14ac:dyDescent="0.3">
      <c r="A30" s="53">
        <v>40100</v>
      </c>
      <c r="B30" s="53">
        <v>499639</v>
      </c>
      <c r="C30" s="53">
        <v>22253722000</v>
      </c>
      <c r="D30" s="54">
        <v>1.7969019899978818</v>
      </c>
      <c r="F30" s="53">
        <v>40100</v>
      </c>
      <c r="G30" s="53">
        <v>499639</v>
      </c>
      <c r="H30" s="53">
        <v>22253722000</v>
      </c>
    </row>
    <row r="31" spans="1:8" x14ac:dyDescent="0.3">
      <c r="A31" s="53">
        <v>50100</v>
      </c>
      <c r="B31" s="53">
        <v>434537</v>
      </c>
      <c r="C31" s="53">
        <v>25298128000</v>
      </c>
      <c r="D31" s="54">
        <v>1.7932116911164393</v>
      </c>
      <c r="F31" s="53">
        <v>50100</v>
      </c>
      <c r="G31" s="53">
        <v>434537</v>
      </c>
      <c r="H31" s="53">
        <v>25298128000</v>
      </c>
    </row>
    <row r="32" spans="1:8" x14ac:dyDescent="0.3">
      <c r="A32" s="53">
        <v>70100</v>
      </c>
      <c r="B32" s="53">
        <v>190567</v>
      </c>
      <c r="C32" s="53">
        <v>15605531000</v>
      </c>
      <c r="D32" s="54">
        <v>1.8606308942694751</v>
      </c>
      <c r="F32" s="53">
        <v>70100</v>
      </c>
      <c r="G32" s="53">
        <v>190567</v>
      </c>
      <c r="H32" s="53">
        <v>15605531000</v>
      </c>
    </row>
    <row r="33" spans="1:8" x14ac:dyDescent="0.3">
      <c r="A33" s="53">
        <v>100100</v>
      </c>
      <c r="B33" s="53">
        <v>109443</v>
      </c>
      <c r="C33" s="53">
        <v>14440457000</v>
      </c>
      <c r="D33" s="54">
        <v>1.9275844227687045</v>
      </c>
      <c r="F33" s="53">
        <v>100100</v>
      </c>
      <c r="G33" s="53">
        <v>109443</v>
      </c>
      <c r="H33" s="53">
        <v>14440457000</v>
      </c>
    </row>
    <row r="34" spans="1:8" x14ac:dyDescent="0.3">
      <c r="A34" s="53">
        <v>200100</v>
      </c>
      <c r="B34" s="53">
        <v>30080</v>
      </c>
      <c r="C34" s="53">
        <v>8011171000</v>
      </c>
      <c r="D34" s="54">
        <v>1.8307195402558394</v>
      </c>
      <c r="F34" s="53">
        <v>200100</v>
      </c>
      <c r="G34" s="53">
        <v>30080</v>
      </c>
      <c r="H34" s="53">
        <v>8011171000</v>
      </c>
    </row>
    <row r="35" spans="1:8" x14ac:dyDescent="0.3">
      <c r="A35" s="53">
        <v>400000</v>
      </c>
      <c r="B35" s="53">
        <v>8430</v>
      </c>
      <c r="C35" s="53">
        <v>6096081000</v>
      </c>
      <c r="D35" s="54">
        <v>1.8078532028469751</v>
      </c>
      <c r="F35" s="53">
        <v>400000</v>
      </c>
      <c r="G35" s="53">
        <v>8430</v>
      </c>
      <c r="H35" s="53">
        <v>6096081000</v>
      </c>
    </row>
    <row r="36" spans="1:8" x14ac:dyDescent="0.3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3">
      <c r="A37" s="53">
        <v>15100</v>
      </c>
      <c r="B37" s="53">
        <v>70578</v>
      </c>
      <c r="C37" s="53">
        <v>1234157000</v>
      </c>
      <c r="D37" s="54">
        <v>1.8500135082941196</v>
      </c>
      <c r="F37" s="53">
        <v>15100</v>
      </c>
      <c r="G37" s="53">
        <v>70578</v>
      </c>
      <c r="H37" s="53">
        <v>1234157000</v>
      </c>
    </row>
    <row r="38" spans="1:8" x14ac:dyDescent="0.3">
      <c r="A38" s="53">
        <v>20100</v>
      </c>
      <c r="B38" s="53">
        <v>49064</v>
      </c>
      <c r="C38" s="53">
        <v>1097597000</v>
      </c>
      <c r="D38" s="54">
        <v>1.6809055271883586</v>
      </c>
      <c r="F38" s="53">
        <v>20100</v>
      </c>
      <c r="G38" s="53">
        <v>49064</v>
      </c>
      <c r="H38" s="53">
        <v>1097597000</v>
      </c>
    </row>
    <row r="39" spans="1:8" x14ac:dyDescent="0.3">
      <c r="A39" s="53">
        <v>25100</v>
      </c>
      <c r="B39" s="53">
        <v>29786</v>
      </c>
      <c r="C39" s="53">
        <v>814051000</v>
      </c>
      <c r="D39" s="54">
        <v>1.6359541373318032</v>
      </c>
      <c r="F39" s="53">
        <v>25100</v>
      </c>
      <c r="G39" s="53">
        <v>29786</v>
      </c>
      <c r="H39" s="53">
        <v>814051000</v>
      </c>
    </row>
    <row r="40" spans="1:8" x14ac:dyDescent="0.3">
      <c r="A40" s="53">
        <v>30100</v>
      </c>
      <c r="B40" s="53">
        <v>26517</v>
      </c>
      <c r="C40" s="53">
        <v>906941000</v>
      </c>
      <c r="D40" s="54">
        <v>1.6521749782753159</v>
      </c>
      <c r="F40" s="53">
        <v>30100</v>
      </c>
      <c r="G40" s="53">
        <v>26517</v>
      </c>
      <c r="H40" s="53">
        <v>906941000</v>
      </c>
    </row>
    <row r="41" spans="1:8" x14ac:dyDescent="0.3">
      <c r="A41" s="53">
        <v>40100</v>
      </c>
      <c r="B41" s="53">
        <v>9342</v>
      </c>
      <c r="C41" s="53">
        <v>413821000</v>
      </c>
      <c r="D41" s="54">
        <v>1.7368898767014351</v>
      </c>
      <c r="F41" s="53">
        <v>40100</v>
      </c>
      <c r="G41" s="53">
        <v>9342</v>
      </c>
      <c r="H41" s="53">
        <v>413821000</v>
      </c>
    </row>
    <row r="42" spans="1:8" x14ac:dyDescent="0.3">
      <c r="A42" s="53">
        <v>50100</v>
      </c>
      <c r="B42" s="53">
        <v>6272</v>
      </c>
      <c r="C42" s="53">
        <v>364127000</v>
      </c>
      <c r="D42" s="54">
        <v>1.8074512933532758</v>
      </c>
      <c r="F42" s="53">
        <v>50100</v>
      </c>
      <c r="G42" s="53">
        <v>6272</v>
      </c>
      <c r="H42" s="53">
        <v>364127000</v>
      </c>
    </row>
    <row r="43" spans="1:8" x14ac:dyDescent="0.3">
      <c r="A43" s="53">
        <v>70100</v>
      </c>
      <c r="B43" s="53">
        <v>2781</v>
      </c>
      <c r="C43" s="53">
        <v>228282000</v>
      </c>
      <c r="D43" s="54">
        <v>1.86662673049685</v>
      </c>
      <c r="F43" s="53">
        <v>70100</v>
      </c>
      <c r="G43" s="53">
        <v>2781</v>
      </c>
      <c r="H43" s="53">
        <v>228282000</v>
      </c>
    </row>
    <row r="44" spans="1:8" x14ac:dyDescent="0.3">
      <c r="A44" s="53">
        <v>100100</v>
      </c>
      <c r="B44" s="53">
        <v>1696</v>
      </c>
      <c r="C44" s="53">
        <v>221502000</v>
      </c>
      <c r="D44" s="54">
        <v>1.9021821393362897</v>
      </c>
      <c r="F44" s="53">
        <v>100100</v>
      </c>
      <c r="G44" s="53">
        <v>1696</v>
      </c>
      <c r="H44" s="53">
        <v>221502000</v>
      </c>
    </row>
    <row r="45" spans="1:8" x14ac:dyDescent="0.3">
      <c r="A45" s="53">
        <v>200100</v>
      </c>
      <c r="B45" s="53">
        <v>438</v>
      </c>
      <c r="C45" s="53">
        <v>116615000</v>
      </c>
      <c r="D45" s="54">
        <v>1.8240277451635627</v>
      </c>
      <c r="F45" s="53">
        <v>200100</v>
      </c>
      <c r="G45" s="53">
        <v>438</v>
      </c>
      <c r="H45" s="53">
        <v>116615000</v>
      </c>
    </row>
    <row r="46" spans="1:8" x14ac:dyDescent="0.3">
      <c r="A46" s="53">
        <v>400000</v>
      </c>
      <c r="B46" s="53">
        <v>143</v>
      </c>
      <c r="C46" s="53">
        <v>95443000</v>
      </c>
      <c r="D46" s="54">
        <v>1.668583916083916</v>
      </c>
      <c r="F46" s="53">
        <v>400000</v>
      </c>
      <c r="G46" s="53">
        <v>143</v>
      </c>
      <c r="H46" s="53">
        <v>95443000</v>
      </c>
    </row>
    <row r="47" spans="1:8" x14ac:dyDescent="0.3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3">
      <c r="A48" s="53">
        <v>16812.5</v>
      </c>
      <c r="B48" s="53">
        <v>200345</v>
      </c>
      <c r="C48" s="53">
        <v>3718171000</v>
      </c>
      <c r="D48" s="54">
        <v>2.5751033339706679</v>
      </c>
      <c r="F48" s="53">
        <v>15100</v>
      </c>
      <c r="G48" s="2">
        <f>G26*G49/G27</f>
        <v>325803.64645585953</v>
      </c>
      <c r="H48" s="2">
        <f>G48*H26/G26</f>
        <v>5798032599.4712906</v>
      </c>
    </row>
    <row r="49" spans="1:8" x14ac:dyDescent="0.3">
      <c r="A49" s="53">
        <v>20100</v>
      </c>
      <c r="B49" s="53">
        <v>351363</v>
      </c>
      <c r="C49" s="53">
        <v>7926693000</v>
      </c>
      <c r="D49" s="54">
        <v>2.2597035506362424</v>
      </c>
      <c r="F49" s="53">
        <v>20100</v>
      </c>
      <c r="G49" s="55">
        <v>351363</v>
      </c>
      <c r="H49" s="55">
        <v>7926693000</v>
      </c>
    </row>
    <row r="50" spans="1:8" x14ac:dyDescent="0.3">
      <c r="A50" s="53">
        <v>25100</v>
      </c>
      <c r="B50" s="53">
        <v>339303</v>
      </c>
      <c r="C50" s="53">
        <v>9339329000</v>
      </c>
      <c r="D50" s="54">
        <v>1.9712302210048822</v>
      </c>
      <c r="F50" s="53">
        <v>25100</v>
      </c>
      <c r="G50" s="55">
        <v>339303</v>
      </c>
      <c r="H50" s="55">
        <v>9339329000</v>
      </c>
    </row>
    <row r="51" spans="1:8" x14ac:dyDescent="0.3">
      <c r="A51" s="53">
        <v>30100</v>
      </c>
      <c r="B51" s="53">
        <v>631201</v>
      </c>
      <c r="C51" s="53">
        <v>22020121000</v>
      </c>
      <c r="D51" s="54">
        <v>1.7946637311134679</v>
      </c>
      <c r="F51" s="53">
        <v>30100</v>
      </c>
      <c r="G51" s="55">
        <v>631201</v>
      </c>
      <c r="H51" s="55">
        <v>22020121000</v>
      </c>
    </row>
    <row r="52" spans="1:8" x14ac:dyDescent="0.3">
      <c r="A52" s="53">
        <v>40100</v>
      </c>
      <c r="B52" s="53">
        <v>419648</v>
      </c>
      <c r="C52" s="53">
        <v>18716096000</v>
      </c>
      <c r="D52" s="54">
        <v>1.6456216070576315</v>
      </c>
      <c r="F52" s="53">
        <v>40100</v>
      </c>
      <c r="G52" s="55">
        <v>419648</v>
      </c>
      <c r="H52" s="55">
        <v>18716096000</v>
      </c>
    </row>
    <row r="53" spans="1:8" x14ac:dyDescent="0.3">
      <c r="A53" s="53">
        <v>50100</v>
      </c>
      <c r="B53" s="53">
        <v>354321</v>
      </c>
      <c r="C53" s="53">
        <v>20581169000</v>
      </c>
      <c r="D53" s="54">
        <v>1.6211949950398887</v>
      </c>
      <c r="F53" s="53">
        <v>50100</v>
      </c>
      <c r="G53" s="55">
        <v>354321</v>
      </c>
      <c r="H53" s="55">
        <v>20581169000</v>
      </c>
    </row>
    <row r="54" spans="1:8" x14ac:dyDescent="0.3">
      <c r="A54" s="53">
        <v>70100</v>
      </c>
      <c r="B54" s="53">
        <v>143003</v>
      </c>
      <c r="C54" s="53">
        <v>11673595000</v>
      </c>
      <c r="D54" s="54">
        <v>1.656349596257493</v>
      </c>
      <c r="F54" s="53">
        <v>70100</v>
      </c>
      <c r="G54" s="55">
        <v>143003</v>
      </c>
      <c r="H54" s="55">
        <v>11673595000</v>
      </c>
    </row>
    <row r="55" spans="1:8" x14ac:dyDescent="0.3">
      <c r="A55" s="53">
        <v>100100</v>
      </c>
      <c r="B55" s="53">
        <v>76085</v>
      </c>
      <c r="C55" s="53">
        <v>10023823000</v>
      </c>
      <c r="D55" s="54">
        <v>1.6955623758581566</v>
      </c>
      <c r="F55" s="53">
        <v>100100</v>
      </c>
      <c r="G55" s="55">
        <v>76085</v>
      </c>
      <c r="H55" s="55">
        <v>10023823000</v>
      </c>
    </row>
    <row r="56" spans="1:8" x14ac:dyDescent="0.3">
      <c r="A56" s="53">
        <v>200100</v>
      </c>
      <c r="B56" s="53">
        <v>12475</v>
      </c>
      <c r="C56" s="53">
        <v>3355893000</v>
      </c>
      <c r="D56" s="54">
        <v>1.7579119101866389</v>
      </c>
      <c r="F56" s="53">
        <v>200100</v>
      </c>
      <c r="G56" s="55">
        <v>12475</v>
      </c>
      <c r="H56" s="55">
        <v>3355893000</v>
      </c>
    </row>
    <row r="57" spans="1:8" x14ac:dyDescent="0.3">
      <c r="A57" s="53">
        <v>400000</v>
      </c>
      <c r="B57" s="53">
        <v>3400</v>
      </c>
      <c r="C57" s="53">
        <v>2228268000</v>
      </c>
      <c r="D57" s="54">
        <v>1.6384323529411764</v>
      </c>
      <c r="F57" s="53">
        <v>400000</v>
      </c>
      <c r="G57" s="55">
        <v>3400</v>
      </c>
      <c r="H57" s="55">
        <v>2228268000</v>
      </c>
    </row>
    <row r="58" spans="1:8" x14ac:dyDescent="0.3">
      <c r="A58" s="51" t="s">
        <v>56</v>
      </c>
      <c r="B58" s="51" t="s">
        <v>70</v>
      </c>
      <c r="C58" s="51" t="s">
        <v>71</v>
      </c>
      <c r="D58" s="52" t="s">
        <v>59</v>
      </c>
      <c r="G58" s="2"/>
      <c r="H58" s="2"/>
    </row>
    <row r="59" spans="1:8" x14ac:dyDescent="0.3">
      <c r="A59" s="51"/>
      <c r="B59" s="51"/>
      <c r="C59" s="51"/>
      <c r="D59" s="52"/>
      <c r="F59" s="53">
        <v>15100</v>
      </c>
      <c r="G59" s="2">
        <v>290281.19606281602</v>
      </c>
      <c r="H59" s="2">
        <v>5165871702.4634295</v>
      </c>
    </row>
    <row r="60" spans="1:8" x14ac:dyDescent="0.3">
      <c r="A60" s="53">
        <v>20175</v>
      </c>
      <c r="B60" s="53">
        <v>308358</v>
      </c>
      <c r="C60" s="53">
        <v>6981191000</v>
      </c>
      <c r="D60" s="54">
        <v>2.4002990567792342</v>
      </c>
      <c r="F60" s="53">
        <v>20100</v>
      </c>
      <c r="G60" s="2">
        <v>313053.80710659898</v>
      </c>
      <c r="H60" s="2">
        <v>7075576722.8426399</v>
      </c>
    </row>
    <row r="61" spans="1:8" x14ac:dyDescent="0.3">
      <c r="A61" s="53">
        <v>25100</v>
      </c>
      <c r="B61" s="53">
        <v>288867</v>
      </c>
      <c r="C61" s="53">
        <v>7938945000</v>
      </c>
      <c r="D61" s="54">
        <v>2.12222197655203</v>
      </c>
      <c r="F61" s="53">
        <v>25100</v>
      </c>
      <c r="G61" s="55">
        <v>288867</v>
      </c>
      <c r="H61" s="55">
        <v>7938945000</v>
      </c>
    </row>
    <row r="62" spans="1:8" x14ac:dyDescent="0.3">
      <c r="A62" s="53">
        <v>30100</v>
      </c>
      <c r="B62" s="53">
        <v>466070</v>
      </c>
      <c r="C62" s="53">
        <v>16223277000</v>
      </c>
      <c r="D62" s="54">
        <v>1.9525337203274626</v>
      </c>
      <c r="F62" s="53">
        <v>30100</v>
      </c>
      <c r="G62" s="55">
        <v>466070</v>
      </c>
      <c r="H62" s="55">
        <v>16223277000</v>
      </c>
    </row>
    <row r="63" spans="1:8" x14ac:dyDescent="0.3">
      <c r="A63" s="53">
        <v>40100</v>
      </c>
      <c r="B63" s="53">
        <v>315903</v>
      </c>
      <c r="C63" s="53">
        <v>14120302000</v>
      </c>
      <c r="D63" s="54">
        <v>1.7794962587164578</v>
      </c>
      <c r="F63" s="53">
        <v>40100</v>
      </c>
      <c r="G63" s="55">
        <v>315903</v>
      </c>
      <c r="H63" s="55">
        <v>14120302000</v>
      </c>
    </row>
    <row r="64" spans="1:8" x14ac:dyDescent="0.3">
      <c r="A64" s="53">
        <v>50100</v>
      </c>
      <c r="B64" s="53">
        <v>313289</v>
      </c>
      <c r="C64" s="53">
        <v>18285599000</v>
      </c>
      <c r="D64" s="54">
        <v>1.7184909722183943</v>
      </c>
      <c r="F64" s="53">
        <v>50100</v>
      </c>
      <c r="G64" s="55">
        <v>313289</v>
      </c>
      <c r="H64" s="55">
        <v>18285599000</v>
      </c>
    </row>
    <row r="65" spans="1:8" x14ac:dyDescent="0.3">
      <c r="A65" s="53">
        <v>70100</v>
      </c>
      <c r="B65" s="53">
        <v>146280</v>
      </c>
      <c r="C65" s="53">
        <v>11995144000</v>
      </c>
      <c r="D65" s="54">
        <v>1.7083081174247787</v>
      </c>
      <c r="F65" s="53">
        <v>70100</v>
      </c>
      <c r="G65" s="55">
        <v>146280</v>
      </c>
      <c r="H65" s="55">
        <v>11995144000</v>
      </c>
    </row>
    <row r="66" spans="1:8" x14ac:dyDescent="0.3">
      <c r="A66" s="53">
        <v>100100</v>
      </c>
      <c r="B66" s="53">
        <v>90696</v>
      </c>
      <c r="C66" s="53">
        <v>12050835000</v>
      </c>
      <c r="D66" s="54">
        <v>1.6895745856360993</v>
      </c>
      <c r="F66" s="53">
        <v>100100</v>
      </c>
      <c r="G66" s="55">
        <v>90696</v>
      </c>
      <c r="H66" s="55">
        <v>12050835000</v>
      </c>
    </row>
    <row r="67" spans="1:8" x14ac:dyDescent="0.3">
      <c r="A67" s="53">
        <v>200100</v>
      </c>
      <c r="B67" s="53">
        <v>17650</v>
      </c>
      <c r="C67" s="53">
        <v>4570206000</v>
      </c>
      <c r="D67" s="54">
        <v>1.6222228381766373</v>
      </c>
      <c r="F67" s="53">
        <v>200100</v>
      </c>
      <c r="G67" s="55">
        <v>17650</v>
      </c>
      <c r="H67" s="55">
        <v>4570206000</v>
      </c>
    </row>
    <row r="68" spans="1:8" x14ac:dyDescent="0.3">
      <c r="A68" s="53">
        <v>400000</v>
      </c>
      <c r="B68" s="53">
        <v>3499</v>
      </c>
      <c r="C68" s="53">
        <v>2294903000</v>
      </c>
      <c r="D68" s="54">
        <v>1.6396849099742785</v>
      </c>
      <c r="F68" s="53">
        <v>400000</v>
      </c>
      <c r="G68" s="55">
        <v>3499</v>
      </c>
      <c r="H68" s="55">
        <v>2294903000</v>
      </c>
    </row>
    <row r="69" spans="1:8" x14ac:dyDescent="0.3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3">
      <c r="A70" s="51"/>
      <c r="B70" s="51"/>
      <c r="C70" s="51"/>
      <c r="D70" s="52"/>
      <c r="F70" s="53">
        <v>15100</v>
      </c>
      <c r="G70" s="2">
        <v>132863.28524421717</v>
      </c>
      <c r="H70" s="2">
        <v>2364447628.1918831</v>
      </c>
    </row>
    <row r="71" spans="1:8" x14ac:dyDescent="0.3">
      <c r="A71" s="53">
        <v>23537.5</v>
      </c>
      <c r="B71" s="53">
        <v>43584</v>
      </c>
      <c r="C71" s="53">
        <v>1060962000</v>
      </c>
      <c r="D71" s="54">
        <v>2.2678659180634204</v>
      </c>
      <c r="F71" s="53">
        <v>20100</v>
      </c>
      <c r="G71" s="2">
        <v>143286.43341193729</v>
      </c>
      <c r="H71" s="2">
        <v>3238530022.4233384</v>
      </c>
    </row>
    <row r="72" spans="1:8" x14ac:dyDescent="0.3">
      <c r="A72" s="53">
        <v>25100</v>
      </c>
      <c r="B72" s="53">
        <v>132216</v>
      </c>
      <c r="C72" s="53">
        <v>3628265000</v>
      </c>
      <c r="D72" s="54">
        <v>2.2066835024505274</v>
      </c>
      <c r="F72" s="53">
        <v>25100</v>
      </c>
      <c r="G72" s="55">
        <v>132216</v>
      </c>
      <c r="H72" s="55">
        <v>3628265000</v>
      </c>
    </row>
    <row r="73" spans="1:8" x14ac:dyDescent="0.3">
      <c r="A73" s="53">
        <v>30100</v>
      </c>
      <c r="B73" s="53">
        <v>178457</v>
      </c>
      <c r="C73" s="53">
        <v>6176920000</v>
      </c>
      <c r="D73" s="54">
        <v>2.0865783078783324</v>
      </c>
      <c r="F73" s="53">
        <v>30100</v>
      </c>
      <c r="G73" s="55">
        <v>178457</v>
      </c>
      <c r="H73" s="55">
        <v>6176920000</v>
      </c>
    </row>
    <row r="74" spans="1:8" x14ac:dyDescent="0.3">
      <c r="A74" s="53">
        <v>40100</v>
      </c>
      <c r="B74" s="53">
        <v>101677</v>
      </c>
      <c r="C74" s="53">
        <v>4538611000</v>
      </c>
      <c r="D74" s="54">
        <v>1.9587833774520971</v>
      </c>
      <c r="F74" s="53">
        <v>40100</v>
      </c>
      <c r="G74" s="55">
        <v>101677</v>
      </c>
      <c r="H74" s="55">
        <v>4538611000</v>
      </c>
    </row>
    <row r="75" spans="1:8" x14ac:dyDescent="0.3">
      <c r="A75" s="53">
        <v>50100</v>
      </c>
      <c r="B75" s="53">
        <v>103217</v>
      </c>
      <c r="C75" s="53">
        <v>6052911000</v>
      </c>
      <c r="D75" s="54">
        <v>1.8835705480562464</v>
      </c>
      <c r="F75" s="53">
        <v>50100</v>
      </c>
      <c r="G75" s="55">
        <v>103217</v>
      </c>
      <c r="H75" s="55">
        <v>6052911000</v>
      </c>
    </row>
    <row r="76" spans="1:8" x14ac:dyDescent="0.3">
      <c r="A76" s="53">
        <v>70100</v>
      </c>
      <c r="B76" s="53">
        <v>58930</v>
      </c>
      <c r="C76" s="53">
        <v>4858993000</v>
      </c>
      <c r="D76" s="54">
        <v>1.8046588456934221</v>
      </c>
      <c r="F76" s="53">
        <v>70100</v>
      </c>
      <c r="G76" s="55">
        <v>58930</v>
      </c>
      <c r="H76" s="55">
        <v>4858993000</v>
      </c>
    </row>
    <row r="77" spans="1:8" x14ac:dyDescent="0.3">
      <c r="A77" s="53">
        <v>100100</v>
      </c>
      <c r="B77" s="53">
        <v>44031</v>
      </c>
      <c r="C77" s="53">
        <v>5906370000</v>
      </c>
      <c r="D77" s="54">
        <v>1.7285857567941476</v>
      </c>
      <c r="F77" s="53">
        <v>100100</v>
      </c>
      <c r="G77" s="55">
        <v>44031</v>
      </c>
      <c r="H77" s="55">
        <v>5906370000</v>
      </c>
    </row>
    <row r="78" spans="1:8" x14ac:dyDescent="0.3">
      <c r="A78" s="53">
        <v>200100</v>
      </c>
      <c r="B78" s="53">
        <v>9953</v>
      </c>
      <c r="C78" s="53">
        <v>2558268000</v>
      </c>
      <c r="D78" s="54">
        <v>1.5919177562816145</v>
      </c>
      <c r="F78" s="53">
        <v>200100</v>
      </c>
      <c r="G78" s="55">
        <v>9953</v>
      </c>
      <c r="H78" s="55">
        <v>2558268000</v>
      </c>
    </row>
    <row r="79" spans="1:8" x14ac:dyDescent="0.3">
      <c r="A79" s="53">
        <v>400000</v>
      </c>
      <c r="B79" s="53">
        <v>1815</v>
      </c>
      <c r="C79" s="53">
        <v>1190343000</v>
      </c>
      <c r="D79" s="54">
        <v>1.6395909090909091</v>
      </c>
      <c r="F79" s="53">
        <v>400000</v>
      </c>
      <c r="G79" s="55">
        <v>1815</v>
      </c>
      <c r="H79" s="55">
        <v>1190343000</v>
      </c>
    </row>
    <row r="80" spans="1:8" x14ac:dyDescent="0.3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3">
      <c r="A81" s="53">
        <v>15100</v>
      </c>
      <c r="B81" s="53"/>
      <c r="C81" s="53"/>
      <c r="D81" s="54"/>
      <c r="F81" s="53">
        <v>15100</v>
      </c>
      <c r="G81" s="2">
        <v>43490.638123138611</v>
      </c>
      <c r="H81" s="2">
        <v>773963521.74937868</v>
      </c>
    </row>
    <row r="82" spans="1:8" x14ac:dyDescent="0.3">
      <c r="A82" s="53">
        <v>24500</v>
      </c>
      <c r="B82" s="53"/>
      <c r="C82" s="53"/>
      <c r="D82" s="54"/>
      <c r="F82" s="53">
        <v>20100</v>
      </c>
      <c r="G82" s="2">
        <v>46902.486356703957</v>
      </c>
      <c r="H82" s="2">
        <v>1060080194.4438118</v>
      </c>
    </row>
    <row r="83" spans="1:8" x14ac:dyDescent="0.3">
      <c r="A83" s="53">
        <v>26900</v>
      </c>
      <c r="B83" s="53">
        <v>28351</v>
      </c>
      <c r="C83" s="53">
        <v>806208000</v>
      </c>
      <c r="D83" s="54">
        <v>2.1950890553635456</v>
      </c>
      <c r="F83" s="53">
        <v>25100</v>
      </c>
      <c r="G83" s="2">
        <v>43278.759813288358</v>
      </c>
      <c r="H83" s="2">
        <v>1187653608.2921937</v>
      </c>
    </row>
    <row r="84" spans="1:8" x14ac:dyDescent="0.3">
      <c r="A84" s="53">
        <v>30100</v>
      </c>
      <c r="B84" s="53">
        <v>58415</v>
      </c>
      <c r="C84" s="53">
        <v>2015172000</v>
      </c>
      <c r="D84" s="54">
        <v>2.1514903985055702</v>
      </c>
      <c r="F84" s="53">
        <v>30100</v>
      </c>
      <c r="G84" s="55">
        <v>58415</v>
      </c>
      <c r="H84" s="55">
        <v>2015172000</v>
      </c>
    </row>
    <row r="85" spans="1:8" x14ac:dyDescent="0.3">
      <c r="A85" s="53">
        <v>40100</v>
      </c>
      <c r="B85" s="53">
        <v>28366</v>
      </c>
      <c r="C85" s="53">
        <v>1262867000</v>
      </c>
      <c r="D85" s="54">
        <v>2.0863366806993979</v>
      </c>
      <c r="F85" s="53">
        <v>40100</v>
      </c>
      <c r="G85" s="55">
        <v>28366</v>
      </c>
      <c r="H85" s="55">
        <v>1262867000</v>
      </c>
    </row>
    <row r="86" spans="1:8" x14ac:dyDescent="0.3">
      <c r="A86" s="53">
        <v>50100</v>
      </c>
      <c r="B86" s="53">
        <v>27450</v>
      </c>
      <c r="C86" s="53">
        <v>1613049000</v>
      </c>
      <c r="D86" s="54">
        <v>2.010032363292324</v>
      </c>
      <c r="F86" s="53">
        <v>50100</v>
      </c>
      <c r="G86" s="55">
        <v>27450</v>
      </c>
      <c r="H86" s="55">
        <v>1613049000</v>
      </c>
    </row>
    <row r="87" spans="1:8" x14ac:dyDescent="0.3">
      <c r="A87" s="53">
        <v>70100</v>
      </c>
      <c r="B87" s="53">
        <v>17909</v>
      </c>
      <c r="C87" s="53">
        <v>1485205000</v>
      </c>
      <c r="D87" s="54">
        <v>1.8721052503743014</v>
      </c>
      <c r="F87" s="53">
        <v>70100</v>
      </c>
      <c r="G87" s="55">
        <v>17909</v>
      </c>
      <c r="H87" s="55">
        <v>1485205000</v>
      </c>
    </row>
    <row r="88" spans="1:8" x14ac:dyDescent="0.3">
      <c r="A88" s="53">
        <v>100100</v>
      </c>
      <c r="B88" s="53">
        <v>15370</v>
      </c>
      <c r="C88" s="53">
        <v>2066811000</v>
      </c>
      <c r="D88" s="54">
        <v>1.7475710126111703</v>
      </c>
      <c r="F88" s="53">
        <v>100100</v>
      </c>
      <c r="G88" s="55">
        <v>15370</v>
      </c>
      <c r="H88" s="55">
        <v>2066811000</v>
      </c>
    </row>
    <row r="89" spans="1:8" x14ac:dyDescent="0.3">
      <c r="A89" s="53">
        <v>200100</v>
      </c>
      <c r="B89" s="53">
        <v>3781</v>
      </c>
      <c r="C89" s="53">
        <v>976505000</v>
      </c>
      <c r="D89" s="54">
        <v>1.5762561457017141</v>
      </c>
      <c r="F89" s="53">
        <v>200100</v>
      </c>
      <c r="G89" s="55">
        <v>3781</v>
      </c>
      <c r="H89" s="55">
        <v>976505000</v>
      </c>
    </row>
    <row r="90" spans="1:8" x14ac:dyDescent="0.3">
      <c r="A90" s="53">
        <v>400000</v>
      </c>
      <c r="B90" s="53">
        <v>646</v>
      </c>
      <c r="C90" s="53">
        <v>419810000</v>
      </c>
      <c r="D90" s="54">
        <v>1.6246517027863776</v>
      </c>
      <c r="F90" s="53">
        <v>400000</v>
      </c>
      <c r="G90" s="55">
        <v>646</v>
      </c>
      <c r="H90" s="55">
        <v>419810000</v>
      </c>
    </row>
    <row r="91" spans="1:8" x14ac:dyDescent="0.3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3">
      <c r="A92" s="53">
        <v>15100</v>
      </c>
      <c r="B92" s="53"/>
      <c r="C92" s="53"/>
      <c r="D92" s="54"/>
      <c r="F92" s="53">
        <v>15100</v>
      </c>
      <c r="G92" s="2">
        <v>14985.587620736613</v>
      </c>
      <c r="H92" s="2">
        <v>266684938.89627436</v>
      </c>
    </row>
    <row r="93" spans="1:8" x14ac:dyDescent="0.3">
      <c r="A93" s="53">
        <v>20100</v>
      </c>
      <c r="B93" s="53"/>
      <c r="C93" s="53"/>
      <c r="D93" s="54"/>
      <c r="F93" s="53">
        <v>20100</v>
      </c>
      <c r="G93" s="2">
        <v>16161.209613405113</v>
      </c>
      <c r="H93" s="2">
        <v>365272282.1372757</v>
      </c>
    </row>
    <row r="94" spans="1:8" x14ac:dyDescent="0.3">
      <c r="A94" s="53">
        <v>27562.5</v>
      </c>
      <c r="B94" s="53"/>
      <c r="C94" s="53"/>
      <c r="D94" s="54"/>
      <c r="F94" s="53">
        <v>25100</v>
      </c>
      <c r="G94" s="2">
        <v>14912.58062166236</v>
      </c>
      <c r="H94" s="2">
        <v>409230307.44581431</v>
      </c>
    </row>
    <row r="95" spans="1:8" x14ac:dyDescent="0.3">
      <c r="A95" s="53">
        <v>30262.5</v>
      </c>
      <c r="B95" s="53">
        <v>19801</v>
      </c>
      <c r="C95" s="53">
        <v>684846000</v>
      </c>
      <c r="D95" s="54">
        <v>2.1317419953098025</v>
      </c>
      <c r="F95" s="53">
        <v>30100</v>
      </c>
      <c r="G95" s="2">
        <v>20128.08132147395</v>
      </c>
      <c r="H95" s="2">
        <v>694691147.77636588</v>
      </c>
    </row>
    <row r="96" spans="1:8" x14ac:dyDescent="0.3">
      <c r="A96" s="53">
        <v>40100</v>
      </c>
      <c r="B96" s="53">
        <v>8759</v>
      </c>
      <c r="C96" s="53">
        <v>388618000</v>
      </c>
      <c r="D96" s="54">
        <v>2.1455297462844887</v>
      </c>
      <c r="F96" s="53">
        <v>40100</v>
      </c>
      <c r="G96" s="55">
        <v>8759</v>
      </c>
      <c r="H96" s="55">
        <v>388618000</v>
      </c>
    </row>
    <row r="97" spans="1:8" x14ac:dyDescent="0.3">
      <c r="A97" s="53">
        <v>50100</v>
      </c>
      <c r="B97" s="53">
        <v>7498</v>
      </c>
      <c r="C97" s="53">
        <v>439513000</v>
      </c>
      <c r="D97" s="54">
        <v>2.105368932902933</v>
      </c>
      <c r="F97" s="53">
        <v>50100</v>
      </c>
      <c r="G97" s="55">
        <v>7498</v>
      </c>
      <c r="H97" s="55">
        <v>439513000</v>
      </c>
    </row>
    <row r="98" spans="1:8" x14ac:dyDescent="0.3">
      <c r="A98" s="53">
        <v>70100</v>
      </c>
      <c r="B98" s="53">
        <v>5027</v>
      </c>
      <c r="C98" s="53">
        <v>418566000</v>
      </c>
      <c r="D98" s="54">
        <v>1.9493296507264335</v>
      </c>
      <c r="F98" s="53">
        <v>70100</v>
      </c>
      <c r="G98" s="55">
        <v>5027</v>
      </c>
      <c r="H98" s="55">
        <v>418566000</v>
      </c>
    </row>
    <row r="99" spans="1:8" x14ac:dyDescent="0.3">
      <c r="A99" s="53">
        <v>100100</v>
      </c>
      <c r="B99" s="53">
        <v>4753</v>
      </c>
      <c r="C99" s="53">
        <v>640880000</v>
      </c>
      <c r="D99" s="54">
        <v>1.7943423851204832</v>
      </c>
      <c r="F99" s="53">
        <v>100100</v>
      </c>
      <c r="G99" s="55">
        <v>4753</v>
      </c>
      <c r="H99" s="55">
        <v>640880000</v>
      </c>
    </row>
    <row r="100" spans="1:8" x14ac:dyDescent="0.3">
      <c r="A100" s="53">
        <v>200100</v>
      </c>
      <c r="B100" s="53">
        <v>1318</v>
      </c>
      <c r="C100" s="53">
        <v>345518000</v>
      </c>
      <c r="D100" s="54">
        <v>1.6100020987496875</v>
      </c>
      <c r="F100" s="53">
        <v>200100</v>
      </c>
      <c r="G100" s="55">
        <v>1318</v>
      </c>
      <c r="H100" s="55">
        <v>345518000</v>
      </c>
    </row>
    <row r="101" spans="1:8" x14ac:dyDescent="0.3">
      <c r="A101" s="53">
        <v>400000</v>
      </c>
      <c r="B101" s="53">
        <v>175</v>
      </c>
      <c r="C101" s="53">
        <v>135469000</v>
      </c>
      <c r="D101" s="54">
        <v>1.9352714285714288</v>
      </c>
      <c r="F101" s="53">
        <v>400000</v>
      </c>
      <c r="G101" s="55">
        <v>175</v>
      </c>
      <c r="H101" s="55">
        <v>135469000</v>
      </c>
    </row>
    <row r="102" spans="1:8" x14ac:dyDescent="0.3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3">
      <c r="A103" s="53">
        <v>15100</v>
      </c>
      <c r="B103" s="53"/>
      <c r="C103" s="53"/>
      <c r="D103" s="54"/>
      <c r="F103" s="53">
        <v>15100</v>
      </c>
      <c r="G103" s="2">
        <v>5767.3725162122528</v>
      </c>
      <c r="H103" s="2">
        <v>102636708.41641064</v>
      </c>
    </row>
    <row r="104" spans="1:8" x14ac:dyDescent="0.3">
      <c r="A104" s="53">
        <v>20100</v>
      </c>
      <c r="B104" s="53"/>
      <c r="C104" s="53"/>
      <c r="D104" s="54"/>
      <c r="F104" s="53">
        <v>20100</v>
      </c>
      <c r="G104" s="2">
        <v>6219.823907613727</v>
      </c>
      <c r="H104" s="2">
        <v>140579160.07361072</v>
      </c>
    </row>
    <row r="105" spans="1:8" x14ac:dyDescent="0.3">
      <c r="A105" s="53">
        <v>25100</v>
      </c>
      <c r="B105" s="53"/>
      <c r="C105" s="53"/>
      <c r="D105" s="54"/>
      <c r="F105" s="53">
        <v>25100</v>
      </c>
      <c r="G105" s="2">
        <v>5739.2749486954926</v>
      </c>
      <c r="H105" s="2">
        <v>157496902.20342964</v>
      </c>
    </row>
    <row r="106" spans="1:8" x14ac:dyDescent="0.3">
      <c r="A106" s="53">
        <v>33625</v>
      </c>
      <c r="B106" s="53">
        <v>4624</v>
      </c>
      <c r="C106" s="53">
        <v>169502000</v>
      </c>
      <c r="D106" s="54">
        <v>2.0166829629117817</v>
      </c>
      <c r="F106" s="53">
        <v>30100</v>
      </c>
      <c r="G106" s="2">
        <v>7746.5192527330391</v>
      </c>
      <c r="H106" s="2">
        <v>267359728.18291238</v>
      </c>
    </row>
    <row r="107" spans="1:8" x14ac:dyDescent="0.3">
      <c r="A107" s="53">
        <v>40100</v>
      </c>
      <c r="B107" s="53">
        <v>3371</v>
      </c>
      <c r="C107" s="53">
        <v>149600000</v>
      </c>
      <c r="D107" s="54">
        <v>2.0791221686520438</v>
      </c>
      <c r="F107" s="53">
        <v>40100</v>
      </c>
      <c r="G107" s="55">
        <v>3371</v>
      </c>
      <c r="H107" s="55">
        <v>149600000</v>
      </c>
    </row>
    <row r="108" spans="1:8" x14ac:dyDescent="0.3">
      <c r="A108" s="53">
        <v>50100</v>
      </c>
      <c r="B108" s="53">
        <v>2418</v>
      </c>
      <c r="C108" s="53">
        <v>141382000</v>
      </c>
      <c r="D108" s="54">
        <v>2.1098882764542268</v>
      </c>
      <c r="F108" s="53">
        <v>50100</v>
      </c>
      <c r="G108" s="55">
        <v>2418</v>
      </c>
      <c r="H108" s="55">
        <v>141382000</v>
      </c>
    </row>
    <row r="109" spans="1:8" x14ac:dyDescent="0.3">
      <c r="A109" s="53">
        <v>70100</v>
      </c>
      <c r="B109" s="53">
        <v>1472</v>
      </c>
      <c r="C109" s="53">
        <v>122801000</v>
      </c>
      <c r="D109" s="54">
        <v>1.9777315977998149</v>
      </c>
      <c r="F109" s="53">
        <v>70100</v>
      </c>
      <c r="G109" s="55">
        <v>1472</v>
      </c>
      <c r="H109" s="55">
        <v>122801000</v>
      </c>
    </row>
    <row r="110" spans="1:8" x14ac:dyDescent="0.3">
      <c r="A110" s="53">
        <v>100100</v>
      </c>
      <c r="B110" s="53">
        <v>1485</v>
      </c>
      <c r="C110" s="53">
        <v>201608000</v>
      </c>
      <c r="D110" s="54">
        <v>1.7917903739547028</v>
      </c>
      <c r="F110" s="53">
        <v>100100</v>
      </c>
      <c r="G110" s="55">
        <v>1485</v>
      </c>
      <c r="H110" s="55">
        <v>201608000</v>
      </c>
    </row>
    <row r="111" spans="1:8" x14ac:dyDescent="0.3">
      <c r="A111" s="53">
        <v>200100</v>
      </c>
      <c r="B111" s="53">
        <v>459</v>
      </c>
      <c r="C111" s="53">
        <v>122609000</v>
      </c>
      <c r="D111" s="54">
        <v>1.5294798784560752</v>
      </c>
      <c r="F111" s="53">
        <v>200100</v>
      </c>
      <c r="G111" s="55">
        <v>459</v>
      </c>
      <c r="H111" s="55">
        <v>122609000</v>
      </c>
    </row>
    <row r="112" spans="1:8" x14ac:dyDescent="0.3">
      <c r="A112" s="53">
        <v>400000</v>
      </c>
      <c r="B112" s="53">
        <v>52</v>
      </c>
      <c r="C112" s="53">
        <v>33782000</v>
      </c>
      <c r="D112" s="54">
        <v>1.6241346153846152</v>
      </c>
      <c r="F112" s="53">
        <v>400000</v>
      </c>
      <c r="G112" s="55">
        <v>52</v>
      </c>
      <c r="H112" s="55">
        <v>33782000</v>
      </c>
    </row>
    <row r="113" spans="1:8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3">
      <c r="A114" s="53">
        <v>15100</v>
      </c>
      <c r="B114" s="53"/>
      <c r="C114" s="53"/>
      <c r="D114" s="54"/>
      <c r="F114" s="53">
        <v>15100</v>
      </c>
      <c r="G114" s="2">
        <v>2477.3525373703183</v>
      </c>
      <c r="H114" s="2">
        <v>44087200.767416976</v>
      </c>
    </row>
    <row r="115" spans="1:8" x14ac:dyDescent="0.3">
      <c r="A115" s="53">
        <v>20100</v>
      </c>
      <c r="B115" s="53"/>
      <c r="C115" s="53"/>
      <c r="D115" s="54"/>
      <c r="F115" s="53">
        <v>20100</v>
      </c>
      <c r="G115" s="2">
        <v>2671.7012809921916</v>
      </c>
      <c r="H115" s="2">
        <v>60385233.991868392</v>
      </c>
    </row>
    <row r="116" spans="1:8" x14ac:dyDescent="0.3">
      <c r="A116" s="53">
        <v>25100</v>
      </c>
      <c r="B116" s="53"/>
      <c r="C116" s="53"/>
      <c r="D116" s="54"/>
      <c r="F116" s="53">
        <v>25100</v>
      </c>
      <c r="G116" s="2">
        <v>2465.2833360163377</v>
      </c>
      <c r="H116" s="2">
        <v>67652184.63084133</v>
      </c>
    </row>
    <row r="117" spans="1:8" x14ac:dyDescent="0.3">
      <c r="A117" s="53">
        <v>36987.5</v>
      </c>
      <c r="B117" s="53">
        <v>810</v>
      </c>
      <c r="C117" s="53">
        <v>31181000</v>
      </c>
      <c r="D117" s="54">
        <v>1.8803436504402633</v>
      </c>
      <c r="F117" s="53">
        <v>30100</v>
      </c>
      <c r="G117" s="2">
        <v>3327.4873562614775</v>
      </c>
      <c r="H117" s="2">
        <v>114843336.22333348</v>
      </c>
    </row>
    <row r="118" spans="1:8" x14ac:dyDescent="0.3">
      <c r="A118" s="53">
        <v>40100</v>
      </c>
      <c r="B118" s="53">
        <v>1448</v>
      </c>
      <c r="C118" s="53">
        <v>63957000</v>
      </c>
      <c r="D118" s="54">
        <v>1.9137191326999825</v>
      </c>
      <c r="F118" s="53">
        <v>40100</v>
      </c>
      <c r="G118" s="55">
        <v>1448</v>
      </c>
      <c r="H118" s="55">
        <v>63957000</v>
      </c>
    </row>
    <row r="119" spans="1:8" x14ac:dyDescent="0.3">
      <c r="A119" s="53">
        <v>50100</v>
      </c>
      <c r="B119" s="53">
        <v>913</v>
      </c>
      <c r="C119" s="53">
        <v>52955000</v>
      </c>
      <c r="D119" s="54">
        <v>1.9909449393895136</v>
      </c>
      <c r="F119" s="53">
        <v>50100</v>
      </c>
      <c r="G119" s="55">
        <v>913</v>
      </c>
      <c r="H119" s="55">
        <v>52955000</v>
      </c>
    </row>
    <row r="120" spans="1:8" x14ac:dyDescent="0.3">
      <c r="A120" s="53">
        <v>70100</v>
      </c>
      <c r="B120" s="53">
        <v>507</v>
      </c>
      <c r="C120" s="53">
        <v>42476000</v>
      </c>
      <c r="D120" s="54">
        <v>1.9011037128765667</v>
      </c>
      <c r="F120" s="53">
        <v>70100</v>
      </c>
      <c r="G120" s="55">
        <v>507</v>
      </c>
      <c r="H120" s="55">
        <v>42476000</v>
      </c>
    </row>
    <row r="121" spans="1:8" x14ac:dyDescent="0.3">
      <c r="A121" s="53">
        <v>100100</v>
      </c>
      <c r="B121" s="53">
        <v>482</v>
      </c>
      <c r="C121" s="53">
        <v>65782000</v>
      </c>
      <c r="D121" s="54">
        <v>1.7292073006358721</v>
      </c>
      <c r="F121" s="53">
        <v>100100</v>
      </c>
      <c r="G121" s="55">
        <v>482</v>
      </c>
      <c r="H121" s="55">
        <v>65782000</v>
      </c>
    </row>
    <row r="122" spans="1:8" x14ac:dyDescent="0.3">
      <c r="A122" s="53">
        <v>200100</v>
      </c>
      <c r="B122" s="53">
        <v>132</v>
      </c>
      <c r="C122" s="53">
        <v>35228000</v>
      </c>
      <c r="D122" s="54">
        <v>1.4609924767346059</v>
      </c>
      <c r="F122" s="53">
        <v>200100</v>
      </c>
      <c r="G122" s="55">
        <v>132</v>
      </c>
      <c r="H122" s="55">
        <v>35228000</v>
      </c>
    </row>
    <row r="123" spans="1:8" x14ac:dyDescent="0.3">
      <c r="A123" s="53">
        <v>400000</v>
      </c>
      <c r="B123" s="53">
        <v>16</v>
      </c>
      <c r="C123" s="53">
        <v>8039000</v>
      </c>
      <c r="D123" s="54">
        <v>1.25609375</v>
      </c>
      <c r="F123" s="53">
        <v>400000</v>
      </c>
      <c r="G123" s="55">
        <v>16</v>
      </c>
      <c r="H123" s="55">
        <v>8039000</v>
      </c>
    </row>
    <row r="124" spans="1:8" x14ac:dyDescent="0.3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3">
      <c r="A125" s="53">
        <v>15100</v>
      </c>
      <c r="B125" s="53"/>
      <c r="C125" s="53"/>
      <c r="D125" s="54"/>
      <c r="F125" s="53">
        <v>15100</v>
      </c>
      <c r="G125" s="2">
        <v>1116.0194175998888</v>
      </c>
      <c r="H125" s="2">
        <v>19860787.426035706</v>
      </c>
    </row>
    <row r="126" spans="1:8" x14ac:dyDescent="0.3">
      <c r="A126" s="53">
        <v>20100</v>
      </c>
      <c r="B126" s="53"/>
      <c r="C126" s="53"/>
      <c r="D126" s="54"/>
      <c r="F126" s="53">
        <v>20100</v>
      </c>
      <c r="G126" s="2">
        <v>1203.5713378035375</v>
      </c>
      <c r="H126" s="2">
        <v>27202867.841640674</v>
      </c>
    </row>
    <row r="127" spans="1:8" x14ac:dyDescent="0.3">
      <c r="A127" s="53">
        <v>25100</v>
      </c>
      <c r="B127" s="53"/>
      <c r="C127" s="53"/>
      <c r="D127" s="54"/>
      <c r="F127" s="53">
        <v>25100</v>
      </c>
      <c r="G127" s="2">
        <v>1110.5823783159024</v>
      </c>
      <c r="H127" s="2">
        <v>30476547.26251246</v>
      </c>
    </row>
    <row r="128" spans="1:8" x14ac:dyDescent="0.3">
      <c r="A128" s="53">
        <v>30100</v>
      </c>
      <c r="B128" s="53"/>
      <c r="C128" s="53"/>
      <c r="D128" s="54"/>
      <c r="F128" s="53">
        <v>30100</v>
      </c>
      <c r="G128" s="2">
        <v>1498.995579106318</v>
      </c>
      <c r="H128" s="2">
        <v>51735629.577872284</v>
      </c>
    </row>
    <row r="129" spans="1:8" x14ac:dyDescent="0.3">
      <c r="A129" s="53">
        <v>40350</v>
      </c>
      <c r="B129" s="53">
        <v>636</v>
      </c>
      <c r="C129" s="53">
        <v>28335000</v>
      </c>
      <c r="D129" s="54">
        <v>1.8745148322998575</v>
      </c>
      <c r="F129" s="53">
        <v>40100</v>
      </c>
      <c r="G129" s="2">
        <v>652.30769230769226</v>
      </c>
      <c r="H129" s="2">
        <v>28988938.46153846</v>
      </c>
    </row>
    <row r="130" spans="1:8" x14ac:dyDescent="0.3">
      <c r="A130" s="53">
        <v>50100</v>
      </c>
      <c r="B130" s="53">
        <v>422</v>
      </c>
      <c r="C130" s="53">
        <v>24210000</v>
      </c>
      <c r="D130" s="54">
        <v>1.9845747734374812</v>
      </c>
      <c r="F130" s="53">
        <v>50100</v>
      </c>
      <c r="G130" s="55">
        <v>422</v>
      </c>
      <c r="H130" s="55">
        <v>24210000</v>
      </c>
    </row>
    <row r="131" spans="1:8" x14ac:dyDescent="0.3">
      <c r="A131" s="53">
        <v>70100</v>
      </c>
      <c r="B131" s="53">
        <v>163</v>
      </c>
      <c r="C131" s="53">
        <v>13616000</v>
      </c>
      <c r="D131" s="54">
        <v>2.0373968030302505</v>
      </c>
      <c r="F131" s="53">
        <v>70100</v>
      </c>
      <c r="G131" s="55">
        <v>163</v>
      </c>
      <c r="H131" s="55">
        <v>13616000</v>
      </c>
    </row>
    <row r="132" spans="1:8" x14ac:dyDescent="0.3">
      <c r="A132" s="53">
        <v>100100</v>
      </c>
      <c r="B132" s="53">
        <v>187</v>
      </c>
      <c r="C132" s="53">
        <v>25551000</v>
      </c>
      <c r="D132" s="54">
        <v>1.8192376728962096</v>
      </c>
      <c r="F132" s="53">
        <v>100100</v>
      </c>
      <c r="G132" s="55">
        <v>187</v>
      </c>
      <c r="H132" s="55">
        <v>25551000</v>
      </c>
    </row>
    <row r="133" spans="1:8" x14ac:dyDescent="0.3">
      <c r="A133" s="53">
        <v>200100</v>
      </c>
      <c r="B133" s="53">
        <v>52</v>
      </c>
      <c r="C133" s="53">
        <v>13477000</v>
      </c>
      <c r="D133" s="54">
        <v>1.6302865516394345</v>
      </c>
      <c r="F133" s="53">
        <v>200100</v>
      </c>
      <c r="G133" s="55">
        <v>52</v>
      </c>
      <c r="H133" s="55">
        <v>13477000</v>
      </c>
    </row>
    <row r="134" spans="1:8" x14ac:dyDescent="0.3">
      <c r="A134" s="53">
        <v>400000</v>
      </c>
      <c r="B134" s="53">
        <v>7</v>
      </c>
      <c r="C134" s="53">
        <v>5770000</v>
      </c>
      <c r="D134" s="54">
        <v>2.0607142857142859</v>
      </c>
      <c r="F134" s="53">
        <v>400000</v>
      </c>
      <c r="G134" s="55">
        <v>7</v>
      </c>
      <c r="H134" s="55">
        <v>5770000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I4" sqref="I4:J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5" x14ac:dyDescent="0.3">
      <c r="A1" s="79" t="s">
        <v>239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7250</v>
      </c>
      <c r="M3" t="s">
        <v>7</v>
      </c>
      <c r="N3" t="s">
        <v>8</v>
      </c>
      <c r="O3" t="s">
        <v>14</v>
      </c>
    </row>
    <row r="4" spans="1:15" x14ac:dyDescent="0.3">
      <c r="A4" s="53">
        <v>15100</v>
      </c>
      <c r="B4" s="53">
        <v>1072380</v>
      </c>
      <c r="C4" s="53">
        <v>18778179000</v>
      </c>
      <c r="D4" s="54">
        <v>1.7477221905027085</v>
      </c>
      <c r="F4" s="53">
        <v>15100</v>
      </c>
      <c r="G4" s="53">
        <v>1072380</v>
      </c>
      <c r="H4" s="53">
        <v>18778179000</v>
      </c>
      <c r="I4" s="2">
        <f>J4/6.55957</f>
        <v>2286.7352585611557</v>
      </c>
      <c r="J4" s="53">
        <v>15000</v>
      </c>
      <c r="K4" s="2">
        <f>G4+G15+G26+G37+G48+G59+G70+G81+G92+G103+G114+G125</f>
        <v>2153869.739548244</v>
      </c>
      <c r="L4" s="2">
        <f>H4+H15+H26+H37+H48+H59+H70+H81+H92+H103+H114+H125</f>
        <v>38336538491.35704</v>
      </c>
      <c r="M4">
        <f>1-SUM(K4:$K$13)/$K$15</f>
        <v>0.38797392312602841</v>
      </c>
      <c r="N4">
        <f>SUM(L4:$L$13)/(J4*SUM(K4:$K$13))</f>
        <v>2.7857433808549703</v>
      </c>
      <c r="O4">
        <f>(G4+G15+G37)/K4</f>
        <v>0.64100812349477509</v>
      </c>
    </row>
    <row r="5" spans="1:15" x14ac:dyDescent="0.3">
      <c r="A5" s="53">
        <v>20100</v>
      </c>
      <c r="B5" s="53">
        <v>812063</v>
      </c>
      <c r="C5" s="53">
        <v>18117931000</v>
      </c>
      <c r="D5" s="54">
        <v>1.566506960107334</v>
      </c>
      <c r="F5" s="53">
        <v>20100</v>
      </c>
      <c r="G5" s="53">
        <v>812063</v>
      </c>
      <c r="H5" s="53">
        <v>18117931000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2373955.6178666437</v>
      </c>
      <c r="L5" s="2">
        <f t="shared" si="1"/>
        <v>53285853966.341927</v>
      </c>
      <c r="M5">
        <f>1-SUM(K5:$K$13)/$K$15</f>
        <v>0.48281939681929231</v>
      </c>
      <c r="N5">
        <f>SUM(L5:$L$13)/(J5*SUM(K5:$K$13))</f>
        <v>2.3092578760680356</v>
      </c>
      <c r="O5">
        <f t="shared" ref="O5:O13" si="2">(G5+G16+G38)/K5</f>
        <v>0.45773138799305108</v>
      </c>
    </row>
    <row r="6" spans="1:15" x14ac:dyDescent="0.3">
      <c r="A6" s="53">
        <v>25100</v>
      </c>
      <c r="B6" s="53">
        <v>439624</v>
      </c>
      <c r="C6" s="53">
        <v>11993988000</v>
      </c>
      <c r="D6" s="54">
        <v>1.535441583327412</v>
      </c>
      <c r="F6" s="53">
        <v>25100</v>
      </c>
      <c r="G6" s="53">
        <v>439624</v>
      </c>
      <c r="H6" s="53">
        <v>11993988000</v>
      </c>
      <c r="I6" s="2">
        <f t="shared" si="0"/>
        <v>3811.2254309352597</v>
      </c>
      <c r="J6" s="53">
        <v>25000</v>
      </c>
      <c r="K6" s="2">
        <f t="shared" si="1"/>
        <v>1830381.0583530075</v>
      </c>
      <c r="L6" s="2">
        <f t="shared" si="1"/>
        <v>50332581834.101265</v>
      </c>
      <c r="M6">
        <f>1-SUM(K6:$K$13)/$K$15</f>
        <v>0.58735633374221496</v>
      </c>
      <c r="N6">
        <f>SUM(L6:$L$13)/(J6*SUM(K6:$K$13))</f>
        <v>2.0879641460217289</v>
      </c>
      <c r="O6">
        <f t="shared" si="2"/>
        <v>0.33570714534868884</v>
      </c>
    </row>
    <row r="7" spans="1:15" x14ac:dyDescent="0.3">
      <c r="A7" s="53">
        <v>30100</v>
      </c>
      <c r="B7" s="53">
        <v>356800</v>
      </c>
      <c r="C7" s="53">
        <v>12200479000</v>
      </c>
      <c r="D7" s="54">
        <v>1.5469127631115003</v>
      </c>
      <c r="F7" s="53">
        <v>30100</v>
      </c>
      <c r="G7" s="53">
        <v>356800</v>
      </c>
      <c r="H7" s="53">
        <v>12200479000</v>
      </c>
      <c r="I7" s="2">
        <f t="shared" si="0"/>
        <v>4573.4705171223113</v>
      </c>
      <c r="J7" s="53">
        <v>30000</v>
      </c>
      <c r="K7" s="2">
        <f t="shared" si="1"/>
        <v>2651443.2344733556</v>
      </c>
      <c r="L7" s="2">
        <f t="shared" si="1"/>
        <v>92469088578.751587</v>
      </c>
      <c r="M7">
        <f>1-SUM(K7:$K$13)/$K$15</f>
        <v>0.66795701043637767</v>
      </c>
      <c r="N7">
        <f>SUM(L7:$L$13)/(J7*SUM(K7:$K$13))</f>
        <v>1.939833002056395</v>
      </c>
      <c r="O7">
        <f t="shared" si="2"/>
        <v>0.19681960119491448</v>
      </c>
    </row>
    <row r="8" spans="1:15" x14ac:dyDescent="0.3">
      <c r="A8" s="53">
        <v>40100</v>
      </c>
      <c r="B8" s="53">
        <v>127926</v>
      </c>
      <c r="C8" s="53">
        <v>5664383000</v>
      </c>
      <c r="D8" s="54">
        <v>1.584270101076404</v>
      </c>
      <c r="F8" s="53">
        <v>40100</v>
      </c>
      <c r="G8" s="53">
        <v>127926</v>
      </c>
      <c r="H8" s="53">
        <v>5664383000</v>
      </c>
      <c r="I8" s="2">
        <f t="shared" si="0"/>
        <v>6097.9606894964154</v>
      </c>
      <c r="J8" s="53">
        <v>40000</v>
      </c>
      <c r="K8" s="2">
        <f t="shared" si="1"/>
        <v>1808504.6076993584</v>
      </c>
      <c r="L8" s="2">
        <f t="shared" si="1"/>
        <v>80723503657.195236</v>
      </c>
      <c r="M8">
        <f>1-SUM(K8:$K$13)/$K$15</f>
        <v>0.78471309132972356</v>
      </c>
      <c r="N8">
        <f>SUM(L8:$L$13)/(J8*SUM(K8:$K$13))</f>
        <v>1.7710517091339857</v>
      </c>
      <c r="O8">
        <f t="shared" si="2"/>
        <v>0.11630050545879769</v>
      </c>
    </row>
    <row r="9" spans="1:15" x14ac:dyDescent="0.3">
      <c r="A9" s="53">
        <v>50100</v>
      </c>
      <c r="B9" s="53">
        <v>80948</v>
      </c>
      <c r="C9" s="53">
        <v>4683923000</v>
      </c>
      <c r="D9" s="54">
        <v>1.6399912781412214</v>
      </c>
      <c r="F9" s="53">
        <v>50100</v>
      </c>
      <c r="G9" s="53">
        <v>80948</v>
      </c>
      <c r="H9" s="53">
        <v>4683923000</v>
      </c>
      <c r="I9" s="2">
        <f t="shared" si="0"/>
        <v>7622.4508618705195</v>
      </c>
      <c r="J9" s="53">
        <v>50000</v>
      </c>
      <c r="K9" s="2">
        <f t="shared" si="1"/>
        <v>1705817</v>
      </c>
      <c r="L9" s="2">
        <f t="shared" si="1"/>
        <v>99564464000</v>
      </c>
      <c r="M9">
        <f>1-SUM(K9:$K$13)/$K$15</f>
        <v>0.86435044035050157</v>
      </c>
      <c r="N9">
        <f>SUM(L9:$L$13)/(J9*SUM(K9:$K$13))</f>
        <v>1.7245492290212627</v>
      </c>
      <c r="O9">
        <f t="shared" si="2"/>
        <v>8.0676297633333477E-2</v>
      </c>
    </row>
    <row r="10" spans="1:15" x14ac:dyDescent="0.3">
      <c r="A10" s="53">
        <v>70100</v>
      </c>
      <c r="B10" s="53">
        <v>30877</v>
      </c>
      <c r="C10" s="53">
        <v>2523034000</v>
      </c>
      <c r="D10" s="54">
        <v>1.7200544472319792</v>
      </c>
      <c r="F10" s="53">
        <v>70100</v>
      </c>
      <c r="G10" s="53">
        <v>30877</v>
      </c>
      <c r="H10" s="53">
        <v>2523034000</v>
      </c>
      <c r="I10" s="2">
        <f t="shared" si="0"/>
        <v>10671.431206618727</v>
      </c>
      <c r="J10" s="53">
        <v>70000</v>
      </c>
      <c r="K10" s="2">
        <f t="shared" si="1"/>
        <v>799442</v>
      </c>
      <c r="L10" s="2">
        <f t="shared" si="1"/>
        <v>65481216000</v>
      </c>
      <c r="M10">
        <f>1-SUM(K10:$K$13)/$K$15</f>
        <v>0.93946594916161297</v>
      </c>
      <c r="N10">
        <f>SUM(L10:$L$13)/(J10*SUM(K10:$K$13))</f>
        <v>1.7256885613420903</v>
      </c>
      <c r="O10">
        <f t="shared" si="2"/>
        <v>7.0720577602878004E-2</v>
      </c>
    </row>
    <row r="11" spans="1:15" x14ac:dyDescent="0.3">
      <c r="A11" s="53">
        <v>100100</v>
      </c>
      <c r="B11" s="53">
        <v>16420</v>
      </c>
      <c r="C11" s="53">
        <v>2141942000</v>
      </c>
      <c r="D11" s="54">
        <v>1.7941595095834719</v>
      </c>
      <c r="F11" s="53">
        <v>100100</v>
      </c>
      <c r="G11" s="53">
        <v>16420</v>
      </c>
      <c r="H11" s="53">
        <v>2141942000</v>
      </c>
      <c r="I11" s="2">
        <f t="shared" si="0"/>
        <v>15244.901723741039</v>
      </c>
      <c r="J11" s="53">
        <v>100000</v>
      </c>
      <c r="K11" s="2">
        <f t="shared" si="1"/>
        <v>460959</v>
      </c>
      <c r="L11" s="2">
        <f t="shared" si="1"/>
        <v>60707122000</v>
      </c>
      <c r="M11">
        <f>1-SUM(K11:$K$13)/$K$15</f>
        <v>0.97466931071503426</v>
      </c>
      <c r="N11">
        <f>SUM(L11:$L$13)/(J11*SUM(K11:$K$13))</f>
        <v>1.7484500409393628</v>
      </c>
      <c r="O11">
        <f t="shared" si="2"/>
        <v>7.1618083170086708E-2</v>
      </c>
    </row>
    <row r="12" spans="1:15" x14ac:dyDescent="0.3">
      <c r="A12" s="53">
        <v>200100</v>
      </c>
      <c r="B12" s="53">
        <v>3068</v>
      </c>
      <c r="C12" s="53">
        <v>810066000</v>
      </c>
      <c r="D12" s="54">
        <v>1.9284721136364333</v>
      </c>
      <c r="F12" s="53">
        <v>200100</v>
      </c>
      <c r="G12" s="53">
        <v>3068</v>
      </c>
      <c r="H12" s="53">
        <v>810066000</v>
      </c>
      <c r="I12" s="2">
        <f t="shared" si="0"/>
        <v>30489.803447482078</v>
      </c>
      <c r="J12" s="53">
        <v>200000</v>
      </c>
      <c r="K12" s="2">
        <f t="shared" si="1"/>
        <v>92294</v>
      </c>
      <c r="L12" s="2">
        <f t="shared" si="1"/>
        <v>24278135000</v>
      </c>
      <c r="M12">
        <f>1-SUM(K12:$K$13)/$K$15</f>
        <v>0.99496760169587273</v>
      </c>
      <c r="N12">
        <f>SUM(L12:$L$13)/(J12*SUM(K12:$K$13))</f>
        <v>1.7444082620185155</v>
      </c>
      <c r="O12">
        <f t="shared" si="2"/>
        <v>7.4728584740069784E-2</v>
      </c>
    </row>
    <row r="13" spans="1:15" x14ac:dyDescent="0.3">
      <c r="A13" s="53">
        <v>400000</v>
      </c>
      <c r="B13" s="53">
        <v>844</v>
      </c>
      <c r="C13" s="53">
        <v>699525000</v>
      </c>
      <c r="D13" s="54">
        <v>2.0720527251184833</v>
      </c>
      <c r="F13" s="53">
        <v>400000</v>
      </c>
      <c r="G13" s="53">
        <v>844</v>
      </c>
      <c r="H13" s="53">
        <v>699525000</v>
      </c>
      <c r="I13" s="2">
        <f t="shared" si="0"/>
        <v>60979.606894964156</v>
      </c>
      <c r="J13" s="53">
        <v>400000</v>
      </c>
      <c r="K13" s="2">
        <f t="shared" si="1"/>
        <v>21988</v>
      </c>
      <c r="L13" s="2">
        <f>H13+H24+H35+H46+H57+H68+H79+H90+H101+H112+H123+H134</f>
        <v>15592758000</v>
      </c>
      <c r="M13">
        <f>1-SUM(K13:$K$13)/$K$15</f>
        <v>0.9990317602604859</v>
      </c>
      <c r="N13">
        <f>SUM(L13:$L$13)/(J13*SUM(K13:$K$13))</f>
        <v>1.772871338912134</v>
      </c>
      <c r="O13">
        <f t="shared" si="2"/>
        <v>9.2959796252501364E-2</v>
      </c>
    </row>
    <row r="14" spans="1:15" x14ac:dyDescent="0.3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3">
      <c r="A15" s="53">
        <v>15100</v>
      </c>
      <c r="B15" s="53">
        <v>254659</v>
      </c>
      <c r="C15" s="53">
        <v>4386469000</v>
      </c>
      <c r="D15" s="54">
        <v>2.1329605573329142</v>
      </c>
      <c r="F15" s="53">
        <v>15100</v>
      </c>
      <c r="G15" s="53">
        <v>254659</v>
      </c>
      <c r="H15" s="53">
        <v>4386469000</v>
      </c>
      <c r="K15" s="5">
        <v>22709251.751053449</v>
      </c>
    </row>
    <row r="16" spans="1:15" x14ac:dyDescent="0.3">
      <c r="A16" s="53">
        <v>20100</v>
      </c>
      <c r="B16" s="53">
        <v>216157</v>
      </c>
      <c r="C16" s="53">
        <v>4830333000</v>
      </c>
      <c r="D16" s="54">
        <v>1.8999322499153182</v>
      </c>
      <c r="F16" s="53">
        <v>20100</v>
      </c>
      <c r="G16" s="53">
        <v>216157</v>
      </c>
      <c r="H16" s="53">
        <v>4830333000</v>
      </c>
    </row>
    <row r="17" spans="1:8" x14ac:dyDescent="0.3">
      <c r="A17" s="53">
        <v>25100</v>
      </c>
      <c r="B17" s="53">
        <v>136370</v>
      </c>
      <c r="C17" s="53">
        <v>3730479000</v>
      </c>
      <c r="D17" s="54">
        <v>1.8449167182862594</v>
      </c>
      <c r="F17" s="53">
        <v>25100</v>
      </c>
      <c r="G17" s="53">
        <v>136370</v>
      </c>
      <c r="H17" s="53">
        <v>3730479000</v>
      </c>
    </row>
    <row r="18" spans="1:8" x14ac:dyDescent="0.3">
      <c r="A18" s="53">
        <v>30100</v>
      </c>
      <c r="B18" s="53">
        <v>128289</v>
      </c>
      <c r="C18" s="53">
        <v>4438097000</v>
      </c>
      <c r="D18" s="54">
        <v>1.8392819444011665</v>
      </c>
      <c r="F18" s="53">
        <v>30100</v>
      </c>
      <c r="G18" s="53">
        <v>128289</v>
      </c>
      <c r="H18" s="53">
        <v>4438097000</v>
      </c>
    </row>
    <row r="19" spans="1:8" x14ac:dyDescent="0.3">
      <c r="A19" s="53">
        <v>40100</v>
      </c>
      <c r="B19" s="53">
        <v>68511</v>
      </c>
      <c r="C19" s="53">
        <v>3040259000</v>
      </c>
      <c r="D19" s="54">
        <v>1.8034497540277101</v>
      </c>
      <c r="F19" s="53">
        <v>40100</v>
      </c>
      <c r="G19" s="53">
        <v>68511</v>
      </c>
      <c r="H19" s="53">
        <v>3040259000</v>
      </c>
    </row>
    <row r="20" spans="1:8" x14ac:dyDescent="0.3">
      <c r="A20" s="53">
        <v>50100</v>
      </c>
      <c r="B20" s="53">
        <v>47837</v>
      </c>
      <c r="C20" s="53">
        <v>2776088000</v>
      </c>
      <c r="D20" s="54">
        <v>1.8746562213592879</v>
      </c>
      <c r="F20" s="53">
        <v>50100</v>
      </c>
      <c r="G20" s="53">
        <v>47837</v>
      </c>
      <c r="H20" s="53">
        <v>2776088000</v>
      </c>
    </row>
    <row r="21" spans="1:8" x14ac:dyDescent="0.3">
      <c r="A21" s="53">
        <v>70100</v>
      </c>
      <c r="B21" s="53">
        <v>21982</v>
      </c>
      <c r="C21" s="53">
        <v>1805843000</v>
      </c>
      <c r="D21" s="54">
        <v>1.9403238023320266</v>
      </c>
      <c r="F21" s="53">
        <v>70100</v>
      </c>
      <c r="G21" s="53">
        <v>21982</v>
      </c>
      <c r="H21" s="53">
        <v>1805843000</v>
      </c>
    </row>
    <row r="22" spans="1:8" x14ac:dyDescent="0.3">
      <c r="A22" s="53">
        <v>100100</v>
      </c>
      <c r="B22" s="53">
        <v>14380</v>
      </c>
      <c r="C22" s="53">
        <v>1911002000</v>
      </c>
      <c r="D22" s="54">
        <v>1.9880066741768869</v>
      </c>
      <c r="F22" s="53">
        <v>100100</v>
      </c>
      <c r="G22" s="53">
        <v>14380</v>
      </c>
      <c r="H22" s="53">
        <v>1911002000</v>
      </c>
    </row>
    <row r="23" spans="1:8" x14ac:dyDescent="0.3">
      <c r="A23" s="53">
        <v>200100</v>
      </c>
      <c r="B23" s="53">
        <v>3360</v>
      </c>
      <c r="C23" s="53">
        <v>884578000</v>
      </c>
      <c r="D23" s="54">
        <v>2.069313759409888</v>
      </c>
      <c r="F23" s="53">
        <v>200100</v>
      </c>
      <c r="G23" s="53">
        <v>3360</v>
      </c>
      <c r="H23" s="53">
        <v>884578000</v>
      </c>
    </row>
    <row r="24" spans="1:8" x14ac:dyDescent="0.3">
      <c r="A24" s="53">
        <v>400000</v>
      </c>
      <c r="B24" s="53">
        <v>1060</v>
      </c>
      <c r="C24" s="53">
        <v>945610000</v>
      </c>
      <c r="D24" s="54">
        <v>2.2302122641509432</v>
      </c>
      <c r="F24" s="53">
        <v>400000</v>
      </c>
      <c r="G24" s="53">
        <v>1060</v>
      </c>
      <c r="H24" s="53">
        <v>945610000</v>
      </c>
    </row>
    <row r="25" spans="1:8" x14ac:dyDescent="0.3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3">
      <c r="A26" s="53">
        <v>15100</v>
      </c>
      <c r="B26" s="53">
        <v>355464</v>
      </c>
      <c r="C26" s="53">
        <v>6526584000</v>
      </c>
      <c r="D26" s="54">
        <v>3.0163439704205555</v>
      </c>
      <c r="F26" s="53">
        <v>15100</v>
      </c>
      <c r="G26" s="53">
        <v>355464</v>
      </c>
      <c r="H26" s="53">
        <v>6526584000</v>
      </c>
    </row>
    <row r="27" spans="1:8" x14ac:dyDescent="0.3">
      <c r="A27" s="53">
        <v>20100</v>
      </c>
      <c r="B27" s="53">
        <v>591805</v>
      </c>
      <c r="C27" s="53">
        <v>13315625000</v>
      </c>
      <c r="D27" s="54">
        <v>2.4072914204264229</v>
      </c>
      <c r="F27" s="53">
        <v>20100</v>
      </c>
      <c r="G27" s="53">
        <v>591805</v>
      </c>
      <c r="H27" s="53">
        <v>13315625000</v>
      </c>
    </row>
    <row r="28" spans="1:8" x14ac:dyDescent="0.3">
      <c r="A28" s="53">
        <v>25100</v>
      </c>
      <c r="B28" s="53">
        <v>511219</v>
      </c>
      <c r="C28" s="53">
        <v>14052876000</v>
      </c>
      <c r="D28" s="54">
        <v>2.1448667916234219</v>
      </c>
      <c r="F28" s="53">
        <v>25100</v>
      </c>
      <c r="G28" s="53">
        <v>511219</v>
      </c>
      <c r="H28" s="53">
        <v>14052876000</v>
      </c>
    </row>
    <row r="29" spans="1:8" x14ac:dyDescent="0.3">
      <c r="A29" s="53">
        <v>30100</v>
      </c>
      <c r="B29" s="53">
        <v>764549</v>
      </c>
      <c r="C29" s="53">
        <v>26850904000</v>
      </c>
      <c r="D29" s="54">
        <v>1.9831373938282366</v>
      </c>
      <c r="F29" s="53">
        <v>30100</v>
      </c>
      <c r="G29" s="53">
        <v>764549</v>
      </c>
      <c r="H29" s="53">
        <v>26850904000</v>
      </c>
    </row>
    <row r="30" spans="1:8" x14ac:dyDescent="0.3">
      <c r="A30" s="53">
        <v>40100</v>
      </c>
      <c r="B30" s="53">
        <v>577093</v>
      </c>
      <c r="C30" s="53">
        <v>25753742000</v>
      </c>
      <c r="D30" s="54">
        <v>1.7937206543107858</v>
      </c>
      <c r="F30" s="53">
        <v>40100</v>
      </c>
      <c r="G30" s="53">
        <v>577093</v>
      </c>
      <c r="H30" s="53">
        <v>25753742000</v>
      </c>
    </row>
    <row r="31" spans="1:8" x14ac:dyDescent="0.3">
      <c r="A31" s="53">
        <v>50100</v>
      </c>
      <c r="B31" s="53">
        <v>535448</v>
      </c>
      <c r="C31" s="53">
        <v>31232029000</v>
      </c>
      <c r="D31" s="54">
        <v>1.7638533527582299</v>
      </c>
      <c r="F31" s="53">
        <v>50100</v>
      </c>
      <c r="G31" s="53">
        <v>535448</v>
      </c>
      <c r="H31" s="53">
        <v>31232029000</v>
      </c>
    </row>
    <row r="32" spans="1:8" x14ac:dyDescent="0.3">
      <c r="A32" s="53">
        <v>70100</v>
      </c>
      <c r="B32" s="53">
        <v>245367</v>
      </c>
      <c r="C32" s="53">
        <v>20086928000</v>
      </c>
      <c r="D32" s="54">
        <v>1.8032386066005306</v>
      </c>
      <c r="F32" s="53">
        <v>70100</v>
      </c>
      <c r="G32" s="53">
        <v>245367</v>
      </c>
      <c r="H32" s="53">
        <v>20086928000</v>
      </c>
    </row>
    <row r="33" spans="1:8" x14ac:dyDescent="0.3">
      <c r="A33" s="53">
        <v>100100</v>
      </c>
      <c r="B33" s="53">
        <v>135337</v>
      </c>
      <c r="C33" s="53">
        <v>17755627000</v>
      </c>
      <c r="D33" s="54">
        <v>1.8779210648506421</v>
      </c>
      <c r="F33" s="53">
        <v>100100</v>
      </c>
      <c r="G33" s="53">
        <v>135337</v>
      </c>
      <c r="H33" s="53">
        <v>17755627000</v>
      </c>
    </row>
    <row r="34" spans="1:8" x14ac:dyDescent="0.3">
      <c r="A34" s="53">
        <v>200100</v>
      </c>
      <c r="B34" s="53">
        <v>32899</v>
      </c>
      <c r="C34" s="53">
        <v>8817634000</v>
      </c>
      <c r="D34" s="54">
        <v>1.850319414919583</v>
      </c>
      <c r="F34" s="53">
        <v>200100</v>
      </c>
      <c r="G34" s="53">
        <v>32899</v>
      </c>
      <c r="H34" s="53">
        <v>8817634000</v>
      </c>
    </row>
    <row r="35" spans="1:8" x14ac:dyDescent="0.3">
      <c r="A35" s="53">
        <v>400000</v>
      </c>
      <c r="B35" s="53">
        <v>9264</v>
      </c>
      <c r="C35" s="53">
        <v>6793171000</v>
      </c>
      <c r="D35" s="54">
        <v>1.8332175626079448</v>
      </c>
      <c r="F35" s="53">
        <v>400000</v>
      </c>
      <c r="G35" s="53">
        <v>9264</v>
      </c>
      <c r="H35" s="53">
        <v>6793171000</v>
      </c>
    </row>
    <row r="36" spans="1:8" x14ac:dyDescent="0.3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3">
      <c r="A37" s="53">
        <v>15100</v>
      </c>
      <c r="B37" s="53">
        <v>53609</v>
      </c>
      <c r="C37" s="53">
        <v>974963000</v>
      </c>
      <c r="D37" s="54">
        <v>1.9966332978951689</v>
      </c>
      <c r="F37" s="53">
        <v>15100</v>
      </c>
      <c r="G37" s="53">
        <v>53609</v>
      </c>
      <c r="H37" s="53">
        <v>974963000</v>
      </c>
    </row>
    <row r="38" spans="1:8" x14ac:dyDescent="0.3">
      <c r="A38" s="53">
        <v>20100</v>
      </c>
      <c r="B38" s="53">
        <v>58414</v>
      </c>
      <c r="C38" s="53">
        <v>1308900000</v>
      </c>
      <c r="D38" s="54">
        <v>1.6958354965836071</v>
      </c>
      <c r="F38" s="53">
        <v>20100</v>
      </c>
      <c r="G38" s="53">
        <v>58414</v>
      </c>
      <c r="H38" s="53">
        <v>1308900000</v>
      </c>
    </row>
    <row r="39" spans="1:8" x14ac:dyDescent="0.3">
      <c r="A39" s="53">
        <v>25100</v>
      </c>
      <c r="B39" s="53">
        <v>38478</v>
      </c>
      <c r="C39" s="53">
        <v>1052910000</v>
      </c>
      <c r="D39" s="54">
        <v>1.6181845861061459</v>
      </c>
      <c r="F39" s="53">
        <v>25100</v>
      </c>
      <c r="G39" s="53">
        <v>38478</v>
      </c>
      <c r="H39" s="53">
        <v>1052910000</v>
      </c>
    </row>
    <row r="40" spans="1:8" x14ac:dyDescent="0.3">
      <c r="A40" s="53">
        <v>30100</v>
      </c>
      <c r="B40" s="53">
        <v>36767</v>
      </c>
      <c r="C40" s="53">
        <v>1258590000</v>
      </c>
      <c r="D40" s="54">
        <v>1.6060908386214914</v>
      </c>
      <c r="F40" s="53">
        <v>30100</v>
      </c>
      <c r="G40" s="53">
        <v>36767</v>
      </c>
      <c r="H40" s="53">
        <v>1258590000</v>
      </c>
    </row>
    <row r="41" spans="1:8" x14ac:dyDescent="0.3">
      <c r="A41" s="53">
        <v>40100</v>
      </c>
      <c r="B41" s="53">
        <v>13893</v>
      </c>
      <c r="C41" s="53">
        <v>615396000</v>
      </c>
      <c r="D41" s="54">
        <v>1.6482726532967884</v>
      </c>
      <c r="F41" s="53">
        <v>40100</v>
      </c>
      <c r="G41" s="53">
        <v>13893</v>
      </c>
      <c r="H41" s="53">
        <v>615396000</v>
      </c>
    </row>
    <row r="42" spans="1:8" x14ac:dyDescent="0.3">
      <c r="A42" s="53">
        <v>50100</v>
      </c>
      <c r="B42" s="53">
        <v>8834</v>
      </c>
      <c r="C42" s="53">
        <v>511858000</v>
      </c>
      <c r="D42" s="54">
        <v>1.7135209169504995</v>
      </c>
      <c r="F42" s="53">
        <v>50100</v>
      </c>
      <c r="G42" s="53">
        <v>8834</v>
      </c>
      <c r="H42" s="53">
        <v>511858000</v>
      </c>
    </row>
    <row r="43" spans="1:8" x14ac:dyDescent="0.3">
      <c r="A43" s="53">
        <v>70100</v>
      </c>
      <c r="B43" s="53">
        <v>3678</v>
      </c>
      <c r="C43" s="53">
        <v>301587000</v>
      </c>
      <c r="D43" s="54">
        <v>1.7656666300888839</v>
      </c>
      <c r="F43" s="53">
        <v>70100</v>
      </c>
      <c r="G43" s="53">
        <v>3678</v>
      </c>
      <c r="H43" s="53">
        <v>301587000</v>
      </c>
    </row>
    <row r="44" spans="1:8" x14ac:dyDescent="0.3">
      <c r="A44" s="53">
        <v>100100</v>
      </c>
      <c r="B44" s="53">
        <v>2213</v>
      </c>
      <c r="C44" s="53">
        <v>286737000</v>
      </c>
      <c r="D44" s="54">
        <v>1.7804272269190766</v>
      </c>
      <c r="F44" s="53">
        <v>100100</v>
      </c>
      <c r="G44" s="53">
        <v>2213</v>
      </c>
      <c r="H44" s="53">
        <v>286737000</v>
      </c>
    </row>
    <row r="45" spans="1:8" x14ac:dyDescent="0.3">
      <c r="A45" s="53">
        <v>200100</v>
      </c>
      <c r="B45" s="53">
        <v>469</v>
      </c>
      <c r="C45" s="53">
        <v>126749000</v>
      </c>
      <c r="D45" s="54">
        <v>1.7741703860713323</v>
      </c>
      <c r="F45" s="53">
        <v>200100</v>
      </c>
      <c r="G45" s="53">
        <v>469</v>
      </c>
      <c r="H45" s="53">
        <v>126749000</v>
      </c>
    </row>
    <row r="46" spans="1:8" x14ac:dyDescent="0.3">
      <c r="A46" s="53">
        <v>400000</v>
      </c>
      <c r="B46" s="53">
        <v>140</v>
      </c>
      <c r="C46" s="53">
        <v>89453000</v>
      </c>
      <c r="D46" s="54">
        <v>1.597375</v>
      </c>
      <c r="F46" s="53">
        <v>400000</v>
      </c>
      <c r="G46" s="53">
        <v>140</v>
      </c>
      <c r="H46" s="53">
        <v>89453000</v>
      </c>
    </row>
    <row r="47" spans="1:8" x14ac:dyDescent="0.3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3">
      <c r="A48" s="53">
        <v>18125</v>
      </c>
      <c r="B48" s="53">
        <v>3268</v>
      </c>
      <c r="C48" s="53">
        <v>62135000</v>
      </c>
      <c r="D48" s="54">
        <v>2.6712546450482191</v>
      </c>
      <c r="F48" s="53">
        <v>15100</v>
      </c>
      <c r="G48" s="2">
        <v>187442.30788181917</v>
      </c>
      <c r="H48" s="2">
        <v>3441580490.695415</v>
      </c>
    </row>
    <row r="49" spans="1:8" x14ac:dyDescent="0.3">
      <c r="A49" s="53">
        <v>20100</v>
      </c>
      <c r="B49" s="53">
        <v>312069</v>
      </c>
      <c r="C49" s="53">
        <v>7050242000</v>
      </c>
      <c r="D49" s="54">
        <v>2.4106927387462744</v>
      </c>
      <c r="F49" s="53">
        <v>20100</v>
      </c>
      <c r="G49" s="55">
        <v>312069</v>
      </c>
      <c r="H49" s="55">
        <v>7050242000</v>
      </c>
    </row>
    <row r="50" spans="1:8" x14ac:dyDescent="0.3">
      <c r="A50" s="53">
        <v>25100</v>
      </c>
      <c r="B50" s="53">
        <v>316185</v>
      </c>
      <c r="C50" s="53">
        <v>8711984000</v>
      </c>
      <c r="D50" s="54">
        <v>2.0774321948808034</v>
      </c>
      <c r="F50" s="53">
        <v>25100</v>
      </c>
      <c r="G50" s="55">
        <v>316185</v>
      </c>
      <c r="H50" s="55">
        <v>8711984000</v>
      </c>
    </row>
    <row r="51" spans="1:8" x14ac:dyDescent="0.3">
      <c r="A51" s="53">
        <v>30100</v>
      </c>
      <c r="B51" s="53">
        <v>610268</v>
      </c>
      <c r="C51" s="53">
        <v>21390360000</v>
      </c>
      <c r="D51" s="54">
        <v>1.870335074683956</v>
      </c>
      <c r="F51" s="53">
        <v>30100</v>
      </c>
      <c r="G51" s="55">
        <v>610268</v>
      </c>
      <c r="H51" s="55">
        <v>21390360000</v>
      </c>
    </row>
    <row r="52" spans="1:8" x14ac:dyDescent="0.3">
      <c r="A52" s="53">
        <v>40100</v>
      </c>
      <c r="B52" s="53">
        <v>484649</v>
      </c>
      <c r="C52" s="53">
        <v>21670722000</v>
      </c>
      <c r="D52" s="54">
        <v>1.6602039473601504</v>
      </c>
      <c r="F52" s="53">
        <v>40100</v>
      </c>
      <c r="G52" s="55">
        <v>484649</v>
      </c>
      <c r="H52" s="55">
        <v>21670722000</v>
      </c>
    </row>
    <row r="53" spans="1:8" x14ac:dyDescent="0.3">
      <c r="A53" s="53">
        <v>50100</v>
      </c>
      <c r="B53" s="53">
        <v>464186</v>
      </c>
      <c r="C53" s="53">
        <v>27038258000</v>
      </c>
      <c r="D53" s="54">
        <v>1.6009859488782667</v>
      </c>
      <c r="F53" s="53">
        <v>50100</v>
      </c>
      <c r="G53" s="55">
        <v>464186</v>
      </c>
      <c r="H53" s="55">
        <v>27038258000</v>
      </c>
    </row>
    <row r="54" spans="1:8" x14ac:dyDescent="0.3">
      <c r="A54" s="53">
        <v>70100</v>
      </c>
      <c r="B54" s="53">
        <v>196444</v>
      </c>
      <c r="C54" s="53">
        <v>16028032000</v>
      </c>
      <c r="D54" s="54">
        <v>1.6091046040260013</v>
      </c>
      <c r="F54" s="53">
        <v>70100</v>
      </c>
      <c r="G54" s="55">
        <v>196444</v>
      </c>
      <c r="H54" s="55">
        <v>16028032000</v>
      </c>
    </row>
    <row r="55" spans="1:8" x14ac:dyDescent="0.3">
      <c r="A55" s="53">
        <v>100100</v>
      </c>
      <c r="B55" s="53">
        <v>97839</v>
      </c>
      <c r="C55" s="53">
        <v>12791450000</v>
      </c>
      <c r="D55" s="54">
        <v>1.6531993664439502</v>
      </c>
      <c r="F55" s="53">
        <v>100100</v>
      </c>
      <c r="G55" s="55">
        <v>97839</v>
      </c>
      <c r="H55" s="55">
        <v>12791450000</v>
      </c>
    </row>
    <row r="56" spans="1:8" x14ac:dyDescent="0.3">
      <c r="A56" s="53">
        <v>200100</v>
      </c>
      <c r="B56" s="53">
        <v>14719</v>
      </c>
      <c r="C56" s="53">
        <v>3899023000</v>
      </c>
      <c r="D56" s="54">
        <v>1.7444345113327342</v>
      </c>
      <c r="F56" s="53">
        <v>200100</v>
      </c>
      <c r="G56" s="55">
        <v>14719</v>
      </c>
      <c r="H56" s="55">
        <v>3899023000</v>
      </c>
    </row>
    <row r="57" spans="1:8" x14ac:dyDescent="0.3">
      <c r="A57" s="53">
        <v>400000</v>
      </c>
      <c r="B57" s="53">
        <v>3799</v>
      </c>
      <c r="C57" s="53">
        <v>2564895000</v>
      </c>
      <c r="D57" s="54">
        <v>1.6878750987101869</v>
      </c>
      <c r="F57" s="53">
        <v>400000</v>
      </c>
      <c r="G57" s="55">
        <v>3799</v>
      </c>
      <c r="H57" s="55">
        <v>2564895000</v>
      </c>
    </row>
    <row r="58" spans="1:8" x14ac:dyDescent="0.3">
      <c r="A58" s="51" t="s">
        <v>56</v>
      </c>
      <c r="B58" s="51" t="s">
        <v>70</v>
      </c>
      <c r="C58" s="51" t="s">
        <v>71</v>
      </c>
      <c r="D58" s="52" t="s">
        <v>59</v>
      </c>
      <c r="G58" s="2"/>
      <c r="H58" s="2"/>
    </row>
    <row r="59" spans="1:8" x14ac:dyDescent="0.3">
      <c r="A59" s="51"/>
      <c r="B59" s="51"/>
      <c r="C59" s="51"/>
      <c r="D59" s="52"/>
      <c r="F59" s="53">
        <v>15100</v>
      </c>
      <c r="G59" s="2">
        <v>169284.08440372846</v>
      </c>
      <c r="H59" s="2">
        <v>3108181972.6442728</v>
      </c>
    </row>
    <row r="60" spans="1:8" x14ac:dyDescent="0.3">
      <c r="A60" s="53">
        <v>21750</v>
      </c>
      <c r="B60" s="53">
        <v>80710</v>
      </c>
      <c r="C60" s="53">
        <v>1964161000</v>
      </c>
      <c r="D60" s="54">
        <v>2.4932622670703579</v>
      </c>
      <c r="F60" s="53">
        <v>20100</v>
      </c>
      <c r="G60" s="2">
        <v>281837.7320081598</v>
      </c>
      <c r="H60" s="2">
        <v>6367259213.1505289</v>
      </c>
    </row>
    <row r="61" spans="1:8" x14ac:dyDescent="0.3">
      <c r="A61" s="53">
        <v>25100</v>
      </c>
      <c r="B61" s="53">
        <v>285555</v>
      </c>
      <c r="C61" s="53">
        <v>7858542000</v>
      </c>
      <c r="D61" s="54">
        <v>2.211765856267037</v>
      </c>
      <c r="F61" s="53">
        <v>25100</v>
      </c>
      <c r="G61" s="55">
        <v>285555</v>
      </c>
      <c r="H61" s="55">
        <v>7858542000</v>
      </c>
    </row>
    <row r="62" spans="1:8" x14ac:dyDescent="0.3">
      <c r="A62" s="53">
        <v>30100</v>
      </c>
      <c r="B62" s="53">
        <v>482448</v>
      </c>
      <c r="C62" s="53">
        <v>16840754000</v>
      </c>
      <c r="D62" s="54">
        <v>2.0114777256836467</v>
      </c>
      <c r="F62" s="53">
        <v>30100</v>
      </c>
      <c r="G62" s="55">
        <v>482448</v>
      </c>
      <c r="H62" s="55">
        <v>16840754000</v>
      </c>
    </row>
    <row r="63" spans="1:8" x14ac:dyDescent="0.3">
      <c r="A63" s="53">
        <v>40100</v>
      </c>
      <c r="B63" s="53">
        <v>365071</v>
      </c>
      <c r="C63" s="53">
        <v>16338860000</v>
      </c>
      <c r="D63" s="54">
        <v>1.7885602069903352</v>
      </c>
      <c r="F63" s="53">
        <v>40100</v>
      </c>
      <c r="G63" s="55">
        <v>365071</v>
      </c>
      <c r="H63" s="55">
        <v>16338860000</v>
      </c>
    </row>
    <row r="64" spans="1:8" x14ac:dyDescent="0.3">
      <c r="A64" s="53">
        <v>50100</v>
      </c>
      <c r="B64" s="53">
        <v>401310</v>
      </c>
      <c r="C64" s="53">
        <v>23508196000</v>
      </c>
      <c r="D64" s="54">
        <v>1.6964816529591833</v>
      </c>
      <c r="F64" s="53">
        <v>50100</v>
      </c>
      <c r="G64" s="55">
        <v>401310</v>
      </c>
      <c r="H64" s="55">
        <v>23508196000</v>
      </c>
    </row>
    <row r="65" spans="1:8" x14ac:dyDescent="0.3">
      <c r="A65" s="53">
        <v>70100</v>
      </c>
      <c r="B65" s="53">
        <v>199951</v>
      </c>
      <c r="C65" s="53">
        <v>16377396000</v>
      </c>
      <c r="D65" s="54">
        <v>1.6566940318065353</v>
      </c>
      <c r="F65" s="53">
        <v>70100</v>
      </c>
      <c r="G65" s="55">
        <v>199951</v>
      </c>
      <c r="H65" s="55">
        <v>16377396000</v>
      </c>
    </row>
    <row r="66" spans="1:8" x14ac:dyDescent="0.3">
      <c r="A66" s="53">
        <v>100100</v>
      </c>
      <c r="B66" s="53">
        <v>115973</v>
      </c>
      <c r="C66" s="53">
        <v>15282236000</v>
      </c>
      <c r="D66" s="54">
        <v>1.6469279890703479</v>
      </c>
      <c r="F66" s="53">
        <v>100100</v>
      </c>
      <c r="G66" s="55">
        <v>115973</v>
      </c>
      <c r="H66" s="55">
        <v>15282236000</v>
      </c>
    </row>
    <row r="67" spans="1:8" x14ac:dyDescent="0.3">
      <c r="A67" s="53">
        <v>200100</v>
      </c>
      <c r="B67" s="53">
        <v>20501</v>
      </c>
      <c r="C67" s="53">
        <v>5280648000</v>
      </c>
      <c r="D67" s="54">
        <v>1.6068524600862621</v>
      </c>
      <c r="F67" s="53">
        <v>200100</v>
      </c>
      <c r="G67" s="55">
        <v>20501</v>
      </c>
      <c r="H67" s="55">
        <v>5280648000</v>
      </c>
    </row>
    <row r="68" spans="1:8" x14ac:dyDescent="0.3">
      <c r="A68" s="53">
        <v>400000</v>
      </c>
      <c r="B68" s="53">
        <v>3988</v>
      </c>
      <c r="C68" s="53">
        <v>2593329000</v>
      </c>
      <c r="D68" s="54">
        <v>1.6257077482447342</v>
      </c>
      <c r="F68" s="53">
        <v>400000</v>
      </c>
      <c r="G68" s="55">
        <v>3988</v>
      </c>
      <c r="H68" s="55">
        <v>2593329000</v>
      </c>
    </row>
    <row r="69" spans="1:8" x14ac:dyDescent="0.3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3">
      <c r="A70" s="51"/>
      <c r="B70" s="51"/>
      <c r="C70" s="51"/>
      <c r="D70" s="52"/>
      <c r="F70" s="53">
        <v>15100</v>
      </c>
      <c r="G70" s="2">
        <v>42916.123880335392</v>
      </c>
      <c r="H70" s="2">
        <v>787972023.77572668</v>
      </c>
    </row>
    <row r="71" spans="1:8" x14ac:dyDescent="0.3">
      <c r="A71" s="53">
        <v>20100</v>
      </c>
      <c r="B71" s="53"/>
      <c r="C71" s="53"/>
      <c r="D71" s="54"/>
      <c r="F71" s="53">
        <v>20100</v>
      </c>
      <c r="G71" s="2">
        <v>71450.207877596287</v>
      </c>
      <c r="H71" s="2">
        <v>1614198323.0867536</v>
      </c>
    </row>
    <row r="72" spans="1:8" x14ac:dyDescent="0.3">
      <c r="A72" s="53">
        <v>25375</v>
      </c>
      <c r="B72" s="53">
        <v>68411</v>
      </c>
      <c r="C72" s="53">
        <v>1961652000</v>
      </c>
      <c r="D72" s="54">
        <v>2.3614257747605776</v>
      </c>
      <c r="F72" s="53">
        <v>25100</v>
      </c>
      <c r="G72" s="2">
        <v>72392.592592592599</v>
      </c>
      <c r="H72" s="2">
        <v>2061589974.0740743</v>
      </c>
    </row>
    <row r="73" spans="1:8" x14ac:dyDescent="0.3">
      <c r="A73" s="53">
        <v>30100</v>
      </c>
      <c r="B73" s="53">
        <v>191492</v>
      </c>
      <c r="C73" s="53">
        <v>6644154000</v>
      </c>
      <c r="D73" s="54">
        <v>2.1142674645281896</v>
      </c>
      <c r="F73" s="53">
        <v>30100</v>
      </c>
      <c r="G73" s="55">
        <v>191492</v>
      </c>
      <c r="H73" s="55">
        <v>6644154000</v>
      </c>
    </row>
    <row r="74" spans="1:8" x14ac:dyDescent="0.3">
      <c r="A74" s="53">
        <v>40100</v>
      </c>
      <c r="B74" s="53">
        <v>120216</v>
      </c>
      <c r="C74" s="53">
        <v>5362099000</v>
      </c>
      <c r="D74" s="54">
        <v>1.9475056304903269</v>
      </c>
      <c r="F74" s="53">
        <v>40100</v>
      </c>
      <c r="G74" s="55">
        <v>120216</v>
      </c>
      <c r="H74" s="55">
        <v>5362099000</v>
      </c>
    </row>
    <row r="75" spans="1:8" x14ac:dyDescent="0.3">
      <c r="A75" s="53">
        <v>50100</v>
      </c>
      <c r="B75" s="53">
        <v>123128</v>
      </c>
      <c r="C75" s="53">
        <v>7230365000</v>
      </c>
      <c r="D75" s="54">
        <v>1.8641260871358007</v>
      </c>
      <c r="F75" s="53">
        <v>50100</v>
      </c>
      <c r="G75" s="55">
        <v>123128</v>
      </c>
      <c r="H75" s="55">
        <v>7230365000</v>
      </c>
    </row>
    <row r="76" spans="1:8" x14ac:dyDescent="0.3">
      <c r="A76" s="53">
        <v>70100</v>
      </c>
      <c r="B76" s="53">
        <v>73169</v>
      </c>
      <c r="C76" s="53">
        <v>6038244000</v>
      </c>
      <c r="D76" s="54">
        <v>1.7670751532375917</v>
      </c>
      <c r="F76" s="53">
        <v>70100</v>
      </c>
      <c r="G76" s="55">
        <v>73169</v>
      </c>
      <c r="H76" s="55">
        <v>6038244000</v>
      </c>
    </row>
    <row r="77" spans="1:8" x14ac:dyDescent="0.3">
      <c r="A77" s="53">
        <v>100100</v>
      </c>
      <c r="B77" s="53">
        <v>53722</v>
      </c>
      <c r="C77" s="53">
        <v>7170071000</v>
      </c>
      <c r="D77" s="54">
        <v>1.6893168126536344</v>
      </c>
      <c r="F77" s="53">
        <v>100100</v>
      </c>
      <c r="G77" s="55">
        <v>53722</v>
      </c>
      <c r="H77" s="55">
        <v>7170071000</v>
      </c>
    </row>
    <row r="78" spans="1:8" x14ac:dyDescent="0.3">
      <c r="A78" s="53">
        <v>200100</v>
      </c>
      <c r="B78" s="53">
        <v>11222</v>
      </c>
      <c r="C78" s="53">
        <v>2884616000</v>
      </c>
      <c r="D78" s="54">
        <v>1.5716128114557546</v>
      </c>
      <c r="F78" s="53">
        <v>200100</v>
      </c>
      <c r="G78" s="55">
        <v>11222</v>
      </c>
      <c r="H78" s="55">
        <v>2884616000</v>
      </c>
    </row>
    <row r="79" spans="1:8" x14ac:dyDescent="0.3">
      <c r="A79" s="53">
        <v>400000</v>
      </c>
      <c r="B79" s="53">
        <v>1946</v>
      </c>
      <c r="C79" s="53">
        <v>1256453000</v>
      </c>
      <c r="D79" s="54">
        <v>1.6141482528263102</v>
      </c>
      <c r="F79" s="53">
        <v>400000</v>
      </c>
      <c r="G79" s="55">
        <v>1946</v>
      </c>
      <c r="H79" s="55">
        <v>1256453000</v>
      </c>
    </row>
    <row r="80" spans="1:8" x14ac:dyDescent="0.3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3">
      <c r="A81" s="53">
        <v>15100</v>
      </c>
      <c r="B81" s="53"/>
      <c r="C81" s="53"/>
      <c r="D81" s="54"/>
      <c r="F81" s="53">
        <v>15100</v>
      </c>
      <c r="G81" s="2">
        <v>12122.126378979076</v>
      </c>
      <c r="H81" s="2">
        <v>222571276.05333531</v>
      </c>
    </row>
    <row r="82" spans="1:8" x14ac:dyDescent="0.3">
      <c r="A82" s="53">
        <v>20100</v>
      </c>
      <c r="B82" s="53"/>
      <c r="C82" s="53"/>
      <c r="D82" s="54"/>
      <c r="F82" s="53">
        <v>20100</v>
      </c>
      <c r="G82" s="2">
        <v>20181.88902873909</v>
      </c>
      <c r="H82" s="2">
        <v>455947888.67127305</v>
      </c>
    </row>
    <row r="83" spans="1:8" x14ac:dyDescent="0.3">
      <c r="A83" s="53">
        <v>29000</v>
      </c>
      <c r="B83" s="53">
        <v>329</v>
      </c>
      <c r="C83" s="53">
        <v>9697000</v>
      </c>
      <c r="D83" s="54">
        <v>2.3084651482570839</v>
      </c>
      <c r="F83" s="53">
        <v>25100</v>
      </c>
      <c r="G83" s="2">
        <v>20448.07585037882</v>
      </c>
      <c r="H83" s="2">
        <v>582318530.84041429</v>
      </c>
    </row>
    <row r="84" spans="1:8" x14ac:dyDescent="0.3">
      <c r="A84" s="53">
        <v>30100</v>
      </c>
      <c r="B84" s="53">
        <v>54089</v>
      </c>
      <c r="C84" s="53">
        <v>1904285000</v>
      </c>
      <c r="D84" s="54">
        <v>2.2266250384941788</v>
      </c>
      <c r="F84" s="53">
        <v>30100</v>
      </c>
      <c r="G84" s="55">
        <v>54089</v>
      </c>
      <c r="H84" s="55">
        <v>1904285000</v>
      </c>
    </row>
    <row r="85" spans="1:8" x14ac:dyDescent="0.3">
      <c r="A85" s="53">
        <v>40100</v>
      </c>
      <c r="B85" s="53">
        <v>34225</v>
      </c>
      <c r="C85" s="53">
        <v>1523509000</v>
      </c>
      <c r="D85" s="54">
        <v>2.0676631626577975</v>
      </c>
      <c r="F85" s="53">
        <v>40100</v>
      </c>
      <c r="G85" s="55">
        <v>34225</v>
      </c>
      <c r="H85" s="55">
        <v>1523509000</v>
      </c>
    </row>
    <row r="86" spans="1:8" x14ac:dyDescent="0.3">
      <c r="A86" s="53">
        <v>50100</v>
      </c>
      <c r="B86" s="53">
        <v>31113</v>
      </c>
      <c r="C86" s="53">
        <v>1825235000</v>
      </c>
      <c r="D86" s="54">
        <v>2.0091533537254471</v>
      </c>
      <c r="F86" s="53">
        <v>50100</v>
      </c>
      <c r="G86" s="55">
        <v>31113</v>
      </c>
      <c r="H86" s="55">
        <v>1825235000</v>
      </c>
    </row>
    <row r="87" spans="1:8" x14ac:dyDescent="0.3">
      <c r="A87" s="53">
        <v>70100</v>
      </c>
      <c r="B87" s="53">
        <v>20321</v>
      </c>
      <c r="C87" s="53">
        <v>1685023000</v>
      </c>
      <c r="D87" s="54">
        <v>1.8699258259700848</v>
      </c>
      <c r="F87" s="53">
        <v>70100</v>
      </c>
      <c r="G87" s="55">
        <v>20321</v>
      </c>
      <c r="H87" s="55">
        <v>1685023000</v>
      </c>
    </row>
    <row r="88" spans="1:8" x14ac:dyDescent="0.3">
      <c r="A88" s="53">
        <v>100100</v>
      </c>
      <c r="B88" s="53">
        <v>17733</v>
      </c>
      <c r="C88" s="53">
        <v>2374105000</v>
      </c>
      <c r="D88" s="54">
        <v>1.7416466406521653</v>
      </c>
      <c r="F88" s="53">
        <v>100100</v>
      </c>
      <c r="G88" s="55">
        <v>17733</v>
      </c>
      <c r="H88" s="55">
        <v>2374105000</v>
      </c>
    </row>
    <row r="89" spans="1:8" x14ac:dyDescent="0.3">
      <c r="A89" s="53">
        <v>200100</v>
      </c>
      <c r="B89" s="53">
        <v>4210</v>
      </c>
      <c r="C89" s="53">
        <v>1089233000</v>
      </c>
      <c r="D89" s="54">
        <v>1.6041764481618555</v>
      </c>
      <c r="F89" s="53">
        <v>200100</v>
      </c>
      <c r="G89" s="55">
        <v>4210</v>
      </c>
      <c r="H89" s="55">
        <v>1089233000</v>
      </c>
    </row>
    <row r="90" spans="1:8" x14ac:dyDescent="0.3">
      <c r="A90" s="53">
        <v>400000</v>
      </c>
      <c r="B90" s="53">
        <v>682</v>
      </c>
      <c r="C90" s="53">
        <v>481078000</v>
      </c>
      <c r="D90" s="54">
        <v>1.7634824046920823</v>
      </c>
      <c r="F90" s="53">
        <v>400000</v>
      </c>
      <c r="G90" s="55">
        <v>682</v>
      </c>
      <c r="H90" s="55">
        <v>481078000</v>
      </c>
    </row>
    <row r="91" spans="1:8" x14ac:dyDescent="0.3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3">
      <c r="A92" s="53">
        <v>15100</v>
      </c>
      <c r="B92" s="53"/>
      <c r="C92" s="53"/>
      <c r="D92" s="54"/>
      <c r="F92" s="53">
        <v>15100</v>
      </c>
      <c r="G92" s="2">
        <v>3829.4939491459977</v>
      </c>
      <c r="H92" s="2">
        <v>70312363.380238459</v>
      </c>
    </row>
    <row r="93" spans="1:8" x14ac:dyDescent="0.3">
      <c r="A93" s="53">
        <v>20100</v>
      </c>
      <c r="B93" s="53"/>
      <c r="C93" s="53"/>
      <c r="D93" s="54"/>
      <c r="F93" s="53">
        <v>20100</v>
      </c>
      <c r="G93" s="2">
        <v>6375.648916836436</v>
      </c>
      <c r="H93" s="2">
        <v>144038234.39923459</v>
      </c>
    </row>
    <row r="94" spans="1:8" x14ac:dyDescent="0.3">
      <c r="A94" s="53">
        <v>25100</v>
      </c>
      <c r="B94" s="53"/>
      <c r="C94" s="53"/>
      <c r="D94" s="54"/>
      <c r="F94" s="53">
        <v>25100</v>
      </c>
      <c r="G94" s="2">
        <v>6459.7398420539312</v>
      </c>
      <c r="H94" s="2">
        <v>183959911.04299662</v>
      </c>
    </row>
    <row r="95" spans="1:8" x14ac:dyDescent="0.3">
      <c r="A95" s="53">
        <v>32625</v>
      </c>
      <c r="B95" s="53">
        <v>9841</v>
      </c>
      <c r="C95" s="53">
        <v>366905000</v>
      </c>
      <c r="D95" s="54">
        <v>2.186764298294027</v>
      </c>
      <c r="F95" s="53">
        <v>30100</v>
      </c>
      <c r="G95" s="2">
        <v>17087.224777209642</v>
      </c>
      <c r="H95" s="2">
        <v>601581575.4565376</v>
      </c>
    </row>
    <row r="96" spans="1:8" x14ac:dyDescent="0.3">
      <c r="A96" s="53">
        <v>40100</v>
      </c>
      <c r="B96" s="53">
        <v>10812</v>
      </c>
      <c r="C96" s="53">
        <v>480675000</v>
      </c>
      <c r="D96" s="54">
        <v>2.0450186681402229</v>
      </c>
      <c r="F96" s="53">
        <v>40100</v>
      </c>
      <c r="G96" s="55">
        <v>10812</v>
      </c>
      <c r="H96" s="55">
        <v>480675000</v>
      </c>
    </row>
    <row r="97" spans="1:8" x14ac:dyDescent="0.3">
      <c r="A97" s="53">
        <v>50100</v>
      </c>
      <c r="B97" s="53">
        <v>8611</v>
      </c>
      <c r="C97" s="53">
        <v>503645000</v>
      </c>
      <c r="D97" s="54">
        <v>2.0297093086554168</v>
      </c>
      <c r="F97" s="53">
        <v>50100</v>
      </c>
      <c r="G97" s="55">
        <v>8611</v>
      </c>
      <c r="H97" s="55">
        <v>503645000</v>
      </c>
    </row>
    <row r="98" spans="1:8" x14ac:dyDescent="0.3">
      <c r="A98" s="53">
        <v>70100</v>
      </c>
      <c r="B98" s="53">
        <v>5452</v>
      </c>
      <c r="C98" s="53">
        <v>452678000</v>
      </c>
      <c r="D98" s="54">
        <v>1.8923227228718182</v>
      </c>
      <c r="F98" s="53">
        <v>70100</v>
      </c>
      <c r="G98" s="55">
        <v>5452</v>
      </c>
      <c r="H98" s="55">
        <v>452678000</v>
      </c>
    </row>
    <row r="99" spans="1:8" x14ac:dyDescent="0.3">
      <c r="A99" s="53">
        <v>100100</v>
      </c>
      <c r="B99" s="53">
        <v>5142</v>
      </c>
      <c r="C99" s="53">
        <v>695556000</v>
      </c>
      <c r="D99" s="54">
        <v>1.737063606920358</v>
      </c>
      <c r="F99" s="53">
        <v>100100</v>
      </c>
      <c r="G99" s="55">
        <v>5142</v>
      </c>
      <c r="H99" s="55">
        <v>695556000</v>
      </c>
    </row>
    <row r="100" spans="1:8" x14ac:dyDescent="0.3">
      <c r="A100" s="53">
        <v>200100</v>
      </c>
      <c r="B100" s="53">
        <v>1242</v>
      </c>
      <c r="C100" s="53">
        <v>327669000</v>
      </c>
      <c r="D100" s="54">
        <v>1.5676844676253423</v>
      </c>
      <c r="F100" s="53">
        <v>200100</v>
      </c>
      <c r="G100" s="55">
        <v>1242</v>
      </c>
      <c r="H100" s="55">
        <v>327669000</v>
      </c>
    </row>
    <row r="101" spans="1:8" x14ac:dyDescent="0.3">
      <c r="A101" s="53">
        <v>400000</v>
      </c>
      <c r="B101" s="53">
        <v>178</v>
      </c>
      <c r="C101" s="53">
        <v>117776000</v>
      </c>
      <c r="D101" s="54">
        <v>1.6541573033707866</v>
      </c>
      <c r="F101" s="53">
        <v>400000</v>
      </c>
      <c r="G101" s="55">
        <v>178</v>
      </c>
      <c r="H101" s="55">
        <v>117776000</v>
      </c>
    </row>
    <row r="102" spans="1:8" x14ac:dyDescent="0.3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3">
      <c r="A103" s="53">
        <v>15100</v>
      </c>
      <c r="B103" s="53"/>
      <c r="C103" s="53"/>
      <c r="D103" s="54"/>
      <c r="F103" s="53">
        <v>15100</v>
      </c>
      <c r="G103" s="2">
        <v>1494.3243591793344</v>
      </c>
      <c r="H103" s="2">
        <v>27436909.091863301</v>
      </c>
    </row>
    <row r="104" spans="1:8" x14ac:dyDescent="0.3">
      <c r="A104" s="53">
        <v>20100</v>
      </c>
      <c r="B104" s="53"/>
      <c r="C104" s="53"/>
      <c r="D104" s="54"/>
      <c r="F104" s="53">
        <v>20100</v>
      </c>
      <c r="G104" s="2">
        <v>2487.8711413367482</v>
      </c>
      <c r="H104" s="2">
        <v>56205818.621010982</v>
      </c>
    </row>
    <row r="105" spans="1:8" x14ac:dyDescent="0.3">
      <c r="A105" s="53">
        <v>25100</v>
      </c>
      <c r="B105" s="53"/>
      <c r="C105" s="53"/>
      <c r="D105" s="54"/>
      <c r="F105" s="53">
        <v>25100</v>
      </c>
      <c r="G105" s="2">
        <v>2520.6846460992911</v>
      </c>
      <c r="H105" s="2">
        <v>71783838.761598468</v>
      </c>
    </row>
    <row r="106" spans="1:8" x14ac:dyDescent="0.3">
      <c r="A106" s="53">
        <v>36250</v>
      </c>
      <c r="B106" s="53">
        <v>935</v>
      </c>
      <c r="C106" s="53">
        <v>36658000</v>
      </c>
      <c r="D106" s="54">
        <v>2.0812923916138413</v>
      </c>
      <c r="F106" s="53">
        <v>30100</v>
      </c>
      <c r="G106" s="2">
        <v>6667.6841782322863</v>
      </c>
      <c r="H106" s="2">
        <v>234745899.63476989</v>
      </c>
    </row>
    <row r="107" spans="1:8" x14ac:dyDescent="0.3">
      <c r="A107" s="53">
        <v>40100</v>
      </c>
      <c r="B107" s="53">
        <v>4219</v>
      </c>
      <c r="C107" s="53">
        <v>187295000</v>
      </c>
      <c r="D107" s="54">
        <v>1.9614115137888488</v>
      </c>
      <c r="F107" s="53">
        <v>40100</v>
      </c>
      <c r="G107" s="55">
        <v>4219</v>
      </c>
      <c r="H107" s="55">
        <v>187295000</v>
      </c>
    </row>
    <row r="108" spans="1:8" x14ac:dyDescent="0.3">
      <c r="A108" s="53">
        <v>50100</v>
      </c>
      <c r="B108" s="53">
        <v>2780</v>
      </c>
      <c r="C108" s="53">
        <v>161183000</v>
      </c>
      <c r="D108" s="54">
        <v>2.0241771220588265</v>
      </c>
      <c r="F108" s="53">
        <v>50100</v>
      </c>
      <c r="G108" s="55">
        <v>2780</v>
      </c>
      <c r="H108" s="55">
        <v>161183000</v>
      </c>
    </row>
    <row r="109" spans="1:8" x14ac:dyDescent="0.3">
      <c r="A109" s="53">
        <v>70100</v>
      </c>
      <c r="B109" s="53">
        <v>1545</v>
      </c>
      <c r="C109" s="53">
        <v>127829000</v>
      </c>
      <c r="D109" s="54">
        <v>1.9289961015007961</v>
      </c>
      <c r="F109" s="53">
        <v>70100</v>
      </c>
      <c r="G109" s="55">
        <v>1545</v>
      </c>
      <c r="H109" s="55">
        <v>127829000</v>
      </c>
    </row>
    <row r="110" spans="1:8" x14ac:dyDescent="0.3">
      <c r="A110" s="53">
        <v>100100</v>
      </c>
      <c r="B110" s="53">
        <v>1552</v>
      </c>
      <c r="C110" s="53">
        <v>210270000</v>
      </c>
      <c r="D110" s="54">
        <v>1.7507221307813607</v>
      </c>
      <c r="F110" s="53">
        <v>100100</v>
      </c>
      <c r="G110" s="55">
        <v>1552</v>
      </c>
      <c r="H110" s="55">
        <v>210270000</v>
      </c>
    </row>
    <row r="111" spans="1:8" x14ac:dyDescent="0.3">
      <c r="A111" s="53">
        <v>200100</v>
      </c>
      <c r="B111" s="53">
        <v>415</v>
      </c>
      <c r="C111" s="53">
        <v>109601000</v>
      </c>
      <c r="D111" s="54">
        <v>1.5264625071430531</v>
      </c>
      <c r="F111" s="53">
        <v>200100</v>
      </c>
      <c r="G111" s="55">
        <v>415</v>
      </c>
      <c r="H111" s="55">
        <v>109601000</v>
      </c>
    </row>
    <row r="112" spans="1:8" x14ac:dyDescent="0.3">
      <c r="A112" s="53">
        <v>400000</v>
      </c>
      <c r="B112" s="53">
        <v>59</v>
      </c>
      <c r="C112" s="53">
        <v>35180000</v>
      </c>
      <c r="D112" s="54">
        <v>1.4906779661016949</v>
      </c>
      <c r="F112" s="53">
        <v>400000</v>
      </c>
      <c r="G112" s="55">
        <v>59</v>
      </c>
      <c r="H112" s="55">
        <v>35180000</v>
      </c>
    </row>
    <row r="113" spans="1:8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3">
      <c r="A114" s="53">
        <v>15100</v>
      </c>
      <c r="B114" s="53"/>
      <c r="C114" s="53"/>
      <c r="D114" s="54"/>
      <c r="F114" s="53">
        <v>15100</v>
      </c>
      <c r="G114" s="2">
        <v>450.17451067004839</v>
      </c>
      <c r="H114" s="2">
        <v>8265539.5723532252</v>
      </c>
    </row>
    <row r="115" spans="1:8" x14ac:dyDescent="0.3">
      <c r="A115" s="53">
        <v>20100</v>
      </c>
      <c r="B115" s="53"/>
      <c r="C115" s="53"/>
      <c r="D115" s="54"/>
      <c r="F115" s="53">
        <v>20100</v>
      </c>
      <c r="G115" s="2">
        <v>749.48666049751296</v>
      </c>
      <c r="H115" s="2">
        <v>16932352.56394998</v>
      </c>
    </row>
    <row r="116" spans="1:8" x14ac:dyDescent="0.3">
      <c r="A116" s="53">
        <v>25100</v>
      </c>
      <c r="B116" s="53"/>
      <c r="C116" s="53"/>
      <c r="D116" s="54"/>
      <c r="F116" s="53">
        <v>25100</v>
      </c>
      <c r="G116" s="2">
        <v>759.37193296804912</v>
      </c>
      <c r="H116" s="2">
        <v>21625328.055461403</v>
      </c>
    </row>
    <row r="117" spans="1:8" x14ac:dyDescent="0.3">
      <c r="A117" s="53">
        <v>39875</v>
      </c>
      <c r="B117" s="53">
        <v>3</v>
      </c>
      <c r="C117" s="53">
        <v>119000</v>
      </c>
      <c r="D117" s="54">
        <v>1.9792918890395017</v>
      </c>
      <c r="F117" s="53">
        <v>30100</v>
      </c>
      <c r="G117" s="2">
        <v>2008.6813440467495</v>
      </c>
      <c r="H117" s="2">
        <v>70718662.819576338</v>
      </c>
    </row>
    <row r="118" spans="1:8" x14ac:dyDescent="0.3">
      <c r="A118" s="53">
        <v>40100</v>
      </c>
      <c r="B118" s="53">
        <v>1271</v>
      </c>
      <c r="C118" s="53">
        <v>58225000</v>
      </c>
      <c r="D118" s="54">
        <v>1.9690262330443913</v>
      </c>
      <c r="F118" s="53">
        <v>40100</v>
      </c>
      <c r="G118" s="55">
        <v>1271</v>
      </c>
      <c r="H118" s="55">
        <v>58225000</v>
      </c>
    </row>
    <row r="119" spans="1:8" x14ac:dyDescent="0.3">
      <c r="A119" s="53">
        <v>50100</v>
      </c>
      <c r="B119" s="53">
        <v>1091</v>
      </c>
      <c r="C119" s="53">
        <v>62959000</v>
      </c>
      <c r="D119" s="54">
        <v>1.9539527686200631</v>
      </c>
      <c r="F119" s="53">
        <v>50100</v>
      </c>
      <c r="G119" s="55">
        <v>1091</v>
      </c>
      <c r="H119" s="55">
        <v>62959000</v>
      </c>
    </row>
    <row r="120" spans="1:8" x14ac:dyDescent="0.3">
      <c r="A120" s="53">
        <v>70100</v>
      </c>
      <c r="B120" s="53">
        <v>487</v>
      </c>
      <c r="C120" s="53">
        <v>40703000</v>
      </c>
      <c r="D120" s="54">
        <v>1.9479981985925876</v>
      </c>
      <c r="F120" s="53">
        <v>70100</v>
      </c>
      <c r="G120" s="55">
        <v>487</v>
      </c>
      <c r="H120" s="55">
        <v>40703000</v>
      </c>
    </row>
    <row r="121" spans="1:8" x14ac:dyDescent="0.3">
      <c r="A121" s="53">
        <v>100100</v>
      </c>
      <c r="B121" s="53">
        <v>486</v>
      </c>
      <c r="C121" s="53">
        <v>65769000</v>
      </c>
      <c r="D121" s="54">
        <v>1.762534220030356</v>
      </c>
      <c r="F121" s="53">
        <v>100100</v>
      </c>
      <c r="G121" s="55">
        <v>486</v>
      </c>
      <c r="H121" s="55">
        <v>65769000</v>
      </c>
    </row>
    <row r="122" spans="1:8" x14ac:dyDescent="0.3">
      <c r="A122" s="53">
        <v>200100</v>
      </c>
      <c r="B122" s="53">
        <v>138</v>
      </c>
      <c r="C122" s="53">
        <v>35655000</v>
      </c>
      <c r="D122" s="54">
        <v>1.5017646456274967</v>
      </c>
      <c r="F122" s="53">
        <v>200100</v>
      </c>
      <c r="G122" s="55">
        <v>138</v>
      </c>
      <c r="H122" s="55">
        <v>35655000</v>
      </c>
    </row>
    <row r="123" spans="1:8" x14ac:dyDescent="0.3">
      <c r="A123" s="53">
        <v>400000</v>
      </c>
      <c r="B123" s="53">
        <v>23</v>
      </c>
      <c r="C123" s="53">
        <v>12726000</v>
      </c>
      <c r="D123" s="54">
        <v>1.3832608695652173</v>
      </c>
      <c r="F123" s="53">
        <v>400000</v>
      </c>
      <c r="G123" s="55">
        <v>23</v>
      </c>
      <c r="H123" s="55">
        <v>12726000</v>
      </c>
    </row>
    <row r="124" spans="1:8" x14ac:dyDescent="0.3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3">
      <c r="A125" s="53">
        <v>15100</v>
      </c>
      <c r="B125" s="53"/>
      <c r="C125" s="53"/>
      <c r="D125" s="54"/>
      <c r="F125" s="53">
        <v>15100</v>
      </c>
      <c r="G125" s="2">
        <v>219.10418438661387</v>
      </c>
      <c r="H125" s="2">
        <v>4022916.1438309471</v>
      </c>
    </row>
    <row r="126" spans="1:8" x14ac:dyDescent="0.3">
      <c r="A126" s="53">
        <v>20100</v>
      </c>
      <c r="B126" s="53"/>
      <c r="C126" s="53"/>
      <c r="D126" s="54"/>
      <c r="F126" s="53">
        <v>20100</v>
      </c>
      <c r="G126" s="2">
        <v>364.78223347770802</v>
      </c>
      <c r="H126" s="2">
        <v>8241135.8491818886</v>
      </c>
    </row>
    <row r="127" spans="1:8" x14ac:dyDescent="0.3">
      <c r="A127" s="53">
        <v>25100</v>
      </c>
      <c r="B127" s="53"/>
      <c r="C127" s="53"/>
      <c r="D127" s="54"/>
      <c r="F127" s="53">
        <v>25100</v>
      </c>
      <c r="G127" s="2">
        <v>369.5934889147884</v>
      </c>
      <c r="H127" s="2">
        <v>10525251.326718614</v>
      </c>
    </row>
    <row r="128" spans="1:8" x14ac:dyDescent="0.3">
      <c r="A128" s="53">
        <v>30100</v>
      </c>
      <c r="B128" s="53"/>
      <c r="C128" s="53"/>
      <c r="D128" s="54"/>
      <c r="F128" s="53">
        <v>30100</v>
      </c>
      <c r="G128" s="2">
        <v>977.6441738669331</v>
      </c>
      <c r="H128" s="2">
        <v>34419440.840692058</v>
      </c>
    </row>
    <row r="129" spans="1:8" x14ac:dyDescent="0.3">
      <c r="A129" s="53">
        <v>43500</v>
      </c>
      <c r="B129" s="53">
        <v>266</v>
      </c>
      <c r="C129" s="53">
        <v>12737000</v>
      </c>
      <c r="D129" s="54">
        <v>1.8632145076110593</v>
      </c>
      <c r="F129" s="53">
        <v>40100</v>
      </c>
      <c r="G129" s="2">
        <v>618.60769935838675</v>
      </c>
      <c r="H129" s="2">
        <v>28338657.195233729</v>
      </c>
    </row>
    <row r="130" spans="1:8" x14ac:dyDescent="0.3">
      <c r="A130" s="53">
        <v>50100</v>
      </c>
      <c r="B130" s="53">
        <v>531</v>
      </c>
      <c r="C130" s="53">
        <v>30725000</v>
      </c>
      <c r="D130" s="54">
        <v>1.8095834474841166</v>
      </c>
      <c r="F130" s="53">
        <v>50100</v>
      </c>
      <c r="G130" s="55">
        <v>531</v>
      </c>
      <c r="H130" s="55">
        <v>30725000</v>
      </c>
    </row>
    <row r="131" spans="1:8" x14ac:dyDescent="0.3">
      <c r="A131" s="53">
        <v>70100</v>
      </c>
      <c r="B131" s="53">
        <v>169</v>
      </c>
      <c r="C131" s="53">
        <v>13919000</v>
      </c>
      <c r="D131" s="54">
        <v>1.9352567576035711</v>
      </c>
      <c r="F131" s="53">
        <v>70100</v>
      </c>
      <c r="G131" s="55">
        <v>169</v>
      </c>
      <c r="H131" s="55">
        <v>13919000</v>
      </c>
    </row>
    <row r="132" spans="1:8" x14ac:dyDescent="0.3">
      <c r="A132" s="53">
        <v>100100</v>
      </c>
      <c r="B132" s="53">
        <v>162</v>
      </c>
      <c r="C132" s="53">
        <v>22357000</v>
      </c>
      <c r="D132" s="54">
        <v>1.7680484652961719</v>
      </c>
      <c r="F132" s="53">
        <v>100100</v>
      </c>
      <c r="G132" s="55">
        <v>162</v>
      </c>
      <c r="H132" s="55">
        <v>22357000</v>
      </c>
    </row>
    <row r="133" spans="1:8" x14ac:dyDescent="0.3">
      <c r="A133" s="53">
        <v>200100</v>
      </c>
      <c r="B133" s="53">
        <v>51</v>
      </c>
      <c r="C133" s="53">
        <v>12663000</v>
      </c>
      <c r="D133" s="54">
        <v>1.4479367459127579</v>
      </c>
      <c r="F133" s="53">
        <v>200100</v>
      </c>
      <c r="G133" s="55">
        <v>51</v>
      </c>
      <c r="H133" s="55">
        <v>12663000</v>
      </c>
    </row>
    <row r="134" spans="1:8" x14ac:dyDescent="0.3">
      <c r="A134" s="53">
        <v>400000</v>
      </c>
      <c r="B134" s="53">
        <v>5</v>
      </c>
      <c r="C134" s="53">
        <v>3562000</v>
      </c>
      <c r="D134" s="54">
        <v>1.7809999999999999</v>
      </c>
      <c r="F134" s="53">
        <v>400000</v>
      </c>
      <c r="G134" s="55">
        <v>5</v>
      </c>
      <c r="H134" s="55">
        <v>3562000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K13" sqref="K13"/>
    </sheetView>
  </sheetViews>
  <sheetFormatPr baseColWidth="10" defaultRowHeight="15.6" x14ac:dyDescent="0.3"/>
  <cols>
    <col min="8" max="8" width="11.296875" bestFit="1" customWidth="1"/>
    <col min="12" max="12" width="12.296875" bestFit="1" customWidth="1"/>
  </cols>
  <sheetData>
    <row r="1" spans="1:15" x14ac:dyDescent="0.3">
      <c r="A1" s="79" t="s">
        <v>240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7925</v>
      </c>
      <c r="M3" t="s">
        <v>7</v>
      </c>
      <c r="N3" t="s">
        <v>8</v>
      </c>
      <c r="O3" t="s">
        <v>14</v>
      </c>
    </row>
    <row r="4" spans="1:15" x14ac:dyDescent="0.3">
      <c r="A4" s="53">
        <v>30100</v>
      </c>
      <c r="B4" s="53">
        <v>324635</v>
      </c>
      <c r="C4" s="53">
        <v>10485139000</v>
      </c>
      <c r="D4" s="54">
        <v>1.5374349916272096</v>
      </c>
      <c r="F4" s="53">
        <v>30100</v>
      </c>
      <c r="G4" s="53">
        <v>324635</v>
      </c>
      <c r="H4" s="53">
        <v>10485139000</v>
      </c>
      <c r="J4" s="53">
        <v>30100</v>
      </c>
      <c r="K4" s="2">
        <f>G4+G15+G26+G37+G48+G59+G70+G81+G92+G103+G114+G125</f>
        <v>1575341.2642022267</v>
      </c>
      <c r="L4" s="2">
        <f>H4+H15+H26+H37+H48+H59+H70+H81+H92+H103+H114+H125</f>
        <v>51276526012.113594</v>
      </c>
      <c r="M4">
        <f>1-SUM(K4:$K$13)/$K$15</f>
        <v>0.61222317109561208</v>
      </c>
      <c r="N4">
        <f>SUM(L4:$L$13)/(J4*SUM(K4:$K$13))</f>
        <v>2.0152794657482866</v>
      </c>
      <c r="O4">
        <f>(G4+G15+G37)/K4</f>
        <v>0.29430448534260178</v>
      </c>
    </row>
    <row r="5" spans="1:15" x14ac:dyDescent="0.3">
      <c r="A5" s="53">
        <v>35100</v>
      </c>
      <c r="B5" s="53">
        <v>178442</v>
      </c>
      <c r="C5" s="53">
        <v>6674540000</v>
      </c>
      <c r="D5" s="54">
        <v>1.5539965988380957</v>
      </c>
      <c r="F5" s="53">
        <v>35100</v>
      </c>
      <c r="G5" s="53">
        <v>178442</v>
      </c>
      <c r="H5" s="53">
        <v>6674540000</v>
      </c>
      <c r="J5" s="53">
        <v>35100</v>
      </c>
      <c r="K5" s="2">
        <f t="shared" ref="K5:L13" si="0">G5+G16+G27+G38+G49+G60+G71+G82+G93+G104+G115+G126</f>
        <v>1245137.5144748364</v>
      </c>
      <c r="L5" s="2">
        <f t="shared" si="0"/>
        <v>46813362636.380432</v>
      </c>
      <c r="M5">
        <f>1-SUM(K5:$K$13)/$K$15</f>
        <v>0.68089860452582518</v>
      </c>
      <c r="N5">
        <f>SUM(L5:$L$13)/(J5*SUM(K5:$K$13))</f>
        <v>1.9005613287344489</v>
      </c>
      <c r="O5">
        <f t="shared" ref="O5:O13" si="1">(G5+G16+G38)/K5</f>
        <v>0.20741966007580234</v>
      </c>
    </row>
    <row r="6" spans="1:15" x14ac:dyDescent="0.3">
      <c r="A6" s="53">
        <v>40100</v>
      </c>
      <c r="B6" s="53">
        <v>184584</v>
      </c>
      <c r="C6" s="53">
        <v>8176706000</v>
      </c>
      <c r="D6" s="54">
        <v>1.5661686811105506</v>
      </c>
      <c r="F6" s="53">
        <v>40100</v>
      </c>
      <c r="G6" s="53">
        <v>184584</v>
      </c>
      <c r="H6" s="53">
        <v>8176706000</v>
      </c>
      <c r="J6" s="53">
        <v>40100</v>
      </c>
      <c r="K6" s="2">
        <f t="shared" si="0"/>
        <v>2075151.471875</v>
      </c>
      <c r="L6" s="2">
        <f t="shared" si="0"/>
        <v>92880532473.214294</v>
      </c>
      <c r="M6">
        <f>1-SUM(K6:$K$13)/$K$15</f>
        <v>0.73517913435761462</v>
      </c>
      <c r="N6">
        <f>SUM(L6:$L$13)/(J6*SUM(K6:$K$13))</f>
        <v>1.8123931892618341</v>
      </c>
      <c r="O6">
        <f t="shared" si="1"/>
        <v>0.14432199483221159</v>
      </c>
    </row>
    <row r="7" spans="1:15" x14ac:dyDescent="0.3">
      <c r="A7" s="53">
        <v>50100</v>
      </c>
      <c r="B7" s="53">
        <v>77350</v>
      </c>
      <c r="C7" s="53">
        <v>4211442000</v>
      </c>
      <c r="D7" s="54">
        <v>1.6205187850310703</v>
      </c>
      <c r="F7" s="53">
        <v>50100</v>
      </c>
      <c r="G7" s="53">
        <v>77350</v>
      </c>
      <c r="H7" s="53">
        <v>4211442000</v>
      </c>
      <c r="J7" s="53">
        <v>50100</v>
      </c>
      <c r="K7" s="2">
        <f t="shared" si="0"/>
        <v>1328392</v>
      </c>
      <c r="L7" s="2">
        <f t="shared" si="0"/>
        <v>72667370000</v>
      </c>
      <c r="M7">
        <f>1-SUM(K7:$K$13)/$K$15</f>
        <v>0.8256432959985085</v>
      </c>
      <c r="N7">
        <f>SUM(L7:$L$13)/(J7*SUM(K7:$K$13))</f>
        <v>1.7397677990442233</v>
      </c>
      <c r="O7">
        <f t="shared" si="1"/>
        <v>9.9055098193906621E-2</v>
      </c>
    </row>
    <row r="8" spans="1:15" x14ac:dyDescent="0.3">
      <c r="A8" s="53">
        <v>60100</v>
      </c>
      <c r="B8" s="53">
        <v>38399</v>
      </c>
      <c r="C8" s="53">
        <v>2478324000</v>
      </c>
      <c r="D8" s="54">
        <v>1.6682451095606505</v>
      </c>
      <c r="F8" s="53">
        <v>60100</v>
      </c>
      <c r="G8" s="53">
        <v>38399</v>
      </c>
      <c r="H8" s="53">
        <v>2478324000</v>
      </c>
      <c r="J8" s="53">
        <v>60100</v>
      </c>
      <c r="K8" s="2">
        <f t="shared" si="0"/>
        <v>829586</v>
      </c>
      <c r="L8" s="2">
        <f t="shared" si="0"/>
        <v>53645757000</v>
      </c>
      <c r="M8">
        <f>1-SUM(K8:$K$13)/$K$15</f>
        <v>0.88355322220832355</v>
      </c>
      <c r="N8">
        <f>SUM(L8:$L$13)/(J8*SUM(K8:$K$13))</f>
        <v>1.7188776147462539</v>
      </c>
      <c r="O8">
        <f t="shared" si="1"/>
        <v>8.009416745219905E-2</v>
      </c>
    </row>
    <row r="9" spans="1:15" x14ac:dyDescent="0.3">
      <c r="A9" s="53">
        <v>70100</v>
      </c>
      <c r="B9" s="53">
        <v>21230</v>
      </c>
      <c r="C9" s="53">
        <v>1584907000</v>
      </c>
      <c r="D9" s="54">
        <v>1.7095996295293643</v>
      </c>
      <c r="F9" s="53">
        <v>70100</v>
      </c>
      <c r="G9" s="53">
        <v>21230</v>
      </c>
      <c r="H9" s="53">
        <v>1584907000</v>
      </c>
      <c r="J9" s="53">
        <v>70100</v>
      </c>
      <c r="K9" s="2">
        <f t="shared" si="0"/>
        <v>522581</v>
      </c>
      <c r="L9" s="2">
        <f t="shared" si="0"/>
        <v>39028253000</v>
      </c>
      <c r="M9">
        <f>1-SUM(K9:$K$13)/$K$15</f>
        <v>0.91971819764079799</v>
      </c>
      <c r="N9">
        <f>SUM(L9:$L$13)/(J9*SUM(K9:$K$13))</f>
        <v>1.7219742393443596</v>
      </c>
      <c r="O9">
        <f t="shared" si="1"/>
        <v>7.2819333270823086E-2</v>
      </c>
    </row>
    <row r="10" spans="1:15" x14ac:dyDescent="0.3">
      <c r="A10" s="53">
        <v>80100</v>
      </c>
      <c r="B10" s="53">
        <v>21106</v>
      </c>
      <c r="C10" s="53">
        <v>1870543000</v>
      </c>
      <c r="D10" s="54">
        <v>1.7415115285584519</v>
      </c>
      <c r="F10" s="53">
        <v>80100</v>
      </c>
      <c r="G10" s="53">
        <v>21106</v>
      </c>
      <c r="H10" s="53">
        <v>1870543000</v>
      </c>
      <c r="J10" s="53">
        <v>80100</v>
      </c>
      <c r="K10" s="2">
        <f t="shared" si="0"/>
        <v>557937</v>
      </c>
      <c r="L10" s="2">
        <f t="shared" si="0"/>
        <v>49498848000</v>
      </c>
      <c r="M10">
        <f>1-SUM(K10:$K$13)/$K$15</f>
        <v>0.94249959586410215</v>
      </c>
      <c r="N10">
        <f>SUM(L10:$L$13)/(J10*SUM(K10:$K$13))</f>
        <v>1.7346564698975264</v>
      </c>
      <c r="O10">
        <f t="shared" si="1"/>
        <v>7.0687192281565836E-2</v>
      </c>
    </row>
    <row r="11" spans="1:15" x14ac:dyDescent="0.3">
      <c r="A11" s="53">
        <v>100100</v>
      </c>
      <c r="B11" s="53">
        <v>22188</v>
      </c>
      <c r="C11" s="53">
        <v>2905270000</v>
      </c>
      <c r="D11" s="54">
        <v>1.7806119397545186</v>
      </c>
      <c r="F11" s="53">
        <v>100100</v>
      </c>
      <c r="G11" s="53">
        <v>22188</v>
      </c>
      <c r="H11" s="53">
        <v>2905270000</v>
      </c>
      <c r="J11" s="53">
        <v>100100</v>
      </c>
      <c r="K11" s="2">
        <f t="shared" si="0"/>
        <v>605621</v>
      </c>
      <c r="L11" s="2">
        <f t="shared" si="0"/>
        <v>79609371000</v>
      </c>
      <c r="M11">
        <f>1-SUM(K11:$K$13)/$K$15</f>
        <v>0.96682230369411437</v>
      </c>
      <c r="N11">
        <f>SUM(L11:$L$13)/(J11*SUM(K11:$K$13))</f>
        <v>1.7559300635690045</v>
      </c>
      <c r="O11">
        <f t="shared" si="1"/>
        <v>7.3886143314052855E-2</v>
      </c>
    </row>
    <row r="12" spans="1:15" x14ac:dyDescent="0.3">
      <c r="A12" s="53">
        <v>200100</v>
      </c>
      <c r="B12" s="53">
        <v>4385</v>
      </c>
      <c r="C12" s="53">
        <v>1154111000</v>
      </c>
      <c r="D12" s="54">
        <v>1.8403961155399124</v>
      </c>
      <c r="F12" s="53">
        <v>200100</v>
      </c>
      <c r="G12" s="53">
        <v>4385</v>
      </c>
      <c r="H12" s="53">
        <v>1154111000</v>
      </c>
      <c r="J12" s="53">
        <v>200100</v>
      </c>
      <c r="K12" s="2">
        <f t="shared" si="0"/>
        <v>125144</v>
      </c>
      <c r="L12" s="2">
        <f t="shared" si="0"/>
        <v>32958505000</v>
      </c>
      <c r="M12">
        <f>1-SUM(K12:$K$13)/$K$15</f>
        <v>0.99322374801259439</v>
      </c>
      <c r="N12">
        <f>SUM(L12:$L$13)/(J12*SUM(K12:$K$13))</f>
        <v>1.7413210211672341</v>
      </c>
      <c r="O12">
        <f t="shared" si="1"/>
        <v>7.7854311832768655E-2</v>
      </c>
    </row>
    <row r="13" spans="1:15" x14ac:dyDescent="0.3">
      <c r="A13" s="53">
        <v>400000</v>
      </c>
      <c r="B13" s="53">
        <v>1138</v>
      </c>
      <c r="C13" s="53">
        <v>879807000</v>
      </c>
      <c r="D13" s="54">
        <v>1.932792179261863</v>
      </c>
      <c r="F13" s="53">
        <v>400000</v>
      </c>
      <c r="G13" s="53">
        <v>1138</v>
      </c>
      <c r="H13" s="53">
        <v>879807000</v>
      </c>
      <c r="J13" s="53">
        <v>400000</v>
      </c>
      <c r="K13" s="2">
        <f t="shared" si="0"/>
        <v>30296</v>
      </c>
      <c r="L13" s="2">
        <f>H13+H24+H35+H46+H57+H68+H79+H90+H101+H112+H123+H134</f>
        <v>21202750000</v>
      </c>
      <c r="M13">
        <f>1-SUM(K13:$K$13)/$K$15</f>
        <v>0.99867927605371565</v>
      </c>
      <c r="N13">
        <f>SUM(L13:$L$13)/(J13*SUM(K13:$K$13))</f>
        <v>1.7496327898072352</v>
      </c>
      <c r="O13">
        <f t="shared" si="1"/>
        <v>9.1299181410087138E-2</v>
      </c>
    </row>
    <row r="14" spans="1:15" x14ac:dyDescent="0.3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3">
      <c r="A15" s="53">
        <v>30100</v>
      </c>
      <c r="B15" s="53">
        <v>103885</v>
      </c>
      <c r="C15" s="53">
        <v>3524052000</v>
      </c>
      <c r="D15" s="54">
        <v>1.8617723142346423</v>
      </c>
      <c r="F15" s="53">
        <v>30100</v>
      </c>
      <c r="G15" s="53">
        <v>103885</v>
      </c>
      <c r="H15" s="53">
        <v>3524052000</v>
      </c>
      <c r="K15" s="5">
        <v>22938934.427011114</v>
      </c>
    </row>
    <row r="16" spans="1:15" x14ac:dyDescent="0.3">
      <c r="A16" s="53">
        <v>35100</v>
      </c>
      <c r="B16" s="53">
        <v>57744</v>
      </c>
      <c r="C16" s="53">
        <v>2180362000</v>
      </c>
      <c r="D16" s="54">
        <v>1.8405432981979606</v>
      </c>
      <c r="F16" s="53">
        <v>35100</v>
      </c>
      <c r="G16" s="53">
        <v>57744</v>
      </c>
      <c r="H16" s="53">
        <v>2180362000</v>
      </c>
    </row>
    <row r="17" spans="1:8" x14ac:dyDescent="0.3">
      <c r="A17" s="53">
        <v>40100</v>
      </c>
      <c r="B17" s="53">
        <v>91066</v>
      </c>
      <c r="C17" s="53">
        <v>4052382000</v>
      </c>
      <c r="D17" s="54">
        <v>1.7946411577325978</v>
      </c>
      <c r="F17" s="53">
        <v>40100</v>
      </c>
      <c r="G17" s="53">
        <v>91066</v>
      </c>
      <c r="H17" s="53">
        <v>4052382000</v>
      </c>
    </row>
    <row r="18" spans="1:8" x14ac:dyDescent="0.3">
      <c r="A18" s="53">
        <v>50100</v>
      </c>
      <c r="B18" s="53">
        <v>43584</v>
      </c>
      <c r="C18" s="53">
        <v>2374168000</v>
      </c>
      <c r="D18" s="54">
        <v>1.8542594099404552</v>
      </c>
      <c r="F18" s="53">
        <v>50100</v>
      </c>
      <c r="G18" s="53">
        <v>43584</v>
      </c>
      <c r="H18" s="53">
        <v>2374168000</v>
      </c>
    </row>
    <row r="19" spans="1:8" x14ac:dyDescent="0.3">
      <c r="A19" s="53">
        <v>60100</v>
      </c>
      <c r="B19" s="53">
        <v>22621</v>
      </c>
      <c r="C19" s="53">
        <v>1461607000</v>
      </c>
      <c r="D19" s="54">
        <v>1.9128645932668213</v>
      </c>
      <c r="F19" s="53">
        <v>60100</v>
      </c>
      <c r="G19" s="53">
        <v>22621</v>
      </c>
      <c r="H19" s="53">
        <v>1461607000</v>
      </c>
    </row>
    <row r="20" spans="1:8" x14ac:dyDescent="0.3">
      <c r="A20" s="53">
        <v>70100</v>
      </c>
      <c r="B20" s="53">
        <v>13584</v>
      </c>
      <c r="C20" s="53">
        <v>1014621000</v>
      </c>
      <c r="D20" s="54">
        <v>1.9449460178926756</v>
      </c>
      <c r="F20" s="53">
        <v>70100</v>
      </c>
      <c r="G20" s="53">
        <v>13584</v>
      </c>
      <c r="H20" s="53">
        <v>1014621000</v>
      </c>
    </row>
    <row r="21" spans="1:8" x14ac:dyDescent="0.3">
      <c r="A21" s="53">
        <v>80100</v>
      </c>
      <c r="B21" s="53">
        <v>15003</v>
      </c>
      <c r="C21" s="53">
        <v>1332949000</v>
      </c>
      <c r="D21" s="54">
        <v>1.9655101107241091</v>
      </c>
      <c r="F21" s="53">
        <v>80100</v>
      </c>
      <c r="G21" s="53">
        <v>15003</v>
      </c>
      <c r="H21" s="53">
        <v>1332949000</v>
      </c>
    </row>
    <row r="22" spans="1:8" x14ac:dyDescent="0.3">
      <c r="A22" s="53">
        <v>100100</v>
      </c>
      <c r="B22" s="53">
        <v>18605</v>
      </c>
      <c r="C22" s="53">
        <v>2466136000</v>
      </c>
      <c r="D22" s="54">
        <v>1.9891525128038978</v>
      </c>
      <c r="F22" s="53">
        <v>100100</v>
      </c>
      <c r="G22" s="53">
        <v>18605</v>
      </c>
      <c r="H22" s="53">
        <v>2466136000</v>
      </c>
    </row>
    <row r="23" spans="1:8" x14ac:dyDescent="0.3">
      <c r="A23" s="53">
        <v>200100</v>
      </c>
      <c r="B23" s="53">
        <v>4652</v>
      </c>
      <c r="C23" s="53">
        <v>1233240000</v>
      </c>
      <c r="D23" s="54">
        <v>2.0118009009295252</v>
      </c>
      <c r="F23" s="53">
        <v>200100</v>
      </c>
      <c r="G23" s="53">
        <v>4652</v>
      </c>
      <c r="H23" s="53">
        <v>1233240000</v>
      </c>
    </row>
    <row r="24" spans="1:8" x14ac:dyDescent="0.3">
      <c r="A24" s="53">
        <v>400000</v>
      </c>
      <c r="B24" s="53">
        <v>1435</v>
      </c>
      <c r="C24" s="53">
        <v>1217151000</v>
      </c>
      <c r="D24" s="54">
        <v>2.1204721254355401</v>
      </c>
      <c r="F24" s="53">
        <v>400000</v>
      </c>
      <c r="G24" s="53">
        <v>1435</v>
      </c>
      <c r="H24" s="53">
        <v>1217151000</v>
      </c>
    </row>
    <row r="25" spans="1:8" x14ac:dyDescent="0.3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3">
      <c r="A26" s="53">
        <v>30100</v>
      </c>
      <c r="B26" s="53">
        <v>418070</v>
      </c>
      <c r="C26" s="53">
        <v>13578255000</v>
      </c>
      <c r="D26" s="54">
        <v>2.0768385765730071</v>
      </c>
      <c r="F26" s="53">
        <v>30100</v>
      </c>
      <c r="G26" s="53">
        <v>418070</v>
      </c>
      <c r="H26" s="53">
        <v>13578255000</v>
      </c>
    </row>
    <row r="27" spans="1:8" x14ac:dyDescent="0.3">
      <c r="A27" s="53">
        <v>35100</v>
      </c>
      <c r="B27" s="53">
        <v>351483</v>
      </c>
      <c r="C27" s="53">
        <v>13272122000</v>
      </c>
      <c r="D27" s="54">
        <v>1.9387577881990705</v>
      </c>
      <c r="F27" s="53">
        <v>35100</v>
      </c>
      <c r="G27" s="53">
        <v>351483</v>
      </c>
      <c r="H27" s="53">
        <v>13272122000</v>
      </c>
    </row>
    <row r="28" spans="1:8" x14ac:dyDescent="0.3">
      <c r="A28" s="53">
        <v>40100</v>
      </c>
      <c r="B28" s="53">
        <v>663565</v>
      </c>
      <c r="C28" s="53">
        <v>29735285000</v>
      </c>
      <c r="D28" s="54">
        <v>1.8355836294700385</v>
      </c>
      <c r="F28" s="53">
        <v>40100</v>
      </c>
      <c r="G28" s="53">
        <v>663565</v>
      </c>
      <c r="H28" s="53">
        <v>29735285000</v>
      </c>
    </row>
    <row r="29" spans="1:8" x14ac:dyDescent="0.3">
      <c r="A29" s="53">
        <v>50100</v>
      </c>
      <c r="B29" s="53">
        <v>422763</v>
      </c>
      <c r="C29" s="53">
        <v>23146628000</v>
      </c>
      <c r="D29" s="54">
        <v>1.7737115842616185</v>
      </c>
      <c r="F29" s="53">
        <v>50100</v>
      </c>
      <c r="G29" s="53">
        <v>422763</v>
      </c>
      <c r="H29" s="53">
        <v>23146628000</v>
      </c>
    </row>
    <row r="30" spans="1:8" x14ac:dyDescent="0.3">
      <c r="A30" s="53">
        <v>60100</v>
      </c>
      <c r="B30" s="53">
        <v>260394</v>
      </c>
      <c r="C30" s="53">
        <v>16835056000</v>
      </c>
      <c r="D30" s="54">
        <v>1.76779164345565</v>
      </c>
      <c r="F30" s="53">
        <v>60100</v>
      </c>
      <c r="G30" s="53">
        <v>260394</v>
      </c>
      <c r="H30" s="53">
        <v>16835056000</v>
      </c>
    </row>
    <row r="31" spans="1:8" x14ac:dyDescent="0.3">
      <c r="A31" s="53">
        <v>70100</v>
      </c>
      <c r="B31" s="53">
        <v>162397</v>
      </c>
      <c r="C31" s="53">
        <v>12125842000</v>
      </c>
      <c r="D31" s="54">
        <v>1.7869885155392813</v>
      </c>
      <c r="F31" s="53">
        <v>70100</v>
      </c>
      <c r="G31" s="53">
        <v>162397</v>
      </c>
      <c r="H31" s="53">
        <v>12125842000</v>
      </c>
    </row>
    <row r="32" spans="1:8" x14ac:dyDescent="0.3">
      <c r="A32" s="53">
        <v>80100</v>
      </c>
      <c r="B32" s="53">
        <v>171049</v>
      </c>
      <c r="C32" s="53">
        <v>15170428000</v>
      </c>
      <c r="D32" s="54">
        <v>1.8160069774570087</v>
      </c>
      <c r="F32" s="53">
        <v>80100</v>
      </c>
      <c r="G32" s="53">
        <v>171049</v>
      </c>
      <c r="H32" s="53">
        <v>15170428000</v>
      </c>
    </row>
    <row r="33" spans="1:8" x14ac:dyDescent="0.3">
      <c r="A33" s="53">
        <v>100100</v>
      </c>
      <c r="B33" s="53">
        <v>181284</v>
      </c>
      <c r="C33" s="53">
        <v>23723606000</v>
      </c>
      <c r="D33" s="54">
        <v>1.8644676827605053</v>
      </c>
      <c r="F33" s="53">
        <v>100100</v>
      </c>
      <c r="G33" s="53">
        <v>181284</v>
      </c>
      <c r="H33" s="53">
        <v>23723606000</v>
      </c>
    </row>
    <row r="34" spans="1:8" x14ac:dyDescent="0.3">
      <c r="A34" s="53">
        <v>200100</v>
      </c>
      <c r="B34" s="53">
        <v>42152</v>
      </c>
      <c r="C34" s="53">
        <v>11331508000</v>
      </c>
      <c r="D34" s="54">
        <v>1.8584181589558471</v>
      </c>
      <c r="F34" s="53">
        <v>200100</v>
      </c>
      <c r="G34" s="53">
        <v>42152</v>
      </c>
      <c r="H34" s="53">
        <v>11331508000</v>
      </c>
    </row>
    <row r="35" spans="1:8" x14ac:dyDescent="0.3">
      <c r="A35" s="53">
        <v>400000</v>
      </c>
      <c r="B35" s="53">
        <v>12427</v>
      </c>
      <c r="C35" s="53">
        <v>8964756000</v>
      </c>
      <c r="D35" s="54">
        <v>1.8034835438963546</v>
      </c>
      <c r="F35" s="53">
        <v>400000</v>
      </c>
      <c r="G35" s="53">
        <v>12427</v>
      </c>
      <c r="H35" s="53">
        <v>8964756000</v>
      </c>
    </row>
    <row r="36" spans="1:8" x14ac:dyDescent="0.3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3">
      <c r="A37" s="53">
        <v>30100</v>
      </c>
      <c r="B37" s="53">
        <v>35110</v>
      </c>
      <c r="C37" s="53">
        <v>1136329000</v>
      </c>
      <c r="D37" s="54">
        <v>1.6337214200245582</v>
      </c>
      <c r="F37" s="53">
        <v>30100</v>
      </c>
      <c r="G37" s="53">
        <v>35110</v>
      </c>
      <c r="H37" s="53">
        <v>1136329000</v>
      </c>
    </row>
    <row r="38" spans="1:8" x14ac:dyDescent="0.3">
      <c r="A38" s="53">
        <v>35100</v>
      </c>
      <c r="B38" s="53">
        <v>22080</v>
      </c>
      <c r="C38" s="53">
        <v>825617000</v>
      </c>
      <c r="D38" s="54">
        <v>1.6300283146288215</v>
      </c>
      <c r="F38" s="53">
        <v>35100</v>
      </c>
      <c r="G38" s="53">
        <v>22080</v>
      </c>
      <c r="H38" s="53">
        <v>825617000</v>
      </c>
    </row>
    <row r="39" spans="1:8" x14ac:dyDescent="0.3">
      <c r="A39" s="53">
        <v>40100</v>
      </c>
      <c r="B39" s="53">
        <v>23840</v>
      </c>
      <c r="C39" s="53">
        <v>1058082000</v>
      </c>
      <c r="D39" s="54">
        <v>1.6393820077955796</v>
      </c>
      <c r="F39" s="53">
        <v>40100</v>
      </c>
      <c r="G39" s="53">
        <v>23840</v>
      </c>
      <c r="H39" s="53">
        <v>1058082000</v>
      </c>
    </row>
    <row r="40" spans="1:8" x14ac:dyDescent="0.3">
      <c r="A40" s="53">
        <v>50100</v>
      </c>
      <c r="B40" s="53">
        <v>10650</v>
      </c>
      <c r="C40" s="53">
        <v>580297000</v>
      </c>
      <c r="D40" s="54">
        <v>1.6817321789615909</v>
      </c>
      <c r="F40" s="53">
        <v>50100</v>
      </c>
      <c r="G40" s="53">
        <v>10650</v>
      </c>
      <c r="H40" s="53">
        <v>580297000</v>
      </c>
    </row>
    <row r="41" spans="1:8" x14ac:dyDescent="0.3">
      <c r="A41" s="53">
        <v>60100</v>
      </c>
      <c r="B41" s="53">
        <v>5425</v>
      </c>
      <c r="C41" s="53">
        <v>350453000</v>
      </c>
      <c r="D41" s="54">
        <v>1.7149924627046091</v>
      </c>
      <c r="F41" s="53">
        <v>60100</v>
      </c>
      <c r="G41" s="53">
        <v>5425</v>
      </c>
      <c r="H41" s="53">
        <v>350453000</v>
      </c>
    </row>
    <row r="42" spans="1:8" x14ac:dyDescent="0.3">
      <c r="A42" s="53">
        <v>70100</v>
      </c>
      <c r="B42" s="53">
        <v>3240</v>
      </c>
      <c r="C42" s="53">
        <v>241863000</v>
      </c>
      <c r="D42" s="54">
        <v>1.7309822275877322</v>
      </c>
      <c r="F42" s="53">
        <v>70100</v>
      </c>
      <c r="G42" s="53">
        <v>3240</v>
      </c>
      <c r="H42" s="53">
        <v>241863000</v>
      </c>
    </row>
    <row r="43" spans="1:8" x14ac:dyDescent="0.3">
      <c r="A43" s="53">
        <v>80100</v>
      </c>
      <c r="B43" s="53">
        <v>3330</v>
      </c>
      <c r="C43" s="53">
        <v>295887000</v>
      </c>
      <c r="D43" s="54">
        <v>1.7456869491163662</v>
      </c>
      <c r="F43" s="53">
        <v>80100</v>
      </c>
      <c r="G43" s="53">
        <v>3330</v>
      </c>
      <c r="H43" s="53">
        <v>295887000</v>
      </c>
    </row>
    <row r="44" spans="1:8" x14ac:dyDescent="0.3">
      <c r="A44" s="53">
        <v>100100</v>
      </c>
      <c r="B44" s="53">
        <v>3954</v>
      </c>
      <c r="C44" s="53">
        <v>515833000</v>
      </c>
      <c r="D44" s="54">
        <v>1.7463229126118061</v>
      </c>
      <c r="F44" s="53">
        <v>100100</v>
      </c>
      <c r="G44" s="53">
        <v>3954</v>
      </c>
      <c r="H44" s="53">
        <v>515833000</v>
      </c>
    </row>
    <row r="45" spans="1:8" x14ac:dyDescent="0.3">
      <c r="A45" s="53">
        <v>200100</v>
      </c>
      <c r="B45" s="53">
        <v>706</v>
      </c>
      <c r="C45" s="53">
        <v>191259000</v>
      </c>
      <c r="D45" s="54">
        <v>1.8483805927959269</v>
      </c>
      <c r="F45" s="53">
        <v>200100</v>
      </c>
      <c r="G45" s="53">
        <v>706</v>
      </c>
      <c r="H45" s="53">
        <v>191259000</v>
      </c>
    </row>
    <row r="46" spans="1:8" x14ac:dyDescent="0.3">
      <c r="A46" s="53">
        <v>400000</v>
      </c>
      <c r="B46" s="53">
        <v>193</v>
      </c>
      <c r="C46" s="53">
        <v>141246000</v>
      </c>
      <c r="D46" s="54">
        <v>1.8296113989637306</v>
      </c>
      <c r="F46" s="53">
        <v>400000</v>
      </c>
      <c r="G46" s="53">
        <v>193</v>
      </c>
      <c r="H46" s="53">
        <v>141246000</v>
      </c>
    </row>
    <row r="47" spans="1:8" x14ac:dyDescent="0.3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3">
      <c r="A48" s="53">
        <v>30100</v>
      </c>
      <c r="B48" s="53">
        <v>279001</v>
      </c>
      <c r="C48" s="53">
        <v>9077133000</v>
      </c>
      <c r="D48" s="54">
        <v>1.9953518295228214</v>
      </c>
      <c r="F48" s="53">
        <v>30100</v>
      </c>
      <c r="G48" s="53">
        <v>279001</v>
      </c>
      <c r="H48" s="53">
        <v>9077133000</v>
      </c>
    </row>
    <row r="49" spans="1:8" x14ac:dyDescent="0.3">
      <c r="A49" s="53">
        <v>35100</v>
      </c>
      <c r="B49" s="53">
        <v>275454</v>
      </c>
      <c r="C49" s="53">
        <v>10354523000</v>
      </c>
      <c r="D49" s="54">
        <v>1.8318417543984271</v>
      </c>
      <c r="F49" s="53">
        <v>35100</v>
      </c>
      <c r="G49" s="53">
        <v>275454</v>
      </c>
      <c r="H49" s="53">
        <v>10354523000</v>
      </c>
    </row>
    <row r="50" spans="1:8" x14ac:dyDescent="0.3">
      <c r="A50" s="53">
        <v>40100</v>
      </c>
      <c r="B50" s="53">
        <v>518661</v>
      </c>
      <c r="C50" s="53">
        <v>23268907000</v>
      </c>
      <c r="D50" s="54">
        <v>1.7228038004146411</v>
      </c>
      <c r="F50" s="53">
        <v>40100</v>
      </c>
      <c r="G50" s="53">
        <v>518661</v>
      </c>
      <c r="H50" s="53">
        <v>23268907000</v>
      </c>
    </row>
    <row r="51" spans="1:8" x14ac:dyDescent="0.3">
      <c r="A51" s="53">
        <v>50100</v>
      </c>
      <c r="B51" s="53">
        <v>363199</v>
      </c>
      <c r="C51" s="53">
        <v>19861103000</v>
      </c>
      <c r="D51" s="54">
        <v>1.6252024393195266</v>
      </c>
      <c r="F51" s="53">
        <v>50100</v>
      </c>
      <c r="G51" s="53">
        <v>363199</v>
      </c>
      <c r="H51" s="53">
        <v>19861103000</v>
      </c>
    </row>
    <row r="52" spans="1:8" x14ac:dyDescent="0.3">
      <c r="A52" s="53">
        <v>60100</v>
      </c>
      <c r="B52" s="53">
        <v>224155</v>
      </c>
      <c r="C52" s="53">
        <v>14489846000</v>
      </c>
      <c r="D52" s="54">
        <v>1.6014952495752497</v>
      </c>
      <c r="F52" s="53">
        <v>60100</v>
      </c>
      <c r="G52" s="53">
        <v>224155</v>
      </c>
      <c r="H52" s="53">
        <v>14489846000</v>
      </c>
    </row>
    <row r="53" spans="1:8" x14ac:dyDescent="0.3">
      <c r="A53" s="53">
        <v>70100</v>
      </c>
      <c r="B53" s="53">
        <v>135682</v>
      </c>
      <c r="C53" s="53">
        <v>10130421000</v>
      </c>
      <c r="D53" s="54">
        <v>1.6076347132216768</v>
      </c>
      <c r="F53" s="53">
        <v>70100</v>
      </c>
      <c r="G53" s="53">
        <v>135682</v>
      </c>
      <c r="H53" s="53">
        <v>10130421000</v>
      </c>
    </row>
    <row r="54" spans="1:8" x14ac:dyDescent="0.3">
      <c r="A54" s="53">
        <v>80100</v>
      </c>
      <c r="B54" s="53">
        <v>137595</v>
      </c>
      <c r="C54" s="53">
        <v>12191733000</v>
      </c>
      <c r="D54" s="54">
        <v>1.6252094856965991</v>
      </c>
      <c r="F54" s="53">
        <v>80100</v>
      </c>
      <c r="G54" s="53">
        <v>137595</v>
      </c>
      <c r="H54" s="53">
        <v>12191733000</v>
      </c>
    </row>
    <row r="55" spans="1:8" x14ac:dyDescent="0.3">
      <c r="A55" s="53">
        <v>100100</v>
      </c>
      <c r="B55" s="53">
        <v>131450</v>
      </c>
      <c r="C55" s="53">
        <v>17137957000</v>
      </c>
      <c r="D55" s="54">
        <v>1.6632139338379381</v>
      </c>
      <c r="F55" s="53">
        <v>100100</v>
      </c>
      <c r="G55" s="53">
        <v>131450</v>
      </c>
      <c r="H55" s="53">
        <v>17137957000</v>
      </c>
    </row>
    <row r="56" spans="1:8" x14ac:dyDescent="0.3">
      <c r="A56" s="53">
        <v>200100</v>
      </c>
      <c r="B56" s="53">
        <v>20800</v>
      </c>
      <c r="C56" s="53">
        <v>5464013000</v>
      </c>
      <c r="D56" s="54">
        <v>1.741031427038521</v>
      </c>
      <c r="F56" s="53">
        <v>200100</v>
      </c>
      <c r="G56" s="53">
        <v>20800</v>
      </c>
      <c r="H56" s="53">
        <v>5464013000</v>
      </c>
    </row>
    <row r="57" spans="1:8" x14ac:dyDescent="0.3">
      <c r="A57" s="53">
        <v>400000</v>
      </c>
      <c r="B57" s="53">
        <v>5297</v>
      </c>
      <c r="C57" s="53">
        <v>3627670000</v>
      </c>
      <c r="D57" s="54">
        <v>1.7121342269208986</v>
      </c>
      <c r="F57" s="53">
        <v>400000</v>
      </c>
      <c r="G57" s="53">
        <v>5297</v>
      </c>
      <c r="H57" s="53">
        <v>3627670000</v>
      </c>
    </row>
    <row r="58" spans="1:8" x14ac:dyDescent="0.3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3">
      <c r="A59" s="53">
        <v>30100</v>
      </c>
      <c r="B59" s="53">
        <v>248889</v>
      </c>
      <c r="C59" s="53">
        <v>8092889000</v>
      </c>
      <c r="D59" s="54">
        <v>2.1327314713018675</v>
      </c>
      <c r="F59" s="53">
        <v>30100</v>
      </c>
      <c r="G59" s="53">
        <v>248889</v>
      </c>
      <c r="H59" s="53">
        <v>8092889000</v>
      </c>
    </row>
    <row r="60" spans="1:8" x14ac:dyDescent="0.3">
      <c r="A60" s="53">
        <v>35100</v>
      </c>
      <c r="B60" s="53">
        <v>226674</v>
      </c>
      <c r="C60" s="53">
        <v>8510052000</v>
      </c>
      <c r="D60" s="54">
        <v>1.9707890276053579</v>
      </c>
      <c r="F60" s="53">
        <v>35100</v>
      </c>
      <c r="G60" s="53">
        <v>226674</v>
      </c>
      <c r="H60" s="53">
        <v>8510052000</v>
      </c>
    </row>
    <row r="61" spans="1:8" x14ac:dyDescent="0.3">
      <c r="A61" s="53">
        <v>40100</v>
      </c>
      <c r="B61" s="53">
        <v>399574</v>
      </c>
      <c r="C61" s="53">
        <v>17918642000</v>
      </c>
      <c r="D61" s="54">
        <v>1.8568440104211354</v>
      </c>
      <c r="F61" s="53">
        <v>40100</v>
      </c>
      <c r="G61" s="53">
        <v>399574</v>
      </c>
      <c r="H61" s="53">
        <v>17918642000</v>
      </c>
    </row>
    <row r="62" spans="1:8" x14ac:dyDescent="0.3">
      <c r="A62" s="53">
        <v>50100</v>
      </c>
      <c r="B62" s="53">
        <v>292448</v>
      </c>
      <c r="C62" s="53">
        <v>16018974000</v>
      </c>
      <c r="D62" s="54">
        <v>1.7329813350930119</v>
      </c>
      <c r="F62" s="53">
        <v>50100</v>
      </c>
      <c r="G62" s="53">
        <v>292448</v>
      </c>
      <c r="H62" s="53">
        <v>16018974000</v>
      </c>
    </row>
    <row r="63" spans="1:8" x14ac:dyDescent="0.3">
      <c r="A63" s="53">
        <v>60100</v>
      </c>
      <c r="B63" s="53">
        <v>200733</v>
      </c>
      <c r="C63" s="53">
        <v>12988798000</v>
      </c>
      <c r="D63" s="54">
        <v>1.6792274829404494</v>
      </c>
      <c r="F63" s="53">
        <v>60100</v>
      </c>
      <c r="G63" s="53">
        <v>200733</v>
      </c>
      <c r="H63" s="53">
        <v>12988798000</v>
      </c>
    </row>
    <row r="64" spans="1:8" x14ac:dyDescent="0.3">
      <c r="A64" s="53">
        <v>70100</v>
      </c>
      <c r="B64" s="53">
        <v>132113</v>
      </c>
      <c r="C64" s="53">
        <v>9867578000</v>
      </c>
      <c r="D64" s="54">
        <v>1.6631804773496632</v>
      </c>
      <c r="F64" s="53">
        <v>70100</v>
      </c>
      <c r="G64" s="53">
        <v>132113</v>
      </c>
      <c r="H64" s="53">
        <v>9867578000</v>
      </c>
    </row>
    <row r="65" spans="1:8" x14ac:dyDescent="0.3">
      <c r="A65" s="53">
        <v>80100</v>
      </c>
      <c r="B65" s="53">
        <v>142689</v>
      </c>
      <c r="C65" s="53">
        <v>12658316000</v>
      </c>
      <c r="D65" s="54">
        <v>1.6637688663977486</v>
      </c>
      <c r="F65" s="53">
        <v>80100</v>
      </c>
      <c r="G65" s="53">
        <v>142689</v>
      </c>
      <c r="H65" s="53">
        <v>12658316000</v>
      </c>
    </row>
    <row r="66" spans="1:8" x14ac:dyDescent="0.3">
      <c r="A66" s="53">
        <v>100100</v>
      </c>
      <c r="B66" s="53">
        <v>153933</v>
      </c>
      <c r="C66" s="53">
        <v>20257322000</v>
      </c>
      <c r="D66" s="54">
        <v>1.6670573792891923</v>
      </c>
      <c r="F66" s="53">
        <v>100100</v>
      </c>
      <c r="G66" s="53">
        <v>153933</v>
      </c>
      <c r="H66" s="53">
        <v>20257322000</v>
      </c>
    </row>
    <row r="67" spans="1:8" x14ac:dyDescent="0.3">
      <c r="A67" s="53">
        <v>200100</v>
      </c>
      <c r="B67" s="53">
        <v>29455</v>
      </c>
      <c r="C67" s="53">
        <v>7599725000</v>
      </c>
      <c r="D67" s="54">
        <v>1.6036650364895275</v>
      </c>
      <c r="F67" s="53">
        <v>200100</v>
      </c>
      <c r="G67" s="53">
        <v>29455</v>
      </c>
      <c r="H67" s="53">
        <v>7599725000</v>
      </c>
    </row>
    <row r="68" spans="1:8" x14ac:dyDescent="0.3">
      <c r="A68" s="53">
        <v>400000</v>
      </c>
      <c r="B68" s="53">
        <v>5799</v>
      </c>
      <c r="C68" s="53">
        <v>3713050000</v>
      </c>
      <c r="D68" s="54">
        <v>1.6007285738920505</v>
      </c>
      <c r="F68" s="53">
        <v>400000</v>
      </c>
      <c r="G68" s="53">
        <v>5799</v>
      </c>
      <c r="H68" s="53">
        <v>3713050000</v>
      </c>
    </row>
    <row r="69" spans="1:8" x14ac:dyDescent="0.3">
      <c r="A69" s="51" t="s">
        <v>56</v>
      </c>
      <c r="B69" s="51" t="s">
        <v>72</v>
      </c>
      <c r="C69" s="51" t="s">
        <v>73</v>
      </c>
      <c r="D69" s="52" t="s">
        <v>59</v>
      </c>
    </row>
    <row r="70" spans="1:8" x14ac:dyDescent="0.3">
      <c r="A70" s="53">
        <v>30100</v>
      </c>
      <c r="B70" s="53">
        <v>111891</v>
      </c>
      <c r="C70" s="53">
        <v>3633631000</v>
      </c>
      <c r="D70" s="54">
        <v>2.2094963903250702</v>
      </c>
      <c r="F70" s="53">
        <v>30100</v>
      </c>
      <c r="G70" s="53">
        <v>111891</v>
      </c>
      <c r="H70" s="53">
        <v>3633631000</v>
      </c>
    </row>
    <row r="71" spans="1:8" x14ac:dyDescent="0.3">
      <c r="A71" s="53">
        <v>35100</v>
      </c>
      <c r="B71" s="53">
        <v>89958</v>
      </c>
      <c r="C71" s="53">
        <v>3373953000</v>
      </c>
      <c r="D71" s="54">
        <v>2.0934393935373783</v>
      </c>
      <c r="F71" s="53">
        <v>35100</v>
      </c>
      <c r="G71" s="53">
        <v>89958</v>
      </c>
      <c r="H71" s="53">
        <v>3373953000</v>
      </c>
    </row>
    <row r="72" spans="1:8" x14ac:dyDescent="0.3">
      <c r="A72" s="53">
        <v>40100</v>
      </c>
      <c r="B72" s="53">
        <v>136318</v>
      </c>
      <c r="C72" s="53">
        <v>6097346000</v>
      </c>
      <c r="D72" s="54">
        <v>2.0093710864458032</v>
      </c>
      <c r="F72" s="53">
        <v>40100</v>
      </c>
      <c r="G72" s="53">
        <v>136318</v>
      </c>
      <c r="H72" s="53">
        <v>6097346000</v>
      </c>
    </row>
    <row r="73" spans="1:8" x14ac:dyDescent="0.3">
      <c r="A73" s="53">
        <v>50100</v>
      </c>
      <c r="B73" s="53">
        <v>86581</v>
      </c>
      <c r="C73" s="53">
        <v>4737518000</v>
      </c>
      <c r="D73" s="54">
        <v>1.9133592109120805</v>
      </c>
      <c r="F73" s="53">
        <v>50100</v>
      </c>
      <c r="G73" s="53">
        <v>86581</v>
      </c>
      <c r="H73" s="53">
        <v>4737518000</v>
      </c>
    </row>
    <row r="74" spans="1:8" x14ac:dyDescent="0.3">
      <c r="A74" s="53">
        <v>60100</v>
      </c>
      <c r="B74" s="53">
        <v>58488</v>
      </c>
      <c r="C74" s="53">
        <v>3788145000</v>
      </c>
      <c r="D74" s="54">
        <v>1.8492091617224735</v>
      </c>
      <c r="F74" s="53">
        <v>60100</v>
      </c>
      <c r="G74" s="53">
        <v>58488</v>
      </c>
      <c r="H74" s="53">
        <v>3788145000</v>
      </c>
    </row>
    <row r="75" spans="1:8" x14ac:dyDescent="0.3">
      <c r="A75" s="53">
        <v>70100</v>
      </c>
      <c r="B75" s="53">
        <v>40604</v>
      </c>
      <c r="C75" s="53">
        <v>3036002000</v>
      </c>
      <c r="D75" s="54">
        <v>1.8069207376287462</v>
      </c>
      <c r="F75" s="53">
        <v>70100</v>
      </c>
      <c r="G75" s="53">
        <v>40604</v>
      </c>
      <c r="H75" s="53">
        <v>3036002000</v>
      </c>
    </row>
    <row r="76" spans="1:8" x14ac:dyDescent="0.3">
      <c r="A76" s="53">
        <v>80100</v>
      </c>
      <c r="B76" s="53">
        <v>49623</v>
      </c>
      <c r="C76" s="53">
        <v>4414946000</v>
      </c>
      <c r="D76" s="54">
        <v>1.7775689470932714</v>
      </c>
      <c r="F76" s="53">
        <v>80100</v>
      </c>
      <c r="G76" s="53">
        <v>49623</v>
      </c>
      <c r="H76" s="53">
        <v>4414946000</v>
      </c>
    </row>
    <row r="77" spans="1:8" x14ac:dyDescent="0.3">
      <c r="A77" s="53">
        <v>100100</v>
      </c>
      <c r="B77" s="53">
        <v>66181</v>
      </c>
      <c r="C77" s="53">
        <v>8821038000</v>
      </c>
      <c r="D77" s="54">
        <v>1.7360188873696625</v>
      </c>
      <c r="F77" s="53">
        <v>100100</v>
      </c>
      <c r="G77" s="53">
        <v>66181</v>
      </c>
      <c r="H77" s="53">
        <v>8821038000</v>
      </c>
    </row>
    <row r="78" spans="1:8" x14ac:dyDescent="0.3">
      <c r="A78" s="53">
        <v>200100</v>
      </c>
      <c r="B78" s="53">
        <v>15432</v>
      </c>
      <c r="C78" s="53">
        <v>3993273000</v>
      </c>
      <c r="D78" s="54">
        <v>1.6021323110086423</v>
      </c>
      <c r="F78" s="53">
        <v>200100</v>
      </c>
      <c r="G78" s="53">
        <v>15432</v>
      </c>
      <c r="H78" s="53">
        <v>3993273000</v>
      </c>
    </row>
    <row r="79" spans="1:8" x14ac:dyDescent="0.3">
      <c r="A79" s="53">
        <v>400000</v>
      </c>
      <c r="B79" s="53">
        <v>2820</v>
      </c>
      <c r="C79" s="53">
        <v>1858075000</v>
      </c>
      <c r="D79" s="54">
        <v>1.6472296099290782</v>
      </c>
      <c r="F79" s="53">
        <v>400000</v>
      </c>
      <c r="G79" s="53">
        <v>2820</v>
      </c>
      <c r="H79" s="53">
        <v>1858075000</v>
      </c>
    </row>
    <row r="80" spans="1:8" x14ac:dyDescent="0.3">
      <c r="A80" s="51" t="s">
        <v>56</v>
      </c>
      <c r="B80" s="51" t="s">
        <v>74</v>
      </c>
      <c r="C80" s="51" t="s">
        <v>75</v>
      </c>
      <c r="D80" s="52" t="s">
        <v>59</v>
      </c>
    </row>
    <row r="81" spans="1:8" x14ac:dyDescent="0.3">
      <c r="A81" s="53">
        <v>31700</v>
      </c>
      <c r="B81" s="53">
        <v>7691</v>
      </c>
      <c r="C81" s="53">
        <v>264879000</v>
      </c>
      <c r="D81" s="54">
        <v>2.3089660142386763</v>
      </c>
      <c r="F81" s="53">
        <v>30100</v>
      </c>
      <c r="G81" s="2">
        <v>36610.414793570329</v>
      </c>
      <c r="H81" s="2">
        <v>1188913658.0848839</v>
      </c>
    </row>
    <row r="82" spans="1:8" x14ac:dyDescent="0.3">
      <c r="A82" s="53">
        <v>35100</v>
      </c>
      <c r="B82" s="53">
        <v>29434</v>
      </c>
      <c r="C82" s="53">
        <v>1102653000</v>
      </c>
      <c r="D82" s="54">
        <v>2.1404924586160816</v>
      </c>
      <c r="F82" s="53">
        <v>35100</v>
      </c>
      <c r="G82" s="55">
        <v>29434</v>
      </c>
      <c r="H82" s="55">
        <v>1102653000</v>
      </c>
    </row>
    <row r="83" spans="1:8" x14ac:dyDescent="0.3">
      <c r="A83" s="53">
        <v>40100</v>
      </c>
      <c r="B83" s="53">
        <v>39114</v>
      </c>
      <c r="C83" s="53">
        <v>1745155000</v>
      </c>
      <c r="D83" s="54">
        <v>2.0957981782366732</v>
      </c>
      <c r="F83" s="53">
        <v>40100</v>
      </c>
      <c r="G83" s="55">
        <v>39114</v>
      </c>
      <c r="H83" s="55">
        <v>1745155000</v>
      </c>
    </row>
    <row r="84" spans="1:8" x14ac:dyDescent="0.3">
      <c r="A84" s="53">
        <v>50100</v>
      </c>
      <c r="B84" s="53">
        <v>21875</v>
      </c>
      <c r="C84" s="53">
        <v>1195277000</v>
      </c>
      <c r="D84" s="54">
        <v>2.0382141615530118</v>
      </c>
      <c r="F84" s="53">
        <v>50100</v>
      </c>
      <c r="G84" s="55">
        <v>21875</v>
      </c>
      <c r="H84" s="55">
        <v>1195277000</v>
      </c>
    </row>
    <row r="85" spans="1:8" x14ac:dyDescent="0.3">
      <c r="A85" s="53">
        <v>60100</v>
      </c>
      <c r="B85" s="53">
        <v>13884</v>
      </c>
      <c r="C85" s="53">
        <v>898774000</v>
      </c>
      <c r="D85" s="54">
        <v>1.9714130150417566</v>
      </c>
      <c r="F85" s="53">
        <v>60100</v>
      </c>
      <c r="G85" s="55">
        <v>13884</v>
      </c>
      <c r="H85" s="55">
        <v>898774000</v>
      </c>
    </row>
    <row r="86" spans="1:8" x14ac:dyDescent="0.3">
      <c r="A86" s="53">
        <v>70100</v>
      </c>
      <c r="B86" s="53">
        <v>10169</v>
      </c>
      <c r="C86" s="53">
        <v>760761000</v>
      </c>
      <c r="D86" s="54">
        <v>1.9049613341605565</v>
      </c>
      <c r="F86" s="53">
        <v>70100</v>
      </c>
      <c r="G86" s="55">
        <v>10169</v>
      </c>
      <c r="H86" s="55">
        <v>760761000</v>
      </c>
    </row>
    <row r="87" spans="1:8" x14ac:dyDescent="0.3">
      <c r="A87" s="53">
        <v>80100</v>
      </c>
      <c r="B87" s="53">
        <v>12951</v>
      </c>
      <c r="C87" s="53">
        <v>1154457000</v>
      </c>
      <c r="D87" s="54">
        <v>1.8563881073268136</v>
      </c>
      <c r="F87" s="53">
        <v>80100</v>
      </c>
      <c r="G87" s="55">
        <v>12951</v>
      </c>
      <c r="H87" s="55">
        <v>1154457000</v>
      </c>
    </row>
    <row r="88" spans="1:8" x14ac:dyDescent="0.3">
      <c r="A88" s="53">
        <v>100100</v>
      </c>
      <c r="B88" s="53">
        <v>20307</v>
      </c>
      <c r="C88" s="53">
        <v>2734478000</v>
      </c>
      <c r="D88" s="54">
        <v>1.7768681930684653</v>
      </c>
      <c r="F88" s="53">
        <v>100100</v>
      </c>
      <c r="G88" s="55">
        <v>20307</v>
      </c>
      <c r="H88" s="55">
        <v>2734478000</v>
      </c>
    </row>
    <row r="89" spans="1:8" x14ac:dyDescent="0.3">
      <c r="A89" s="53">
        <v>200100</v>
      </c>
      <c r="B89" s="53">
        <v>5282</v>
      </c>
      <c r="C89" s="53">
        <v>1387197000</v>
      </c>
      <c r="D89" s="54">
        <v>1.6033786919478179</v>
      </c>
      <c r="F89" s="53">
        <v>200100</v>
      </c>
      <c r="G89" s="55">
        <v>5282</v>
      </c>
      <c r="H89" s="55">
        <v>1387197000</v>
      </c>
    </row>
    <row r="90" spans="1:8" x14ac:dyDescent="0.3">
      <c r="A90" s="53">
        <v>400000</v>
      </c>
      <c r="B90" s="53">
        <v>855</v>
      </c>
      <c r="C90" s="53">
        <v>581774000</v>
      </c>
      <c r="D90" s="54">
        <v>1.701093567251462</v>
      </c>
      <c r="F90" s="53">
        <v>400000</v>
      </c>
      <c r="G90" s="55">
        <v>855</v>
      </c>
      <c r="H90" s="55">
        <v>581774000</v>
      </c>
    </row>
    <row r="91" spans="1:8" x14ac:dyDescent="0.3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3">
      <c r="A92" s="53">
        <v>30100</v>
      </c>
      <c r="B92" s="53"/>
      <c r="C92" s="53"/>
      <c r="D92" s="54"/>
      <c r="F92" s="53">
        <v>30100</v>
      </c>
      <c r="G92" s="2">
        <v>11837.498488885922</v>
      </c>
      <c r="H92" s="2">
        <v>384419671.57026964</v>
      </c>
    </row>
    <row r="93" spans="1:8" x14ac:dyDescent="0.3">
      <c r="A93" s="53">
        <v>35662.5</v>
      </c>
      <c r="B93" s="53">
        <v>3711</v>
      </c>
      <c r="C93" s="53">
        <v>144692000</v>
      </c>
      <c r="D93" s="54">
        <v>2.1950983098913199</v>
      </c>
      <c r="F93" s="53">
        <v>35100</v>
      </c>
      <c r="G93" s="2">
        <v>9517.0986858925189</v>
      </c>
      <c r="H93" s="2">
        <v>356528416.70501608</v>
      </c>
    </row>
    <row r="94" spans="1:8" x14ac:dyDescent="0.3">
      <c r="A94" s="53">
        <v>40100</v>
      </c>
      <c r="B94" s="53">
        <v>12647</v>
      </c>
      <c r="C94" s="53">
        <v>563074000</v>
      </c>
      <c r="D94" s="54">
        <v>2.0538244070345142</v>
      </c>
      <c r="F94" s="53">
        <v>40100</v>
      </c>
      <c r="G94" s="55">
        <v>12647</v>
      </c>
      <c r="H94" s="55">
        <v>563074000</v>
      </c>
    </row>
    <row r="95" spans="1:8" x14ac:dyDescent="0.3">
      <c r="A95" s="53">
        <v>50100</v>
      </c>
      <c r="B95" s="53">
        <v>6335</v>
      </c>
      <c r="C95" s="53">
        <v>345432000</v>
      </c>
      <c r="D95" s="54">
        <v>2.0568124451486134</v>
      </c>
      <c r="F95" s="53">
        <v>50100</v>
      </c>
      <c r="G95" s="55">
        <v>6335</v>
      </c>
      <c r="H95" s="55">
        <v>345432000</v>
      </c>
    </row>
    <row r="96" spans="1:8" x14ac:dyDescent="0.3">
      <c r="A96" s="53">
        <v>60100</v>
      </c>
      <c r="B96" s="53">
        <v>3725</v>
      </c>
      <c r="C96" s="53">
        <v>241118000</v>
      </c>
      <c r="D96" s="54">
        <v>2.0190909365605307</v>
      </c>
      <c r="F96" s="53">
        <v>60100</v>
      </c>
      <c r="G96" s="55">
        <v>3725</v>
      </c>
      <c r="H96" s="55">
        <v>241118000</v>
      </c>
    </row>
    <row r="97" spans="1:8" x14ac:dyDescent="0.3">
      <c r="A97" s="53">
        <v>70100</v>
      </c>
      <c r="B97" s="53">
        <v>2474</v>
      </c>
      <c r="C97" s="53">
        <v>184943000</v>
      </c>
      <c r="D97" s="54">
        <v>1.9612500231934487</v>
      </c>
      <c r="F97" s="53">
        <v>70100</v>
      </c>
      <c r="G97" s="55">
        <v>2474</v>
      </c>
      <c r="H97" s="55">
        <v>184943000</v>
      </c>
    </row>
    <row r="98" spans="1:8" x14ac:dyDescent="0.3">
      <c r="A98" s="53">
        <v>80100</v>
      </c>
      <c r="B98" s="53">
        <v>3285</v>
      </c>
      <c r="C98" s="53">
        <v>292751000</v>
      </c>
      <c r="D98" s="54">
        <v>1.8992491925674257</v>
      </c>
      <c r="F98" s="53">
        <v>80100</v>
      </c>
      <c r="G98" s="55">
        <v>3285</v>
      </c>
      <c r="H98" s="55">
        <v>292751000</v>
      </c>
    </row>
    <row r="99" spans="1:8" x14ac:dyDescent="0.3">
      <c r="A99" s="53">
        <v>100100</v>
      </c>
      <c r="B99" s="53">
        <v>5516</v>
      </c>
      <c r="C99" s="53">
        <v>748612000</v>
      </c>
      <c r="D99" s="54">
        <v>1.8026249499372191</v>
      </c>
      <c r="F99" s="53">
        <v>100100</v>
      </c>
      <c r="G99" s="55">
        <v>5516</v>
      </c>
      <c r="H99" s="55">
        <v>748612000</v>
      </c>
    </row>
    <row r="100" spans="1:8" x14ac:dyDescent="0.3">
      <c r="A100" s="53">
        <v>200100</v>
      </c>
      <c r="B100" s="53">
        <v>1572</v>
      </c>
      <c r="C100" s="53">
        <v>417010000</v>
      </c>
      <c r="D100" s="54">
        <v>1.5886346520333148</v>
      </c>
      <c r="F100" s="53">
        <v>200100</v>
      </c>
      <c r="G100" s="55">
        <v>1572</v>
      </c>
      <c r="H100" s="55">
        <v>417010000</v>
      </c>
    </row>
    <row r="101" spans="1:8" x14ac:dyDescent="0.3">
      <c r="A101" s="53">
        <v>400000</v>
      </c>
      <c r="B101" s="53">
        <v>223</v>
      </c>
      <c r="C101" s="53">
        <v>153595000</v>
      </c>
      <c r="D101" s="54">
        <v>1.7219170403587443</v>
      </c>
      <c r="F101" s="53">
        <v>400000</v>
      </c>
      <c r="G101" s="55">
        <v>223</v>
      </c>
      <c r="H101" s="55">
        <v>153595000</v>
      </c>
    </row>
    <row r="102" spans="1:8" x14ac:dyDescent="0.3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3">
      <c r="A103" s="53">
        <v>30100</v>
      </c>
      <c r="B103" s="53"/>
      <c r="C103" s="53"/>
      <c r="D103" s="54"/>
      <c r="F103" s="53">
        <v>30100</v>
      </c>
      <c r="G103" s="2">
        <v>3361.1494483742667</v>
      </c>
      <c r="H103" s="2">
        <v>109152450.4316311</v>
      </c>
    </row>
    <row r="104" spans="1:8" x14ac:dyDescent="0.3">
      <c r="A104" s="53">
        <v>39625</v>
      </c>
      <c r="B104" s="53">
        <v>12</v>
      </c>
      <c r="C104" s="53">
        <v>478000</v>
      </c>
      <c r="D104" s="54">
        <v>2.0603731544568622</v>
      </c>
      <c r="F104" s="53">
        <v>35100</v>
      </c>
      <c r="G104" s="2">
        <v>2702.2931431201105</v>
      </c>
      <c r="H104" s="2">
        <v>101232983.66313852</v>
      </c>
    </row>
    <row r="105" spans="1:8" x14ac:dyDescent="0.3">
      <c r="A105" s="53">
        <v>40100</v>
      </c>
      <c r="B105" s="53">
        <v>3591</v>
      </c>
      <c r="C105" s="53">
        <v>164540000</v>
      </c>
      <c r="D105" s="54">
        <v>2.0371313064565975</v>
      </c>
      <c r="F105" s="53">
        <v>40100</v>
      </c>
      <c r="G105" s="55">
        <v>3591</v>
      </c>
      <c r="H105" s="55">
        <v>164540000</v>
      </c>
    </row>
    <row r="106" spans="1:8" x14ac:dyDescent="0.3">
      <c r="A106" s="53">
        <v>50100</v>
      </c>
      <c r="B106" s="53">
        <v>2240</v>
      </c>
      <c r="C106" s="53">
        <v>121988000</v>
      </c>
      <c r="D106" s="54">
        <v>1.9897413500510506</v>
      </c>
      <c r="F106" s="53">
        <v>50100</v>
      </c>
      <c r="G106" s="55">
        <v>2240</v>
      </c>
      <c r="H106" s="55">
        <v>121988000</v>
      </c>
    </row>
    <row r="107" spans="1:8" x14ac:dyDescent="0.3">
      <c r="A107" s="53">
        <v>60100</v>
      </c>
      <c r="B107" s="53">
        <v>1145</v>
      </c>
      <c r="C107" s="53">
        <v>73804000</v>
      </c>
      <c r="D107" s="54">
        <v>2.0014943570762171</v>
      </c>
      <c r="F107" s="53">
        <v>60100</v>
      </c>
      <c r="G107" s="55">
        <v>1145</v>
      </c>
      <c r="H107" s="55">
        <v>73804000</v>
      </c>
    </row>
    <row r="108" spans="1:8" x14ac:dyDescent="0.3">
      <c r="A108" s="53">
        <v>70100</v>
      </c>
      <c r="B108" s="53">
        <v>756</v>
      </c>
      <c r="C108" s="53">
        <v>56594000</v>
      </c>
      <c r="D108" s="54">
        <v>1.9577432935527643</v>
      </c>
      <c r="F108" s="53">
        <v>70100</v>
      </c>
      <c r="G108" s="55">
        <v>756</v>
      </c>
      <c r="H108" s="55">
        <v>56594000</v>
      </c>
    </row>
    <row r="109" spans="1:8" x14ac:dyDescent="0.3">
      <c r="A109" s="53">
        <v>80100</v>
      </c>
      <c r="B109" s="53">
        <v>904</v>
      </c>
      <c r="C109" s="53">
        <v>81028000</v>
      </c>
      <c r="D109" s="54">
        <v>1.9085352526848072</v>
      </c>
      <c r="F109" s="53">
        <v>80100</v>
      </c>
      <c r="G109" s="55">
        <v>904</v>
      </c>
      <c r="H109" s="55">
        <v>81028000</v>
      </c>
    </row>
    <row r="110" spans="1:8" x14ac:dyDescent="0.3">
      <c r="A110" s="53">
        <v>100100</v>
      </c>
      <c r="B110" s="53">
        <v>1552</v>
      </c>
      <c r="C110" s="53">
        <v>210890000</v>
      </c>
      <c r="D110" s="54">
        <v>1.7976294538794539</v>
      </c>
      <c r="F110" s="53">
        <v>100100</v>
      </c>
      <c r="G110" s="55">
        <v>1552</v>
      </c>
      <c r="H110" s="55">
        <v>210890000</v>
      </c>
    </row>
    <row r="111" spans="1:8" x14ac:dyDescent="0.3">
      <c r="A111" s="53">
        <v>200100</v>
      </c>
      <c r="B111" s="53">
        <v>487</v>
      </c>
      <c r="C111" s="53">
        <v>128887000</v>
      </c>
      <c r="D111" s="54">
        <v>1.5095041764831871</v>
      </c>
      <c r="F111" s="53">
        <v>200100</v>
      </c>
      <c r="G111" s="55">
        <v>487</v>
      </c>
      <c r="H111" s="55">
        <v>128887000</v>
      </c>
    </row>
    <row r="112" spans="1:8" x14ac:dyDescent="0.3">
      <c r="A112" s="53">
        <v>400000</v>
      </c>
      <c r="B112" s="53">
        <v>73</v>
      </c>
      <c r="C112" s="53">
        <v>40262000</v>
      </c>
      <c r="D112" s="54">
        <v>1.3788356164383562</v>
      </c>
      <c r="F112" s="53">
        <v>400000</v>
      </c>
      <c r="G112" s="55">
        <v>73</v>
      </c>
      <c r="H112" s="55">
        <v>40262000</v>
      </c>
    </row>
    <row r="113" spans="1:8" x14ac:dyDescent="0.3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3">
      <c r="A114" s="53">
        <v>30100</v>
      </c>
      <c r="B114" s="53"/>
      <c r="C114" s="53"/>
      <c r="D114" s="54"/>
      <c r="F114" s="53">
        <v>30100</v>
      </c>
      <c r="G114" s="2">
        <v>1414.9838972397024</v>
      </c>
      <c r="H114" s="2">
        <v>45951232.480816126</v>
      </c>
    </row>
    <row r="115" spans="1:8" x14ac:dyDescent="0.3">
      <c r="A115" s="53">
        <v>35100</v>
      </c>
      <c r="B115" s="53"/>
      <c r="C115" s="53"/>
      <c r="D115" s="54"/>
      <c r="F115" s="53">
        <v>35100</v>
      </c>
      <c r="G115" s="2">
        <v>1137.6171580188679</v>
      </c>
      <c r="H115" s="2">
        <v>42617278.390330188</v>
      </c>
    </row>
    <row r="116" spans="1:8" x14ac:dyDescent="0.3">
      <c r="A116" s="53">
        <v>43587.5</v>
      </c>
      <c r="B116" s="53">
        <v>574</v>
      </c>
      <c r="C116" s="53">
        <v>27562000</v>
      </c>
      <c r="D116" s="54">
        <v>2.0465614016262457</v>
      </c>
      <c r="F116" s="53">
        <v>40100</v>
      </c>
      <c r="G116" s="2">
        <v>1511.746875</v>
      </c>
      <c r="H116" s="2">
        <v>69268401.785714284</v>
      </c>
    </row>
    <row r="117" spans="1:8" x14ac:dyDescent="0.3">
      <c r="A117" s="53">
        <v>50100</v>
      </c>
      <c r="B117" s="53">
        <v>943</v>
      </c>
      <c r="C117" s="53">
        <v>51379000</v>
      </c>
      <c r="D117" s="54">
        <v>1.9630757826706353</v>
      </c>
      <c r="F117" s="53">
        <v>50100</v>
      </c>
      <c r="G117" s="55">
        <v>943</v>
      </c>
      <c r="H117" s="55">
        <v>51379000</v>
      </c>
    </row>
    <row r="118" spans="1:8" x14ac:dyDescent="0.3">
      <c r="A118" s="53">
        <v>60100</v>
      </c>
      <c r="B118" s="53">
        <v>416</v>
      </c>
      <c r="C118" s="53">
        <v>26771000</v>
      </c>
      <c r="D118" s="54">
        <v>2.0556076859314865</v>
      </c>
      <c r="F118" s="53">
        <v>60100</v>
      </c>
      <c r="G118" s="55">
        <v>416</v>
      </c>
      <c r="H118" s="55">
        <v>26771000</v>
      </c>
    </row>
    <row r="119" spans="1:8" x14ac:dyDescent="0.3">
      <c r="A119" s="53">
        <v>70100</v>
      </c>
      <c r="B119" s="53">
        <v>232</v>
      </c>
      <c r="C119" s="53">
        <v>17264000</v>
      </c>
      <c r="D119" s="54">
        <v>2.0488674999360037</v>
      </c>
      <c r="F119" s="53">
        <v>70100</v>
      </c>
      <c r="G119" s="55">
        <v>232</v>
      </c>
      <c r="H119" s="55">
        <v>17264000</v>
      </c>
    </row>
    <row r="120" spans="1:8" x14ac:dyDescent="0.3">
      <c r="A120" s="53">
        <v>80100</v>
      </c>
      <c r="B120" s="53">
        <v>298</v>
      </c>
      <c r="C120" s="53">
        <v>26590000</v>
      </c>
      <c r="D120" s="54">
        <v>1.9947525351861481</v>
      </c>
      <c r="F120" s="53">
        <v>80100</v>
      </c>
      <c r="G120" s="55">
        <v>298</v>
      </c>
      <c r="H120" s="55">
        <v>26590000</v>
      </c>
    </row>
    <row r="121" spans="1:8" x14ac:dyDescent="0.3">
      <c r="A121" s="53">
        <v>100100</v>
      </c>
      <c r="B121" s="53">
        <v>506</v>
      </c>
      <c r="C121" s="53">
        <v>68288000</v>
      </c>
      <c r="D121" s="54">
        <v>1.8979727169382343</v>
      </c>
      <c r="F121" s="53">
        <v>100100</v>
      </c>
      <c r="G121" s="55">
        <v>506</v>
      </c>
      <c r="H121" s="55">
        <v>68288000</v>
      </c>
    </row>
    <row r="122" spans="1:8" x14ac:dyDescent="0.3">
      <c r="A122" s="53">
        <v>200100</v>
      </c>
      <c r="B122" s="53">
        <v>157</v>
      </c>
      <c r="C122" s="53">
        <v>41835000</v>
      </c>
      <c r="D122" s="54">
        <v>1.6818695915200297</v>
      </c>
      <c r="F122" s="53">
        <v>200100</v>
      </c>
      <c r="G122" s="55">
        <v>157</v>
      </c>
      <c r="H122" s="55">
        <v>41835000</v>
      </c>
    </row>
    <row r="123" spans="1:8" x14ac:dyDescent="0.3">
      <c r="A123" s="53">
        <v>400000</v>
      </c>
      <c r="B123" s="53">
        <v>33</v>
      </c>
      <c r="C123" s="53">
        <v>22108000</v>
      </c>
      <c r="D123" s="54">
        <v>1.6748484848484848</v>
      </c>
      <c r="F123" s="53">
        <v>400000</v>
      </c>
      <c r="G123" s="55">
        <v>33</v>
      </c>
      <c r="H123" s="55">
        <v>22108000</v>
      </c>
    </row>
    <row r="124" spans="1:8" x14ac:dyDescent="0.3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3">
      <c r="A125" s="53">
        <v>30100</v>
      </c>
      <c r="B125" s="53"/>
      <c r="C125" s="53"/>
      <c r="D125" s="54"/>
      <c r="F125" s="53">
        <v>30100</v>
      </c>
      <c r="G125" s="2">
        <v>636.21757415655759</v>
      </c>
      <c r="H125" s="2">
        <v>20660999.545987315</v>
      </c>
    </row>
    <row r="126" spans="1:8" x14ac:dyDescent="0.3">
      <c r="A126" s="53">
        <v>35100</v>
      </c>
      <c r="B126" s="53"/>
      <c r="C126" s="53"/>
      <c r="D126" s="54"/>
      <c r="F126" s="53">
        <v>35100</v>
      </c>
      <c r="G126" s="2">
        <v>511.50548780487804</v>
      </c>
      <c r="H126" s="2">
        <v>19161957.621951219</v>
      </c>
    </row>
    <row r="127" spans="1:8" x14ac:dyDescent="0.3">
      <c r="A127" s="53">
        <v>47550</v>
      </c>
      <c r="B127" s="53">
        <v>9</v>
      </c>
      <c r="C127" s="53">
        <v>440000</v>
      </c>
      <c r="D127" s="54">
        <v>1.8624205097391218</v>
      </c>
      <c r="F127" s="53">
        <v>40100</v>
      </c>
      <c r="G127" s="2">
        <v>679.72500000000002</v>
      </c>
      <c r="H127" s="2">
        <v>31145071.428571425</v>
      </c>
    </row>
    <row r="128" spans="1:8" x14ac:dyDescent="0.3">
      <c r="A128" s="53">
        <v>50100</v>
      </c>
      <c r="B128" s="53">
        <v>424</v>
      </c>
      <c r="C128" s="53">
        <v>23164000</v>
      </c>
      <c r="D128" s="54">
        <v>1.774472189147162</v>
      </c>
      <c r="F128" s="53">
        <v>50100</v>
      </c>
      <c r="G128" s="55">
        <v>424</v>
      </c>
      <c r="H128" s="55">
        <v>23164000</v>
      </c>
    </row>
    <row r="129" spans="1:8" x14ac:dyDescent="0.3">
      <c r="A129" s="53">
        <v>60100</v>
      </c>
      <c r="B129" s="53">
        <v>201</v>
      </c>
      <c r="C129" s="53">
        <v>13061000</v>
      </c>
      <c r="D129" s="54">
        <v>1.8710576915297843</v>
      </c>
      <c r="F129" s="53">
        <v>60100</v>
      </c>
      <c r="G129" s="55">
        <v>201</v>
      </c>
      <c r="H129" s="55">
        <v>13061000</v>
      </c>
    </row>
    <row r="130" spans="1:8" x14ac:dyDescent="0.3">
      <c r="A130" s="53">
        <v>70100</v>
      </c>
      <c r="B130" s="53">
        <v>100</v>
      </c>
      <c r="C130" s="53">
        <v>7457000</v>
      </c>
      <c r="D130" s="54">
        <v>1.9313412158454952</v>
      </c>
      <c r="F130" s="53">
        <v>70100</v>
      </c>
      <c r="G130" s="55">
        <v>100</v>
      </c>
      <c r="H130" s="55">
        <v>7457000</v>
      </c>
    </row>
    <row r="131" spans="1:8" x14ac:dyDescent="0.3">
      <c r="A131" s="53">
        <v>80100</v>
      </c>
      <c r="B131" s="53">
        <v>104</v>
      </c>
      <c r="C131" s="53">
        <v>9220000</v>
      </c>
      <c r="D131" s="54">
        <v>1.9304982695681032</v>
      </c>
      <c r="F131" s="53">
        <v>80100</v>
      </c>
      <c r="G131" s="55">
        <v>104</v>
      </c>
      <c r="H131" s="55">
        <v>9220000</v>
      </c>
    </row>
    <row r="132" spans="1:8" x14ac:dyDescent="0.3">
      <c r="A132" s="53">
        <v>100100</v>
      </c>
      <c r="B132" s="53">
        <v>145</v>
      </c>
      <c r="C132" s="53">
        <v>19941000</v>
      </c>
      <c r="D132" s="54">
        <v>1.8681318681318682</v>
      </c>
      <c r="F132" s="53">
        <v>100100</v>
      </c>
      <c r="G132" s="55">
        <v>145</v>
      </c>
      <c r="H132" s="55">
        <v>19941000</v>
      </c>
    </row>
    <row r="133" spans="1:8" x14ac:dyDescent="0.3">
      <c r="A133" s="53">
        <v>200100</v>
      </c>
      <c r="B133" s="53">
        <v>64</v>
      </c>
      <c r="C133" s="53">
        <v>16447000</v>
      </c>
      <c r="D133" s="54">
        <v>1.4696383151707728</v>
      </c>
      <c r="F133" s="53">
        <v>200100</v>
      </c>
      <c r="G133" s="55">
        <v>64</v>
      </c>
      <c r="H133" s="55">
        <v>16447000</v>
      </c>
    </row>
    <row r="134" spans="1:8" x14ac:dyDescent="0.3">
      <c r="A134" s="53">
        <v>400000</v>
      </c>
      <c r="B134" s="53">
        <v>3</v>
      </c>
      <c r="C134" s="53">
        <v>3256000</v>
      </c>
      <c r="D134" s="54">
        <v>2.7133333333333329</v>
      </c>
      <c r="F134" s="53">
        <v>400000</v>
      </c>
      <c r="G134" s="55">
        <v>3</v>
      </c>
      <c r="H134" s="55">
        <v>3256000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opLeftCell="B1" workbookViewId="0">
      <selection sqref="A1:D1"/>
    </sheetView>
  </sheetViews>
  <sheetFormatPr baseColWidth="10" defaultRowHeight="15.6" x14ac:dyDescent="0.3"/>
  <cols>
    <col min="12" max="12" width="13.296875" bestFit="1" customWidth="1"/>
  </cols>
  <sheetData>
    <row r="1" spans="1:15" x14ac:dyDescent="0.3">
      <c r="A1" s="79" t="s">
        <v>241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8725</v>
      </c>
      <c r="M3" t="s">
        <v>7</v>
      </c>
      <c r="N3" t="s">
        <v>8</v>
      </c>
      <c r="O3" t="s">
        <v>14</v>
      </c>
    </row>
    <row r="4" spans="1:15" x14ac:dyDescent="0.3">
      <c r="A4" s="53">
        <v>70100</v>
      </c>
      <c r="B4" s="53">
        <v>29051</v>
      </c>
      <c r="C4" s="53">
        <v>2169875000</v>
      </c>
      <c r="D4" s="54">
        <v>1.7132995431572036</v>
      </c>
      <c r="F4" s="53">
        <v>70100</v>
      </c>
      <c r="G4" s="53">
        <v>29051</v>
      </c>
      <c r="H4" s="53">
        <v>2169875000</v>
      </c>
      <c r="J4" s="53">
        <v>70100</v>
      </c>
      <c r="K4" s="2">
        <f>G4+G10+G16+G22+G28+G34+G40+G46+G52+G58+G64+G70</f>
        <v>668045</v>
      </c>
      <c r="L4" s="2">
        <f>H4+H10+H16+H22+H28+H34+H40+H46+H52+H58+H64+H70</f>
        <v>49939257000</v>
      </c>
      <c r="M4">
        <f>1-SUM(K4:$K$8)/$K$10</f>
        <v>0.8966834880152591</v>
      </c>
      <c r="N4">
        <f>SUM(L4:$L$8)/(J4*SUM(K4:$K$8))</f>
        <v>1.7329906281234835</v>
      </c>
      <c r="O4">
        <f>(G4+G10+G22)/K4</f>
        <v>7.6806203174935819E-2</v>
      </c>
    </row>
    <row r="5" spans="1:15" x14ac:dyDescent="0.3">
      <c r="A5" s="53">
        <v>80100</v>
      </c>
      <c r="B5" s="53">
        <v>28911</v>
      </c>
      <c r="C5" s="53">
        <v>2564498000</v>
      </c>
      <c r="D5" s="54">
        <v>1.7458966820688697</v>
      </c>
      <c r="F5" s="53">
        <v>80100</v>
      </c>
      <c r="G5" s="53">
        <v>28911</v>
      </c>
      <c r="H5" s="53">
        <v>2564498000</v>
      </c>
      <c r="J5" s="53">
        <v>80100</v>
      </c>
      <c r="K5" s="2">
        <f t="shared" ref="K5:L8" si="0">G5+G11+G17+G23+G29+G35+G41+G47+G53+G59+G65+G71</f>
        <v>733777</v>
      </c>
      <c r="L5" s="2">
        <f t="shared" si="0"/>
        <v>65156011000</v>
      </c>
      <c r="M5">
        <f>1-SUM(K5:$K$8)/$K$10</f>
        <v>0.92549561299213101</v>
      </c>
      <c r="N5">
        <f>SUM(L5:$L$8)/(J5*SUM(K5:$K$8))</f>
        <v>1.7422382421792844</v>
      </c>
      <c r="O5">
        <f t="shared" ref="O5:O8" si="1">(G5+G11+G23)/K5</f>
        <v>7.2706012862218353E-2</v>
      </c>
    </row>
    <row r="6" spans="1:15" x14ac:dyDescent="0.3">
      <c r="A6" s="53">
        <v>100100</v>
      </c>
      <c r="B6" s="53">
        <v>30163</v>
      </c>
      <c r="C6" s="53">
        <v>3953273000</v>
      </c>
      <c r="D6" s="54">
        <v>1.7867567072157493</v>
      </c>
      <c r="F6" s="53">
        <v>100100</v>
      </c>
      <c r="G6" s="53">
        <v>30163</v>
      </c>
      <c r="H6" s="53">
        <v>3953273000</v>
      </c>
      <c r="J6" s="53">
        <v>100100</v>
      </c>
      <c r="K6" s="2">
        <f t="shared" si="0"/>
        <v>789491</v>
      </c>
      <c r="L6" s="2">
        <f t="shared" si="0"/>
        <v>103644816000</v>
      </c>
      <c r="M6">
        <f>1-SUM(K6:$K$8)/$K$10</f>
        <v>0.95714269459464907</v>
      </c>
      <c r="N6">
        <f>SUM(L6:$L$8)/(J6*SUM(K6:$K$8))</f>
        <v>1.7685753513870652</v>
      </c>
      <c r="O6">
        <f t="shared" si="1"/>
        <v>7.5229483299999622E-2</v>
      </c>
    </row>
    <row r="7" spans="1:15" x14ac:dyDescent="0.3">
      <c r="A7" s="53">
        <v>200100</v>
      </c>
      <c r="B7" s="53">
        <v>6100</v>
      </c>
      <c r="C7" s="53">
        <v>1609018000</v>
      </c>
      <c r="D7" s="54">
        <v>1.8243274384507564</v>
      </c>
      <c r="F7" s="53">
        <v>200100</v>
      </c>
      <c r="G7" s="53">
        <v>6100</v>
      </c>
      <c r="H7" s="53">
        <v>1609018000</v>
      </c>
      <c r="J7" s="53">
        <v>200100</v>
      </c>
      <c r="K7" s="2">
        <f t="shared" si="0"/>
        <v>162889</v>
      </c>
      <c r="L7" s="2">
        <f t="shared" si="0"/>
        <v>43028239000</v>
      </c>
      <c r="M7">
        <f>1-SUM(K7:$K$8)/$K$10</f>
        <v>0.99119266631828384</v>
      </c>
      <c r="N7">
        <f>SUM(L7:$L$8)/(J7*SUM(K7:$K$8))</f>
        <v>1.7687305880136339</v>
      </c>
      <c r="O7">
        <f t="shared" si="1"/>
        <v>7.7979482960789243E-2</v>
      </c>
    </row>
    <row r="8" spans="1:15" x14ac:dyDescent="0.3">
      <c r="A8" s="53">
        <v>400000</v>
      </c>
      <c r="B8" s="53">
        <v>1642</v>
      </c>
      <c r="C8" s="53">
        <v>1217183000</v>
      </c>
      <c r="D8" s="54">
        <v>1.8532018879415348</v>
      </c>
      <c r="F8" s="53">
        <v>400000</v>
      </c>
      <c r="G8" s="53">
        <v>1642</v>
      </c>
      <c r="H8" s="53">
        <v>1217183000</v>
      </c>
      <c r="J8" s="53">
        <v>400000</v>
      </c>
      <c r="K8" s="2">
        <f t="shared" si="0"/>
        <v>41320</v>
      </c>
      <c r="L8" s="2">
        <f>H8+H14+H20+H26+H32+H38+H44+H50+H56+H62+H68+H74</f>
        <v>29246021000</v>
      </c>
      <c r="M8">
        <f>1-SUM(K8:$K$8)/$K$10</f>
        <v>0.99821790896714391</v>
      </c>
      <c r="N8">
        <f>SUM(L8:$L$8)/(J8*SUM(K8:$K$8))</f>
        <v>1.7694833615682479</v>
      </c>
      <c r="O8">
        <f t="shared" si="1"/>
        <v>8.9932236205227487E-2</v>
      </c>
    </row>
    <row r="9" spans="1:15" x14ac:dyDescent="0.3">
      <c r="A9" s="51" t="s">
        <v>56</v>
      </c>
      <c r="B9" s="51" t="s">
        <v>87</v>
      </c>
      <c r="C9" s="51" t="s">
        <v>61</v>
      </c>
      <c r="D9" s="52" t="s">
        <v>59</v>
      </c>
      <c r="K9" s="2"/>
      <c r="L9" s="2"/>
    </row>
    <row r="10" spans="1:15" x14ac:dyDescent="0.3">
      <c r="A10" s="53">
        <v>70100</v>
      </c>
      <c r="B10" s="53">
        <v>18325</v>
      </c>
      <c r="C10" s="53">
        <v>1369021000</v>
      </c>
      <c r="D10" s="54">
        <v>1.9191654244806253</v>
      </c>
      <c r="F10" s="53">
        <v>70100</v>
      </c>
      <c r="G10" s="53">
        <v>18325</v>
      </c>
      <c r="H10" s="53">
        <v>1369021000</v>
      </c>
      <c r="K10" s="5">
        <v>23186245.392738394</v>
      </c>
      <c r="L10" s="2"/>
    </row>
    <row r="11" spans="1:15" x14ac:dyDescent="0.3">
      <c r="A11" s="53">
        <v>80100</v>
      </c>
      <c r="B11" s="53">
        <v>20283</v>
      </c>
      <c r="C11" s="53">
        <v>1802225000</v>
      </c>
      <c r="D11" s="54">
        <v>1.9424920190625403</v>
      </c>
      <c r="F11" s="53">
        <v>80100</v>
      </c>
      <c r="G11" s="53">
        <v>20283</v>
      </c>
      <c r="H11" s="53">
        <v>1802225000</v>
      </c>
      <c r="K11" s="2"/>
      <c r="L11" s="2"/>
    </row>
    <row r="12" spans="1:15" x14ac:dyDescent="0.3">
      <c r="A12" s="53">
        <v>100100</v>
      </c>
      <c r="B12" s="53">
        <v>24436</v>
      </c>
      <c r="C12" s="53">
        <v>3240201000</v>
      </c>
      <c r="D12" s="54">
        <v>1.9800034416217969</v>
      </c>
      <c r="F12" s="53">
        <v>100100</v>
      </c>
      <c r="G12" s="53">
        <v>24436</v>
      </c>
      <c r="H12" s="53">
        <v>3240201000</v>
      </c>
      <c r="K12" s="2"/>
      <c r="L12" s="2"/>
    </row>
    <row r="13" spans="1:15" x14ac:dyDescent="0.3">
      <c r="A13" s="53">
        <v>200100</v>
      </c>
      <c r="B13" s="53">
        <v>5539</v>
      </c>
      <c r="C13" s="53">
        <v>1472149000</v>
      </c>
      <c r="D13" s="54">
        <v>2.082341002049064</v>
      </c>
      <c r="F13" s="53">
        <v>200100</v>
      </c>
      <c r="G13" s="53">
        <v>5539</v>
      </c>
      <c r="H13" s="53">
        <v>1472149000</v>
      </c>
      <c r="K13" s="2"/>
      <c r="L13" s="2"/>
    </row>
    <row r="14" spans="1:15" x14ac:dyDescent="0.3">
      <c r="A14" s="53">
        <v>400000</v>
      </c>
      <c r="B14" s="53">
        <v>1798</v>
      </c>
      <c r="C14" s="53">
        <v>1585006000</v>
      </c>
      <c r="D14" s="54">
        <v>2.2038459399332591</v>
      </c>
      <c r="F14" s="53">
        <v>400000</v>
      </c>
      <c r="G14" s="53">
        <v>1798</v>
      </c>
      <c r="H14" s="53">
        <v>1585006000</v>
      </c>
    </row>
    <row r="15" spans="1:15" x14ac:dyDescent="0.3">
      <c r="A15" s="51" t="s">
        <v>56</v>
      </c>
      <c r="B15" s="51" t="s">
        <v>173</v>
      </c>
      <c r="C15" s="51" t="s">
        <v>174</v>
      </c>
      <c r="D15" s="52" t="s">
        <v>59</v>
      </c>
    </row>
    <row r="16" spans="1:15" x14ac:dyDescent="0.3">
      <c r="A16" s="53">
        <v>70100</v>
      </c>
      <c r="B16" s="53">
        <v>208797</v>
      </c>
      <c r="C16" s="53">
        <v>15604651000</v>
      </c>
      <c r="D16" s="54">
        <v>1.725108551997623</v>
      </c>
      <c r="F16" s="53">
        <v>70100</v>
      </c>
      <c r="G16" s="53">
        <v>208797</v>
      </c>
      <c r="H16" s="53">
        <v>15604651000</v>
      </c>
    </row>
    <row r="17" spans="1:8" x14ac:dyDescent="0.3">
      <c r="A17" s="53">
        <v>80100</v>
      </c>
      <c r="B17" s="53">
        <v>224891</v>
      </c>
      <c r="C17" s="53">
        <v>19966254000</v>
      </c>
      <c r="D17" s="54">
        <v>1.7398490100910879</v>
      </c>
      <c r="F17" s="53">
        <v>80100</v>
      </c>
      <c r="G17" s="53">
        <v>224891</v>
      </c>
      <c r="H17" s="53">
        <v>19966254000</v>
      </c>
    </row>
    <row r="18" spans="1:8" x14ac:dyDescent="0.3">
      <c r="A18" s="53">
        <v>100100</v>
      </c>
      <c r="B18" s="53">
        <v>239738</v>
      </c>
      <c r="C18" s="53">
        <v>31374773000</v>
      </c>
      <c r="D18" s="54">
        <v>1.7730452188562109</v>
      </c>
      <c r="F18" s="53">
        <v>100100</v>
      </c>
      <c r="G18" s="53">
        <v>239738</v>
      </c>
      <c r="H18" s="53">
        <v>31374773000</v>
      </c>
    </row>
    <row r="19" spans="1:8" x14ac:dyDescent="0.3">
      <c r="A19" s="53">
        <v>200100</v>
      </c>
      <c r="B19" s="53">
        <v>46035</v>
      </c>
      <c r="C19" s="53">
        <v>12147910000</v>
      </c>
      <c r="D19" s="54">
        <v>1.8389260928500668</v>
      </c>
      <c r="F19" s="53">
        <v>200100</v>
      </c>
      <c r="G19" s="53">
        <v>46035</v>
      </c>
      <c r="H19" s="53">
        <v>12147910000</v>
      </c>
    </row>
    <row r="20" spans="1:8" x14ac:dyDescent="0.3">
      <c r="A20" s="53">
        <v>400000</v>
      </c>
      <c r="B20" s="53">
        <v>12627</v>
      </c>
      <c r="C20" s="53">
        <v>9437894000</v>
      </c>
      <c r="D20" s="54">
        <v>1.8685938861170508</v>
      </c>
      <c r="F20" s="53">
        <v>400000</v>
      </c>
      <c r="G20" s="53">
        <v>12627</v>
      </c>
      <c r="H20" s="53">
        <v>9437894000</v>
      </c>
    </row>
    <row r="21" spans="1:8" x14ac:dyDescent="0.3">
      <c r="A21" s="51" t="s">
        <v>56</v>
      </c>
      <c r="B21" s="51" t="s">
        <v>175</v>
      </c>
      <c r="C21" s="51" t="s">
        <v>176</v>
      </c>
      <c r="D21" s="52" t="s">
        <v>59</v>
      </c>
    </row>
    <row r="22" spans="1:8" x14ac:dyDescent="0.3">
      <c r="A22" s="53">
        <v>70100</v>
      </c>
      <c r="B22" s="53">
        <v>3934</v>
      </c>
      <c r="C22" s="53">
        <v>293624000</v>
      </c>
      <c r="D22" s="54">
        <v>1.8016026160837517</v>
      </c>
      <c r="F22" s="53">
        <v>70100</v>
      </c>
      <c r="G22" s="53">
        <v>3934</v>
      </c>
      <c r="H22" s="53">
        <v>293624000</v>
      </c>
    </row>
    <row r="23" spans="1:8" x14ac:dyDescent="0.3">
      <c r="A23" s="53">
        <v>80100</v>
      </c>
      <c r="B23" s="53">
        <v>4156</v>
      </c>
      <c r="C23" s="53">
        <v>369245000</v>
      </c>
      <c r="D23" s="54">
        <v>1.8232530553641459</v>
      </c>
      <c r="F23" s="53">
        <v>80100</v>
      </c>
      <c r="G23" s="53">
        <v>4156</v>
      </c>
      <c r="H23" s="53">
        <v>369245000</v>
      </c>
    </row>
    <row r="24" spans="1:8" x14ac:dyDescent="0.3">
      <c r="A24" s="53">
        <v>100100</v>
      </c>
      <c r="B24" s="53">
        <v>4794</v>
      </c>
      <c r="C24" s="53">
        <v>636514000</v>
      </c>
      <c r="D24" s="54">
        <v>1.8461678546465763</v>
      </c>
      <c r="F24" s="53">
        <v>100100</v>
      </c>
      <c r="G24" s="53">
        <v>4794</v>
      </c>
      <c r="H24" s="53">
        <v>636514000</v>
      </c>
    </row>
    <row r="25" spans="1:8" x14ac:dyDescent="0.3">
      <c r="A25" s="53">
        <v>200100</v>
      </c>
      <c r="B25" s="53">
        <v>1063</v>
      </c>
      <c r="C25" s="53">
        <v>283859000</v>
      </c>
      <c r="D25" s="54">
        <v>1.8544611189550857</v>
      </c>
      <c r="F25" s="53">
        <v>200100</v>
      </c>
      <c r="G25" s="53">
        <v>1063</v>
      </c>
      <c r="H25" s="53">
        <v>283859000</v>
      </c>
    </row>
    <row r="26" spans="1:8" x14ac:dyDescent="0.3">
      <c r="A26" s="53">
        <v>400000</v>
      </c>
      <c r="B26" s="53">
        <v>276</v>
      </c>
      <c r="C26" s="53">
        <v>213014000</v>
      </c>
      <c r="D26" s="54">
        <v>1.9294746376811593</v>
      </c>
      <c r="F26" s="53">
        <v>400000</v>
      </c>
      <c r="G26" s="53">
        <v>276</v>
      </c>
      <c r="H26" s="53">
        <v>213014000</v>
      </c>
    </row>
    <row r="27" spans="1:8" x14ac:dyDescent="0.3">
      <c r="A27" s="51" t="s">
        <v>56</v>
      </c>
      <c r="B27" s="51" t="s">
        <v>177</v>
      </c>
      <c r="C27" s="51" t="s">
        <v>178</v>
      </c>
      <c r="D27" s="52" t="s">
        <v>59</v>
      </c>
    </row>
    <row r="28" spans="1:8" x14ac:dyDescent="0.3">
      <c r="A28" s="53">
        <v>70100</v>
      </c>
      <c r="B28" s="53">
        <v>176514</v>
      </c>
      <c r="C28" s="53">
        <v>13189738000</v>
      </c>
      <c r="D28" s="54">
        <v>1.6287214223817099</v>
      </c>
      <c r="F28" s="53">
        <v>70100</v>
      </c>
      <c r="G28" s="53">
        <v>176514</v>
      </c>
      <c r="H28" s="53">
        <v>13189738000</v>
      </c>
    </row>
    <row r="29" spans="1:8" x14ac:dyDescent="0.3">
      <c r="A29" s="53">
        <v>80100</v>
      </c>
      <c r="B29" s="53">
        <v>185591</v>
      </c>
      <c r="C29" s="53">
        <v>16457786000</v>
      </c>
      <c r="D29" s="54">
        <v>1.6425910193103661</v>
      </c>
      <c r="F29" s="53">
        <v>80100</v>
      </c>
      <c r="G29" s="53">
        <v>185591</v>
      </c>
      <c r="H29" s="53">
        <v>16457786000</v>
      </c>
    </row>
    <row r="30" spans="1:8" x14ac:dyDescent="0.3">
      <c r="A30" s="53">
        <v>100100</v>
      </c>
      <c r="B30" s="53">
        <v>175479</v>
      </c>
      <c r="C30" s="53">
        <v>22802292000</v>
      </c>
      <c r="D30" s="54">
        <v>1.6848997264091603</v>
      </c>
      <c r="F30" s="53">
        <v>100100</v>
      </c>
      <c r="G30" s="53">
        <v>175479</v>
      </c>
      <c r="H30" s="53">
        <v>22802292000</v>
      </c>
    </row>
    <row r="31" spans="1:8" x14ac:dyDescent="0.3">
      <c r="A31" s="53">
        <v>200100</v>
      </c>
      <c r="B31" s="53">
        <v>31829</v>
      </c>
      <c r="C31" s="53">
        <v>8359605000</v>
      </c>
      <c r="D31" s="54">
        <v>1.7096257722406316</v>
      </c>
      <c r="F31" s="53">
        <v>200100</v>
      </c>
      <c r="G31" s="53">
        <v>31829</v>
      </c>
      <c r="H31" s="53">
        <v>8359605000</v>
      </c>
    </row>
    <row r="32" spans="1:8" x14ac:dyDescent="0.3">
      <c r="A32" s="53">
        <v>400000</v>
      </c>
      <c r="B32" s="53">
        <v>7342</v>
      </c>
      <c r="C32" s="53">
        <v>5040642000</v>
      </c>
      <c r="D32" s="54">
        <v>1.7163722418959413</v>
      </c>
      <c r="F32" s="53">
        <v>400000</v>
      </c>
      <c r="G32" s="53">
        <v>7342</v>
      </c>
      <c r="H32" s="53">
        <v>5040642000</v>
      </c>
    </row>
    <row r="33" spans="1:8" x14ac:dyDescent="0.3">
      <c r="A33" s="51" t="s">
        <v>56</v>
      </c>
      <c r="B33" s="51" t="s">
        <v>179</v>
      </c>
      <c r="C33" s="51" t="s">
        <v>71</v>
      </c>
      <c r="D33" s="52" t="s">
        <v>59</v>
      </c>
    </row>
    <row r="34" spans="1:8" x14ac:dyDescent="0.3">
      <c r="A34" s="53">
        <v>70100</v>
      </c>
      <c r="B34" s="53">
        <v>168283</v>
      </c>
      <c r="C34" s="53">
        <v>12586171000</v>
      </c>
      <c r="D34" s="54">
        <v>1.7147484843293641</v>
      </c>
      <c r="F34" s="53">
        <v>70100</v>
      </c>
      <c r="G34" s="53">
        <v>168283</v>
      </c>
      <c r="H34" s="53">
        <v>12586171000</v>
      </c>
    </row>
    <row r="35" spans="1:8" x14ac:dyDescent="0.3">
      <c r="A35" s="53">
        <v>80100</v>
      </c>
      <c r="B35" s="53">
        <v>190209</v>
      </c>
      <c r="C35" s="53">
        <v>16891090000</v>
      </c>
      <c r="D35" s="54">
        <v>1.7151747577631054</v>
      </c>
      <c r="F35" s="53">
        <v>80100</v>
      </c>
      <c r="G35" s="53">
        <v>190209</v>
      </c>
      <c r="H35" s="53">
        <v>16891090000</v>
      </c>
    </row>
    <row r="36" spans="1:8" x14ac:dyDescent="0.3">
      <c r="A36" s="53">
        <v>100100</v>
      </c>
      <c r="B36" s="53">
        <v>202360</v>
      </c>
      <c r="C36" s="53">
        <v>26558240000</v>
      </c>
      <c r="D36" s="54">
        <v>1.7351132687341413</v>
      </c>
      <c r="F36" s="53">
        <v>100100</v>
      </c>
      <c r="G36" s="53">
        <v>202360</v>
      </c>
      <c r="H36" s="53">
        <v>26558240000</v>
      </c>
    </row>
    <row r="37" spans="1:8" x14ac:dyDescent="0.3">
      <c r="A37" s="53">
        <v>200100</v>
      </c>
      <c r="B37" s="53">
        <v>42445</v>
      </c>
      <c r="C37" s="53">
        <v>11213058000</v>
      </c>
      <c r="D37" s="54">
        <v>1.6900237206635125</v>
      </c>
      <c r="F37" s="53">
        <v>200100</v>
      </c>
      <c r="G37" s="53">
        <v>42445</v>
      </c>
      <c r="H37" s="53">
        <v>11213058000</v>
      </c>
    </row>
    <row r="38" spans="1:8" x14ac:dyDescent="0.3">
      <c r="A38" s="53">
        <v>400000</v>
      </c>
      <c r="B38" s="53">
        <v>9769</v>
      </c>
      <c r="C38" s="53">
        <v>6444346000</v>
      </c>
      <c r="D38" s="54">
        <v>1.6491826184870508</v>
      </c>
      <c r="F38" s="53">
        <v>400000</v>
      </c>
      <c r="G38" s="53">
        <v>9769</v>
      </c>
      <c r="H38" s="53">
        <v>6444346000</v>
      </c>
    </row>
    <row r="39" spans="1:8" x14ac:dyDescent="0.3">
      <c r="A39" s="51" t="s">
        <v>56</v>
      </c>
      <c r="B39" s="51" t="s">
        <v>180</v>
      </c>
      <c r="C39" s="51" t="s">
        <v>73</v>
      </c>
      <c r="D39" s="52" t="s">
        <v>59</v>
      </c>
    </row>
    <row r="40" spans="1:8" x14ac:dyDescent="0.3">
      <c r="A40" s="53">
        <v>70100</v>
      </c>
      <c r="B40" s="53">
        <v>48310</v>
      </c>
      <c r="C40" s="53">
        <v>3616511000</v>
      </c>
      <c r="D40" s="54">
        <v>1.9083544877656466</v>
      </c>
      <c r="F40" s="53">
        <v>70100</v>
      </c>
      <c r="G40" s="53">
        <v>48310</v>
      </c>
      <c r="H40" s="53">
        <v>3616511000</v>
      </c>
    </row>
    <row r="41" spans="1:8" x14ac:dyDescent="0.3">
      <c r="A41" s="53">
        <v>80100</v>
      </c>
      <c r="B41" s="53">
        <v>60516</v>
      </c>
      <c r="C41" s="53">
        <v>5389331000</v>
      </c>
      <c r="D41" s="54">
        <v>1.8816880439277388</v>
      </c>
      <c r="F41" s="53">
        <v>80100</v>
      </c>
      <c r="G41" s="53">
        <v>60516</v>
      </c>
      <c r="H41" s="53">
        <v>5389331000</v>
      </c>
    </row>
    <row r="42" spans="1:8" x14ac:dyDescent="0.3">
      <c r="A42" s="53">
        <v>100100</v>
      </c>
      <c r="B42" s="53">
        <v>81293</v>
      </c>
      <c r="C42" s="53">
        <v>10851938000</v>
      </c>
      <c r="D42" s="54">
        <v>1.8527691531182338</v>
      </c>
      <c r="F42" s="53">
        <v>100100</v>
      </c>
      <c r="G42" s="53">
        <v>81293</v>
      </c>
      <c r="H42" s="53">
        <v>10851938000</v>
      </c>
    </row>
    <row r="43" spans="1:8" x14ac:dyDescent="0.3">
      <c r="A43" s="53">
        <v>200100</v>
      </c>
      <c r="B43" s="53">
        <v>20806</v>
      </c>
      <c r="C43" s="53">
        <v>5534216000</v>
      </c>
      <c r="D43" s="54">
        <v>1.734808778069254</v>
      </c>
      <c r="F43" s="53">
        <v>200100</v>
      </c>
      <c r="G43" s="53">
        <v>20806</v>
      </c>
      <c r="H43" s="53">
        <v>5534216000</v>
      </c>
    </row>
    <row r="44" spans="1:8" x14ac:dyDescent="0.3">
      <c r="A44" s="53">
        <v>400000</v>
      </c>
      <c r="B44" s="53">
        <v>5326</v>
      </c>
      <c r="C44" s="53">
        <v>3537122000</v>
      </c>
      <c r="D44" s="54">
        <v>1.6603088621855049</v>
      </c>
      <c r="F44" s="53">
        <v>400000</v>
      </c>
      <c r="G44" s="53">
        <v>5326</v>
      </c>
      <c r="H44" s="53">
        <v>3537122000</v>
      </c>
    </row>
    <row r="45" spans="1:8" x14ac:dyDescent="0.3">
      <c r="A45" s="51" t="s">
        <v>56</v>
      </c>
      <c r="B45" s="51" t="s">
        <v>181</v>
      </c>
      <c r="C45" s="51" t="s">
        <v>75</v>
      </c>
      <c r="D45" s="52" t="s">
        <v>59</v>
      </c>
    </row>
    <row r="46" spans="1:8" x14ac:dyDescent="0.3">
      <c r="A46" s="53">
        <v>70100</v>
      </c>
      <c r="B46" s="53">
        <v>10835</v>
      </c>
      <c r="C46" s="53">
        <v>811018000</v>
      </c>
      <c r="D46" s="54">
        <v>2.066051026349915</v>
      </c>
      <c r="F46" s="53">
        <v>70100</v>
      </c>
      <c r="G46" s="53">
        <v>10835</v>
      </c>
      <c r="H46" s="53">
        <v>811018000</v>
      </c>
    </row>
    <row r="47" spans="1:8" x14ac:dyDescent="0.3">
      <c r="A47" s="53">
        <v>80100</v>
      </c>
      <c r="B47" s="53">
        <v>14281</v>
      </c>
      <c r="C47" s="53">
        <v>1274716000</v>
      </c>
      <c r="D47" s="54">
        <v>2.0163735005192422</v>
      </c>
      <c r="F47" s="53">
        <v>80100</v>
      </c>
      <c r="G47" s="53">
        <v>14281</v>
      </c>
      <c r="H47" s="53">
        <v>1274716000</v>
      </c>
    </row>
    <row r="48" spans="1:8" x14ac:dyDescent="0.3">
      <c r="A48" s="53">
        <v>100100</v>
      </c>
      <c r="B48" s="53">
        <v>22890</v>
      </c>
      <c r="C48" s="53">
        <v>3090179000</v>
      </c>
      <c r="D48" s="54">
        <v>1.9441827901342852</v>
      </c>
      <c r="F48" s="53">
        <v>100100</v>
      </c>
      <c r="G48" s="53">
        <v>22890</v>
      </c>
      <c r="H48" s="53">
        <v>3090179000</v>
      </c>
    </row>
    <row r="49" spans="1:8" x14ac:dyDescent="0.3">
      <c r="A49" s="53">
        <v>200100</v>
      </c>
      <c r="B49" s="53">
        <v>6468</v>
      </c>
      <c r="C49" s="53">
        <v>1715273000</v>
      </c>
      <c r="D49" s="54">
        <v>1.7959433709853596</v>
      </c>
      <c r="F49" s="53">
        <v>200100</v>
      </c>
      <c r="G49" s="53">
        <v>6468</v>
      </c>
      <c r="H49" s="53">
        <v>1715273000</v>
      </c>
    </row>
    <row r="50" spans="1:8" x14ac:dyDescent="0.3">
      <c r="A50" s="53">
        <v>400000</v>
      </c>
      <c r="B50" s="53">
        <v>1814</v>
      </c>
      <c r="C50" s="53">
        <v>1261015000</v>
      </c>
      <c r="D50" s="54">
        <v>1.7378927783902975</v>
      </c>
      <c r="F50" s="53">
        <v>400000</v>
      </c>
      <c r="G50" s="53">
        <v>1814</v>
      </c>
      <c r="H50" s="53">
        <v>1261015000</v>
      </c>
    </row>
    <row r="51" spans="1:8" x14ac:dyDescent="0.3">
      <c r="A51" s="51" t="s">
        <v>56</v>
      </c>
      <c r="B51" s="51" t="s">
        <v>182</v>
      </c>
      <c r="C51" s="51" t="s">
        <v>77</v>
      </c>
      <c r="D51" s="52" t="s">
        <v>59</v>
      </c>
    </row>
    <row r="52" spans="1:8" x14ac:dyDescent="0.3">
      <c r="A52" s="53">
        <v>70100</v>
      </c>
      <c r="B52" s="53">
        <v>310</v>
      </c>
      <c r="C52" s="53">
        <v>23152000</v>
      </c>
      <c r="D52" s="54">
        <v>2.023740335675666</v>
      </c>
      <c r="F52" s="53">
        <v>70100</v>
      </c>
      <c r="G52" s="53">
        <v>310</v>
      </c>
      <c r="H52" s="53">
        <v>23152000</v>
      </c>
    </row>
    <row r="53" spans="1:8" x14ac:dyDescent="0.3">
      <c r="A53" s="53">
        <v>80100</v>
      </c>
      <c r="B53" s="53">
        <v>347</v>
      </c>
      <c r="C53" s="53">
        <v>30841000</v>
      </c>
      <c r="D53" s="54">
        <v>2.0147613046952788</v>
      </c>
      <c r="F53" s="53">
        <v>80100</v>
      </c>
      <c r="G53" s="53">
        <v>347</v>
      </c>
      <c r="H53" s="53">
        <v>30841000</v>
      </c>
    </row>
    <row r="54" spans="1:8" x14ac:dyDescent="0.3">
      <c r="A54" s="53">
        <v>100100</v>
      </c>
      <c r="B54" s="53">
        <v>513</v>
      </c>
      <c r="C54" s="53">
        <v>68609000</v>
      </c>
      <c r="D54" s="54">
        <v>1.9612887112887112</v>
      </c>
      <c r="F54" s="53">
        <v>100100</v>
      </c>
      <c r="G54" s="53">
        <v>513</v>
      </c>
      <c r="H54" s="53">
        <v>68609000</v>
      </c>
    </row>
    <row r="55" spans="1:8" x14ac:dyDescent="0.3">
      <c r="A55" s="53">
        <v>200100</v>
      </c>
      <c r="B55" s="53">
        <v>165</v>
      </c>
      <c r="C55" s="53">
        <v>43857000</v>
      </c>
      <c r="D55" s="54">
        <v>1.7562474801246719</v>
      </c>
      <c r="F55" s="53">
        <v>200100</v>
      </c>
      <c r="G55" s="53">
        <v>165</v>
      </c>
      <c r="H55" s="53">
        <v>43857000</v>
      </c>
    </row>
    <row r="56" spans="1:8" x14ac:dyDescent="0.3">
      <c r="A56" s="53">
        <v>400000</v>
      </c>
      <c r="B56" s="53">
        <v>42</v>
      </c>
      <c r="C56" s="53">
        <v>28888000</v>
      </c>
      <c r="D56" s="54">
        <v>1.7195238095238095</v>
      </c>
      <c r="F56" s="53">
        <v>400000</v>
      </c>
      <c r="G56" s="53">
        <v>42</v>
      </c>
      <c r="H56" s="53">
        <v>28888000</v>
      </c>
    </row>
    <row r="57" spans="1:8" x14ac:dyDescent="0.3">
      <c r="A57" s="51" t="s">
        <v>56</v>
      </c>
      <c r="B57" s="51" t="s">
        <v>183</v>
      </c>
      <c r="C57" s="51" t="s">
        <v>79</v>
      </c>
      <c r="D57" s="52" t="s">
        <v>59</v>
      </c>
    </row>
    <row r="58" spans="1:8" x14ac:dyDescent="0.3">
      <c r="A58" s="53">
        <v>70100</v>
      </c>
      <c r="B58" s="53">
        <v>2586</v>
      </c>
      <c r="C58" s="53">
        <v>193395000</v>
      </c>
      <c r="D58" s="54">
        <v>2.1438378764177308</v>
      </c>
      <c r="F58" s="53">
        <v>70100</v>
      </c>
      <c r="G58" s="53">
        <v>2586</v>
      </c>
      <c r="H58" s="53">
        <v>193395000</v>
      </c>
    </row>
    <row r="59" spans="1:8" x14ac:dyDescent="0.3">
      <c r="A59" s="53">
        <v>80100</v>
      </c>
      <c r="B59" s="53">
        <v>3375</v>
      </c>
      <c r="C59" s="53">
        <v>301714000</v>
      </c>
      <c r="D59" s="54">
        <v>2.0913030012457954</v>
      </c>
      <c r="F59" s="53">
        <v>80100</v>
      </c>
      <c r="G59" s="53">
        <v>3375</v>
      </c>
      <c r="H59" s="53">
        <v>301714000</v>
      </c>
    </row>
    <row r="60" spans="1:8" x14ac:dyDescent="0.3">
      <c r="A60" s="53">
        <v>100100</v>
      </c>
      <c r="B60" s="53">
        <v>5705</v>
      </c>
      <c r="C60" s="53">
        <v>777574000</v>
      </c>
      <c r="D60" s="54">
        <v>2.0045063031488373</v>
      </c>
      <c r="F60" s="53">
        <v>100100</v>
      </c>
      <c r="G60" s="53">
        <v>5705</v>
      </c>
      <c r="H60" s="53">
        <v>777574000</v>
      </c>
    </row>
    <row r="61" spans="1:8" x14ac:dyDescent="0.3">
      <c r="A61" s="53">
        <v>200100</v>
      </c>
      <c r="B61" s="53">
        <v>1770</v>
      </c>
      <c r="C61" s="53">
        <v>469701000</v>
      </c>
      <c r="D61" s="54">
        <v>1.8178516250537546</v>
      </c>
      <c r="F61" s="53">
        <v>200100</v>
      </c>
      <c r="G61" s="53">
        <v>1770</v>
      </c>
      <c r="H61" s="53">
        <v>469701000</v>
      </c>
    </row>
    <row r="62" spans="1:8" x14ac:dyDescent="0.3">
      <c r="A62" s="53">
        <v>400000</v>
      </c>
      <c r="B62" s="53">
        <v>481</v>
      </c>
      <c r="C62" s="53">
        <v>349105000</v>
      </c>
      <c r="D62" s="54">
        <v>1.8144750519750521</v>
      </c>
      <c r="F62" s="53">
        <v>400000</v>
      </c>
      <c r="G62" s="53">
        <v>481</v>
      </c>
      <c r="H62" s="53">
        <v>349105000</v>
      </c>
    </row>
    <row r="63" spans="1:8" x14ac:dyDescent="0.3">
      <c r="A63" s="51" t="s">
        <v>56</v>
      </c>
      <c r="B63" s="51" t="s">
        <v>184</v>
      </c>
      <c r="C63" s="51" t="s">
        <v>81</v>
      </c>
      <c r="D63" s="52" t="s">
        <v>59</v>
      </c>
    </row>
    <row r="64" spans="1:8" x14ac:dyDescent="0.3">
      <c r="A64" s="53">
        <v>70100</v>
      </c>
      <c r="B64" s="53">
        <v>845</v>
      </c>
      <c r="C64" s="53">
        <v>63068000</v>
      </c>
      <c r="D64" s="54">
        <v>2.1218544795330017</v>
      </c>
      <c r="F64" s="53">
        <v>70100</v>
      </c>
      <c r="G64" s="53">
        <v>845</v>
      </c>
      <c r="H64" s="53">
        <v>63068000</v>
      </c>
    </row>
    <row r="65" spans="1:8" x14ac:dyDescent="0.3">
      <c r="A65" s="53">
        <v>80100</v>
      </c>
      <c r="B65" s="53">
        <v>917</v>
      </c>
      <c r="C65" s="53">
        <v>81608000</v>
      </c>
      <c r="D65" s="54">
        <v>2.0999628611577772</v>
      </c>
      <c r="F65" s="53">
        <v>80100</v>
      </c>
      <c r="G65" s="53">
        <v>917</v>
      </c>
      <c r="H65" s="53">
        <v>81608000</v>
      </c>
    </row>
    <row r="66" spans="1:8" x14ac:dyDescent="0.3">
      <c r="A66" s="53">
        <v>100100</v>
      </c>
      <c r="B66" s="53">
        <v>1648</v>
      </c>
      <c r="C66" s="53">
        <v>226966000</v>
      </c>
      <c r="D66" s="54">
        <v>1.9958910654562829</v>
      </c>
      <c r="F66" s="53">
        <v>100100</v>
      </c>
      <c r="G66" s="53">
        <v>1648</v>
      </c>
      <c r="H66" s="53">
        <v>226966000</v>
      </c>
    </row>
    <row r="67" spans="1:8" x14ac:dyDescent="0.3">
      <c r="A67" s="53">
        <v>200100</v>
      </c>
      <c r="B67" s="53">
        <v>494</v>
      </c>
      <c r="C67" s="53">
        <v>132020000</v>
      </c>
      <c r="D67" s="54">
        <v>1.7824523321161505</v>
      </c>
      <c r="F67" s="53">
        <v>200100</v>
      </c>
      <c r="G67" s="53">
        <v>494</v>
      </c>
      <c r="H67" s="53">
        <v>132020000</v>
      </c>
    </row>
    <row r="68" spans="1:8" x14ac:dyDescent="0.3">
      <c r="A68" s="53">
        <v>400000</v>
      </c>
      <c r="B68" s="53">
        <v>158</v>
      </c>
      <c r="C68" s="53">
        <v>100528000</v>
      </c>
      <c r="D68" s="54">
        <v>1.5906329113924049</v>
      </c>
      <c r="F68" s="53">
        <v>400000</v>
      </c>
      <c r="G68" s="53">
        <v>158</v>
      </c>
      <c r="H68" s="53">
        <v>100528000</v>
      </c>
    </row>
    <row r="69" spans="1:8" x14ac:dyDescent="0.3">
      <c r="A69" s="51" t="s">
        <v>56</v>
      </c>
      <c r="B69" s="51" t="s">
        <v>185</v>
      </c>
      <c r="C69" s="51" t="s">
        <v>83</v>
      </c>
      <c r="D69" s="52" t="s">
        <v>59</v>
      </c>
    </row>
    <row r="70" spans="1:8" x14ac:dyDescent="0.3">
      <c r="A70" s="53">
        <v>70100</v>
      </c>
      <c r="B70" s="53">
        <v>255</v>
      </c>
      <c r="C70" s="53">
        <v>19033000</v>
      </c>
      <c r="D70" s="54">
        <v>2.1603231493101278</v>
      </c>
      <c r="F70" s="53">
        <v>70100</v>
      </c>
      <c r="G70" s="53">
        <v>255</v>
      </c>
      <c r="H70" s="53">
        <v>19033000</v>
      </c>
    </row>
    <row r="71" spans="1:8" x14ac:dyDescent="0.3">
      <c r="A71" s="53">
        <v>80100</v>
      </c>
      <c r="B71" s="53">
        <v>300</v>
      </c>
      <c r="C71" s="53">
        <v>26703000</v>
      </c>
      <c r="D71" s="54">
        <v>2.1370841891184407</v>
      </c>
      <c r="F71" s="53">
        <v>80100</v>
      </c>
      <c r="G71" s="53">
        <v>300</v>
      </c>
      <c r="H71" s="53">
        <v>26703000</v>
      </c>
    </row>
    <row r="72" spans="1:8" x14ac:dyDescent="0.3">
      <c r="A72" s="53">
        <v>100100</v>
      </c>
      <c r="B72" s="53">
        <v>472</v>
      </c>
      <c r="C72" s="53">
        <v>64257000</v>
      </c>
      <c r="D72" s="54">
        <v>2.0659687133675573</v>
      </c>
      <c r="F72" s="53">
        <v>100100</v>
      </c>
      <c r="G72" s="53">
        <v>472</v>
      </c>
      <c r="H72" s="53">
        <v>64257000</v>
      </c>
    </row>
    <row r="73" spans="1:8" x14ac:dyDescent="0.3">
      <c r="A73" s="53">
        <v>200100</v>
      </c>
      <c r="B73" s="53">
        <v>175</v>
      </c>
      <c r="C73" s="53">
        <v>47573000</v>
      </c>
      <c r="D73" s="54">
        <v>1.7911725955204216</v>
      </c>
      <c r="F73" s="53">
        <v>200100</v>
      </c>
      <c r="G73" s="53">
        <v>175</v>
      </c>
      <c r="H73" s="53">
        <v>47573000</v>
      </c>
    </row>
    <row r="74" spans="1:8" x14ac:dyDescent="0.3">
      <c r="A74" s="53">
        <v>400000</v>
      </c>
      <c r="B74" s="53">
        <v>45</v>
      </c>
      <c r="C74" s="53">
        <v>31278000</v>
      </c>
      <c r="D74" s="54">
        <v>1.7376666666666665</v>
      </c>
      <c r="F74" s="53">
        <v>400000</v>
      </c>
      <c r="G74" s="53">
        <v>45</v>
      </c>
      <c r="H74" s="53">
        <v>31278000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opLeftCell="C1" workbookViewId="0">
      <selection activeCell="J8" sqref="J8"/>
    </sheetView>
  </sheetViews>
  <sheetFormatPr baseColWidth="10" defaultRowHeight="15.6" x14ac:dyDescent="0.3"/>
  <cols>
    <col min="12" max="12" width="13.296875" bestFit="1" customWidth="1"/>
  </cols>
  <sheetData>
    <row r="1" spans="1:15" x14ac:dyDescent="0.3">
      <c r="A1" s="79" t="s">
        <v>242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9890</v>
      </c>
      <c r="M3" t="s">
        <v>7</v>
      </c>
      <c r="N3" t="s">
        <v>8</v>
      </c>
      <c r="O3" t="s">
        <v>14</v>
      </c>
    </row>
    <row r="4" spans="1:15" x14ac:dyDescent="0.3">
      <c r="A4" s="53">
        <v>70100</v>
      </c>
      <c r="B4" s="53">
        <v>43778</v>
      </c>
      <c r="C4" s="53">
        <v>3267338000</v>
      </c>
      <c r="D4" s="54">
        <v>1.6590990133921</v>
      </c>
      <c r="F4" s="53">
        <v>70100</v>
      </c>
      <c r="G4" s="53">
        <v>43778</v>
      </c>
      <c r="H4" s="53">
        <v>3267338000</v>
      </c>
      <c r="J4" s="53">
        <v>70100</v>
      </c>
      <c r="K4" s="2">
        <f>G4+G10+G16+G22+G28+G34+G40+G46+G52+G58+G64+G70</f>
        <v>888770</v>
      </c>
      <c r="L4" s="2">
        <f>H4+H10+H16+H22+H28+H34+H40+H46+H52+H58+H64+H70</f>
        <v>66473086000</v>
      </c>
      <c r="M4">
        <f>1-SUM(K4:$K$8)/$K$10</f>
        <v>0.86067979769256553</v>
      </c>
      <c r="N4">
        <f>SUM(L4:$L$8)/(J4*SUM(K4:$K$8))</f>
        <v>1.7159482922373765</v>
      </c>
      <c r="O4">
        <f>(G4+G10+G22)/K4</f>
        <v>8.6638837944575081E-2</v>
      </c>
    </row>
    <row r="5" spans="1:15" x14ac:dyDescent="0.3">
      <c r="A5" s="53">
        <v>80100</v>
      </c>
      <c r="B5" s="53">
        <v>42500</v>
      </c>
      <c r="C5" s="53">
        <v>3766577000</v>
      </c>
      <c r="D5" s="54">
        <v>1.69524997002297</v>
      </c>
      <c r="F5" s="53">
        <v>80100</v>
      </c>
      <c r="G5" s="53">
        <v>42500</v>
      </c>
      <c r="H5" s="53">
        <v>3766577000</v>
      </c>
      <c r="J5" s="53">
        <v>80100</v>
      </c>
      <c r="K5" s="2">
        <f t="shared" ref="K5:L8" si="0">G5+G11+G17+G23+G29+G35+G41+G47+G53+G59+G65+G71</f>
        <v>1019715</v>
      </c>
      <c r="L5" s="2">
        <f t="shared" si="0"/>
        <v>90625182000</v>
      </c>
      <c r="M5">
        <f>1-SUM(K5:$K$8)/$K$10</f>
        <v>0.89856852406169363</v>
      </c>
      <c r="N5">
        <f>SUM(L5:$L$8)/(J5*SUM(K5:$K$8))</f>
        <v>1.7138884336021967</v>
      </c>
      <c r="O5">
        <f t="shared" ref="O5:O8" si="1">(G5+G11+G23)/K5</f>
        <v>7.4646347263696233E-2</v>
      </c>
    </row>
    <row r="6" spans="1:15" x14ac:dyDescent="0.3">
      <c r="A6" s="53">
        <v>100100</v>
      </c>
      <c r="B6" s="53">
        <v>41477</v>
      </c>
      <c r="C6" s="53">
        <v>5411384000</v>
      </c>
      <c r="D6" s="54">
        <v>1.7483281719943105</v>
      </c>
      <c r="F6" s="53">
        <v>100100</v>
      </c>
      <c r="G6" s="53">
        <v>41477</v>
      </c>
      <c r="H6" s="53">
        <v>5411384000</v>
      </c>
      <c r="J6" s="53">
        <v>100100</v>
      </c>
      <c r="K6" s="2">
        <f t="shared" si="0"/>
        <v>1096447</v>
      </c>
      <c r="L6" s="2">
        <f t="shared" si="0"/>
        <v>143267772000</v>
      </c>
      <c r="M6">
        <f>1-SUM(K6:$K$8)/$K$10</f>
        <v>0.94203950374090817</v>
      </c>
      <c r="N6">
        <f>SUM(L6:$L$8)/(J6*SUM(K6:$K$8))</f>
        <v>1.7341661457839661</v>
      </c>
      <c r="O6">
        <f t="shared" si="1"/>
        <v>7.3604104895175049E-2</v>
      </c>
    </row>
    <row r="7" spans="1:15" x14ac:dyDescent="0.3">
      <c r="A7" s="53">
        <v>200100</v>
      </c>
      <c r="B7" s="53">
        <v>7603</v>
      </c>
      <c r="C7" s="53">
        <v>2000796000</v>
      </c>
      <c r="D7" s="54">
        <v>1.8329178777852095</v>
      </c>
      <c r="F7" s="53">
        <v>200100</v>
      </c>
      <c r="G7" s="53">
        <v>7603</v>
      </c>
      <c r="H7" s="53">
        <v>2000796000</v>
      </c>
      <c r="J7" s="53">
        <v>200100</v>
      </c>
      <c r="K7" s="2">
        <f t="shared" si="0"/>
        <v>210404</v>
      </c>
      <c r="L7" s="2">
        <f t="shared" si="0"/>
        <v>55620104000</v>
      </c>
      <c r="M7">
        <f>1-SUM(K7:$K$8)/$K$10</f>
        <v>0.98878160840381479</v>
      </c>
      <c r="N7">
        <f>SUM(L7:$L$8)/(J7*SUM(K7:$K$8))</f>
        <v>1.7613081783055666</v>
      </c>
      <c r="O7">
        <f t="shared" si="1"/>
        <v>7.5530883443280544E-2</v>
      </c>
    </row>
    <row r="8" spans="1:15" x14ac:dyDescent="0.3">
      <c r="A8" s="53">
        <v>400000</v>
      </c>
      <c r="B8" s="53">
        <v>2031</v>
      </c>
      <c r="C8" s="53">
        <v>1532636000</v>
      </c>
      <c r="D8" s="54">
        <v>1.8865534219596258</v>
      </c>
      <c r="F8" s="53">
        <v>400000</v>
      </c>
      <c r="G8" s="53">
        <v>2031</v>
      </c>
      <c r="H8" s="53">
        <v>1532636000</v>
      </c>
      <c r="J8" s="53">
        <v>400000</v>
      </c>
      <c r="K8" s="2">
        <f t="shared" si="0"/>
        <v>52750</v>
      </c>
      <c r="L8" s="2">
        <f>H8+H14+H20+H26+H32+H38+H44+H50+H56+H62+H68+H74</f>
        <v>37125304000</v>
      </c>
      <c r="M8">
        <f>1-SUM(K8:$K$8)/$K$10</f>
        <v>0.99775124012289851</v>
      </c>
      <c r="N8">
        <f>SUM(L8:$L$8)/(J8*SUM(K8:$K$8))</f>
        <v>1.7594930805687203</v>
      </c>
      <c r="O8">
        <f t="shared" si="1"/>
        <v>8.70521327014218E-2</v>
      </c>
    </row>
    <row r="9" spans="1:15" x14ac:dyDescent="0.3">
      <c r="A9" s="51" t="s">
        <v>56</v>
      </c>
      <c r="B9" s="51" t="s">
        <v>87</v>
      </c>
      <c r="C9" s="51" t="s">
        <v>61</v>
      </c>
      <c r="D9" s="52" t="s">
        <v>59</v>
      </c>
    </row>
    <row r="10" spans="1:15" x14ac:dyDescent="0.3">
      <c r="A10" s="53">
        <v>70100</v>
      </c>
      <c r="B10" s="53">
        <v>27105</v>
      </c>
      <c r="C10" s="53">
        <v>2023472000</v>
      </c>
      <c r="D10" s="54">
        <v>1.8527180203830227</v>
      </c>
      <c r="F10" s="53">
        <v>70100</v>
      </c>
      <c r="G10" s="53">
        <v>27105</v>
      </c>
      <c r="H10" s="53">
        <v>2023472000</v>
      </c>
      <c r="K10" s="61">
        <v>23457373.344810348</v>
      </c>
    </row>
    <row r="11" spans="1:15" x14ac:dyDescent="0.3">
      <c r="A11" s="53">
        <v>80100</v>
      </c>
      <c r="B11" s="53">
        <v>27623</v>
      </c>
      <c r="C11" s="53">
        <v>2451815000</v>
      </c>
      <c r="D11" s="54">
        <v>1.8912925522280304</v>
      </c>
      <c r="F11" s="53">
        <v>80100</v>
      </c>
      <c r="G11" s="53">
        <v>27623</v>
      </c>
      <c r="H11" s="53">
        <v>2451815000</v>
      </c>
    </row>
    <row r="12" spans="1:15" x14ac:dyDescent="0.3">
      <c r="A12" s="53">
        <v>100100</v>
      </c>
      <c r="B12" s="53">
        <v>32513</v>
      </c>
      <c r="C12" s="53">
        <v>4298029000</v>
      </c>
      <c r="D12" s="54">
        <v>1.9293594749516325</v>
      </c>
      <c r="F12" s="53">
        <v>100100</v>
      </c>
      <c r="G12" s="53">
        <v>32513</v>
      </c>
      <c r="H12" s="53">
        <v>4298029000</v>
      </c>
    </row>
    <row r="13" spans="1:15" x14ac:dyDescent="0.3">
      <c r="A13" s="53">
        <v>200100</v>
      </c>
      <c r="B13" s="53">
        <v>6904</v>
      </c>
      <c r="C13" s="53">
        <v>1840048000</v>
      </c>
      <c r="D13" s="54">
        <v>2.0524560913042271</v>
      </c>
      <c r="F13" s="53">
        <v>200100</v>
      </c>
      <c r="G13" s="53">
        <v>6904</v>
      </c>
      <c r="H13" s="53">
        <v>1840048000</v>
      </c>
    </row>
    <row r="14" spans="1:15" x14ac:dyDescent="0.3">
      <c r="A14" s="53">
        <v>400000</v>
      </c>
      <c r="B14" s="53">
        <v>2202</v>
      </c>
      <c r="C14" s="53">
        <v>1899754000</v>
      </c>
      <c r="D14" s="54">
        <v>2.1568505903723887</v>
      </c>
      <c r="F14" s="53">
        <v>400000</v>
      </c>
      <c r="G14" s="53">
        <v>2202</v>
      </c>
      <c r="H14" s="53">
        <v>1899754000</v>
      </c>
    </row>
    <row r="15" spans="1:15" x14ac:dyDescent="0.3">
      <c r="A15" s="51" t="s">
        <v>56</v>
      </c>
      <c r="B15" s="51" t="s">
        <v>173</v>
      </c>
      <c r="C15" s="51" t="s">
        <v>174</v>
      </c>
      <c r="D15" s="52" t="s">
        <v>59</v>
      </c>
    </row>
    <row r="16" spans="1:15" x14ac:dyDescent="0.3">
      <c r="A16" s="53">
        <v>70100</v>
      </c>
      <c r="B16" s="53">
        <v>278805</v>
      </c>
      <c r="C16" s="53">
        <v>20850975000</v>
      </c>
      <c r="D16" s="54">
        <v>1.7067001791536436</v>
      </c>
      <c r="F16" s="53">
        <v>70100</v>
      </c>
      <c r="G16" s="53">
        <v>278805</v>
      </c>
      <c r="H16" s="53">
        <v>20850975000</v>
      </c>
    </row>
    <row r="17" spans="1:8" x14ac:dyDescent="0.3">
      <c r="A17" s="53">
        <v>80100</v>
      </c>
      <c r="B17" s="53">
        <v>314490</v>
      </c>
      <c r="C17" s="53">
        <v>27934485000</v>
      </c>
      <c r="D17" s="54">
        <v>1.7091620587630576</v>
      </c>
      <c r="F17" s="53">
        <v>80100</v>
      </c>
      <c r="G17" s="53">
        <v>314490</v>
      </c>
      <c r="H17" s="53">
        <v>27934485000</v>
      </c>
    </row>
    <row r="18" spans="1:8" x14ac:dyDescent="0.3">
      <c r="A18" s="53">
        <v>100100</v>
      </c>
      <c r="B18" s="53">
        <v>334284</v>
      </c>
      <c r="C18" s="53">
        <v>43627971000</v>
      </c>
      <c r="D18" s="54">
        <v>1.7362273009081239</v>
      </c>
      <c r="F18" s="53">
        <v>100100</v>
      </c>
      <c r="G18" s="53">
        <v>334284</v>
      </c>
      <c r="H18" s="53">
        <v>43627971000</v>
      </c>
    </row>
    <row r="19" spans="1:8" x14ac:dyDescent="0.3">
      <c r="A19" s="53">
        <v>200100</v>
      </c>
      <c r="B19" s="53">
        <v>59480</v>
      </c>
      <c r="C19" s="53">
        <v>15699525000</v>
      </c>
      <c r="D19" s="54">
        <v>1.8254557927541715</v>
      </c>
      <c r="F19" s="53">
        <v>200100</v>
      </c>
      <c r="G19" s="53">
        <v>59480</v>
      </c>
      <c r="H19" s="53">
        <v>15699525000</v>
      </c>
    </row>
    <row r="20" spans="1:8" x14ac:dyDescent="0.3">
      <c r="A20" s="53">
        <v>400000</v>
      </c>
      <c r="B20" s="53">
        <v>16087</v>
      </c>
      <c r="C20" s="53">
        <v>11903113000</v>
      </c>
      <c r="D20" s="54">
        <v>1.8498031018835086</v>
      </c>
      <c r="F20" s="53">
        <v>400000</v>
      </c>
      <c r="G20" s="53">
        <v>16087</v>
      </c>
      <c r="H20" s="53">
        <v>11903113000</v>
      </c>
    </row>
    <row r="21" spans="1:8" x14ac:dyDescent="0.3">
      <c r="A21" s="51" t="s">
        <v>56</v>
      </c>
      <c r="B21" s="51" t="s">
        <v>175</v>
      </c>
      <c r="C21" s="51" t="s">
        <v>176</v>
      </c>
      <c r="D21" s="52" t="s">
        <v>59</v>
      </c>
    </row>
    <row r="22" spans="1:8" x14ac:dyDescent="0.3">
      <c r="A22" s="53">
        <v>70100</v>
      </c>
      <c r="B22" s="53">
        <v>6119</v>
      </c>
      <c r="C22" s="53">
        <v>457256000</v>
      </c>
      <c r="D22" s="54">
        <v>1.7483402357694942</v>
      </c>
      <c r="F22" s="53">
        <v>70100</v>
      </c>
      <c r="G22" s="53">
        <v>6119</v>
      </c>
      <c r="H22" s="53">
        <v>457256000</v>
      </c>
    </row>
    <row r="23" spans="1:8" x14ac:dyDescent="0.3">
      <c r="A23" s="53">
        <v>80100</v>
      </c>
      <c r="B23" s="53">
        <v>5995</v>
      </c>
      <c r="C23" s="53">
        <v>531809000</v>
      </c>
      <c r="D23" s="54">
        <v>1.7829031866822989</v>
      </c>
      <c r="F23" s="53">
        <v>80100</v>
      </c>
      <c r="G23" s="53">
        <v>5995</v>
      </c>
      <c r="H23" s="53">
        <v>531809000</v>
      </c>
    </row>
    <row r="24" spans="1:8" x14ac:dyDescent="0.3">
      <c r="A24" s="53">
        <v>100100</v>
      </c>
      <c r="B24" s="53">
        <v>6713</v>
      </c>
      <c r="C24" s="53">
        <v>885580000</v>
      </c>
      <c r="D24" s="54">
        <v>1.8098125121892414</v>
      </c>
      <c r="F24" s="53">
        <v>100100</v>
      </c>
      <c r="G24" s="53">
        <v>6713</v>
      </c>
      <c r="H24" s="53">
        <v>885580000</v>
      </c>
    </row>
    <row r="25" spans="1:8" x14ac:dyDescent="0.3">
      <c r="A25" s="53">
        <v>200100</v>
      </c>
      <c r="B25" s="53">
        <v>1385</v>
      </c>
      <c r="C25" s="53">
        <v>363564000</v>
      </c>
      <c r="D25" s="54">
        <v>1.8525972105690276</v>
      </c>
      <c r="F25" s="53">
        <v>200100</v>
      </c>
      <c r="G25" s="53">
        <v>1385</v>
      </c>
      <c r="H25" s="53">
        <v>363564000</v>
      </c>
    </row>
    <row r="26" spans="1:8" x14ac:dyDescent="0.3">
      <c r="A26" s="53">
        <v>400000</v>
      </c>
      <c r="B26" s="53">
        <v>359</v>
      </c>
      <c r="C26" s="53">
        <v>282945000</v>
      </c>
      <c r="D26" s="54">
        <v>1.9703690807799441</v>
      </c>
      <c r="F26" s="53">
        <v>400000</v>
      </c>
      <c r="G26" s="53">
        <v>359</v>
      </c>
      <c r="H26" s="53">
        <v>282945000</v>
      </c>
    </row>
    <row r="27" spans="1:8" x14ac:dyDescent="0.3">
      <c r="A27" s="51" t="s">
        <v>56</v>
      </c>
      <c r="B27" s="51" t="s">
        <v>177</v>
      </c>
      <c r="C27" s="51" t="s">
        <v>178</v>
      </c>
      <c r="D27" s="52" t="s">
        <v>59</v>
      </c>
    </row>
    <row r="28" spans="1:8" x14ac:dyDescent="0.3">
      <c r="A28" s="53">
        <v>70100</v>
      </c>
      <c r="B28" s="53">
        <v>237108</v>
      </c>
      <c r="C28" s="53">
        <v>17732356000</v>
      </c>
      <c r="D28" s="54">
        <v>1.6148264750397687</v>
      </c>
      <c r="F28" s="53">
        <v>70100</v>
      </c>
      <c r="G28" s="53">
        <v>237108</v>
      </c>
      <c r="H28" s="53">
        <v>17732356000</v>
      </c>
    </row>
    <row r="29" spans="1:8" x14ac:dyDescent="0.3">
      <c r="A29" s="53">
        <v>80100</v>
      </c>
      <c r="B29" s="53">
        <v>262965</v>
      </c>
      <c r="C29" s="53">
        <v>23349018000</v>
      </c>
      <c r="D29" s="54">
        <v>1.6145232573784964</v>
      </c>
      <c r="F29" s="53">
        <v>80100</v>
      </c>
      <c r="G29" s="53">
        <v>262965</v>
      </c>
      <c r="H29" s="53">
        <v>23349018000</v>
      </c>
    </row>
    <row r="30" spans="1:8" x14ac:dyDescent="0.3">
      <c r="A30" s="53">
        <v>100100</v>
      </c>
      <c r="B30" s="53">
        <v>251222</v>
      </c>
      <c r="C30" s="53">
        <v>32429195000</v>
      </c>
      <c r="D30" s="54">
        <v>1.6446179063140791</v>
      </c>
      <c r="F30" s="53">
        <v>100100</v>
      </c>
      <c r="G30" s="53">
        <v>251222</v>
      </c>
      <c r="H30" s="53">
        <v>32429195000</v>
      </c>
    </row>
    <row r="31" spans="1:8" x14ac:dyDescent="0.3">
      <c r="A31" s="53">
        <v>200100</v>
      </c>
      <c r="B31" s="53">
        <v>41245</v>
      </c>
      <c r="C31" s="53">
        <v>10840873000</v>
      </c>
      <c r="D31" s="54">
        <v>1.7029281504672082</v>
      </c>
      <c r="F31" s="53">
        <v>200100</v>
      </c>
      <c r="G31" s="53">
        <v>41245</v>
      </c>
      <c r="H31" s="53">
        <v>10840873000</v>
      </c>
    </row>
    <row r="32" spans="1:8" x14ac:dyDescent="0.3">
      <c r="A32" s="53">
        <v>400000</v>
      </c>
      <c r="B32" s="53">
        <v>9448</v>
      </c>
      <c r="C32" s="53">
        <v>6433067000</v>
      </c>
      <c r="D32" s="54">
        <v>1.7022298370025404</v>
      </c>
      <c r="F32" s="53">
        <v>400000</v>
      </c>
      <c r="G32" s="53">
        <v>9448</v>
      </c>
      <c r="H32" s="53">
        <v>6433067000</v>
      </c>
    </row>
    <row r="33" spans="1:8" x14ac:dyDescent="0.3">
      <c r="A33" s="51" t="s">
        <v>56</v>
      </c>
      <c r="B33" s="51" t="s">
        <v>179</v>
      </c>
      <c r="C33" s="51" t="s">
        <v>71</v>
      </c>
      <c r="D33" s="52" t="s">
        <v>59</v>
      </c>
    </row>
    <row r="34" spans="1:8" x14ac:dyDescent="0.3">
      <c r="A34" s="53">
        <v>70100</v>
      </c>
      <c r="B34" s="53">
        <v>216723</v>
      </c>
      <c r="C34" s="53">
        <v>16219539000</v>
      </c>
      <c r="D34" s="54">
        <v>1.7067480829395696</v>
      </c>
      <c r="F34" s="53">
        <v>70100</v>
      </c>
      <c r="G34" s="53">
        <v>216723</v>
      </c>
      <c r="H34" s="53">
        <v>16219539000</v>
      </c>
    </row>
    <row r="35" spans="1:8" x14ac:dyDescent="0.3">
      <c r="A35" s="53">
        <v>80100</v>
      </c>
      <c r="B35" s="53">
        <v>265184</v>
      </c>
      <c r="C35" s="53">
        <v>23587626000</v>
      </c>
      <c r="D35" s="54">
        <v>1.6902022740864424</v>
      </c>
      <c r="F35" s="53">
        <v>80100</v>
      </c>
      <c r="G35" s="53">
        <v>265184</v>
      </c>
      <c r="H35" s="53">
        <v>23587626000</v>
      </c>
    </row>
    <row r="36" spans="1:8" x14ac:dyDescent="0.3">
      <c r="A36" s="53">
        <v>100100</v>
      </c>
      <c r="B36" s="53">
        <v>283761</v>
      </c>
      <c r="C36" s="53">
        <v>36990530000</v>
      </c>
      <c r="D36" s="54">
        <v>1.7023656107956864</v>
      </c>
      <c r="F36" s="53">
        <v>100100</v>
      </c>
      <c r="G36" s="53">
        <v>283761</v>
      </c>
      <c r="H36" s="53">
        <v>36990530000</v>
      </c>
    </row>
    <row r="37" spans="1:8" x14ac:dyDescent="0.3">
      <c r="A37" s="53">
        <v>200100</v>
      </c>
      <c r="B37" s="53">
        <v>55205</v>
      </c>
      <c r="C37" s="53">
        <v>14612721000</v>
      </c>
      <c r="D37" s="54">
        <v>1.6885096450610551</v>
      </c>
      <c r="F37" s="53">
        <v>200100</v>
      </c>
      <c r="G37" s="53">
        <v>55205</v>
      </c>
      <c r="H37" s="53">
        <v>14612721000</v>
      </c>
    </row>
    <row r="38" spans="1:8" x14ac:dyDescent="0.3">
      <c r="A38" s="53">
        <v>400000</v>
      </c>
      <c r="B38" s="53">
        <v>12656</v>
      </c>
      <c r="C38" s="53">
        <v>8315528000</v>
      </c>
      <c r="D38" s="54">
        <v>1.6426058786346396</v>
      </c>
      <c r="F38" s="53">
        <v>400000</v>
      </c>
      <c r="G38" s="53">
        <v>12656</v>
      </c>
      <c r="H38" s="53">
        <v>8315528000</v>
      </c>
    </row>
    <row r="39" spans="1:8" x14ac:dyDescent="0.3">
      <c r="A39" s="51" t="s">
        <v>56</v>
      </c>
      <c r="B39" s="51" t="s">
        <v>180</v>
      </c>
      <c r="C39" s="51" t="s">
        <v>73</v>
      </c>
      <c r="D39" s="52" t="s">
        <v>59</v>
      </c>
    </row>
    <row r="40" spans="1:8" x14ac:dyDescent="0.3">
      <c r="A40" s="53">
        <v>70100</v>
      </c>
      <c r="B40" s="53">
        <v>3248</v>
      </c>
      <c r="C40" s="53">
        <v>242954000</v>
      </c>
      <c r="D40" s="54">
        <v>1.7419912528515986</v>
      </c>
      <c r="F40" s="53">
        <v>70100</v>
      </c>
      <c r="G40" s="53">
        <v>3248</v>
      </c>
      <c r="H40" s="53">
        <v>242954000</v>
      </c>
    </row>
    <row r="41" spans="1:8" x14ac:dyDescent="0.3">
      <c r="A41" s="53">
        <v>80100</v>
      </c>
      <c r="B41" s="53">
        <v>3778</v>
      </c>
      <c r="C41" s="53">
        <v>336126000</v>
      </c>
      <c r="D41" s="54">
        <v>1.7344374352062111</v>
      </c>
      <c r="F41" s="53">
        <v>80100</v>
      </c>
      <c r="G41" s="53">
        <v>3778</v>
      </c>
      <c r="H41" s="53">
        <v>336126000</v>
      </c>
    </row>
    <row r="42" spans="1:8" x14ac:dyDescent="0.3">
      <c r="A42" s="53">
        <v>100100</v>
      </c>
      <c r="B42" s="53">
        <v>4260</v>
      </c>
      <c r="C42" s="53">
        <v>560795000</v>
      </c>
      <c r="D42" s="54">
        <v>1.7396164738078561</v>
      </c>
      <c r="F42" s="53">
        <v>100100</v>
      </c>
      <c r="G42" s="53">
        <v>4260</v>
      </c>
      <c r="H42" s="53">
        <v>560795000</v>
      </c>
    </row>
    <row r="43" spans="1:8" x14ac:dyDescent="0.3">
      <c r="A43" s="53">
        <v>200100</v>
      </c>
      <c r="B43" s="53">
        <v>897</v>
      </c>
      <c r="C43" s="53">
        <v>236106000</v>
      </c>
      <c r="D43" s="54">
        <v>1.6919151686645324</v>
      </c>
      <c r="F43" s="53">
        <v>200100</v>
      </c>
      <c r="G43" s="53">
        <v>897</v>
      </c>
      <c r="H43" s="53">
        <v>236106000</v>
      </c>
    </row>
    <row r="44" spans="1:8" x14ac:dyDescent="0.3">
      <c r="A44" s="53">
        <v>400000</v>
      </c>
      <c r="B44" s="53">
        <v>204</v>
      </c>
      <c r="C44" s="53">
        <v>136640000</v>
      </c>
      <c r="D44" s="54">
        <v>1.6745098039215687</v>
      </c>
      <c r="F44" s="53">
        <v>400000</v>
      </c>
      <c r="G44" s="53">
        <v>204</v>
      </c>
      <c r="H44" s="53">
        <v>136640000</v>
      </c>
    </row>
    <row r="45" spans="1:8" x14ac:dyDescent="0.3">
      <c r="A45" s="51" t="s">
        <v>56</v>
      </c>
      <c r="B45" s="51" t="s">
        <v>181</v>
      </c>
      <c r="C45" s="51" t="s">
        <v>75</v>
      </c>
      <c r="D45" s="52" t="s">
        <v>59</v>
      </c>
    </row>
    <row r="46" spans="1:8" x14ac:dyDescent="0.3">
      <c r="A46" s="53">
        <v>70100</v>
      </c>
      <c r="B46" s="53">
        <v>58307</v>
      </c>
      <c r="C46" s="53">
        <v>4364077000</v>
      </c>
      <c r="D46" s="54">
        <v>1.9268729995545375</v>
      </c>
      <c r="F46" s="53">
        <v>70100</v>
      </c>
      <c r="G46" s="53">
        <v>58307</v>
      </c>
      <c r="H46" s="53">
        <v>4364077000</v>
      </c>
    </row>
    <row r="47" spans="1:8" x14ac:dyDescent="0.3">
      <c r="A47" s="53">
        <v>80100</v>
      </c>
      <c r="B47" s="53">
        <v>75402</v>
      </c>
      <c r="C47" s="53">
        <v>6724983000</v>
      </c>
      <c r="D47" s="54">
        <v>1.8901791848773084</v>
      </c>
      <c r="F47" s="53">
        <v>80100</v>
      </c>
      <c r="G47" s="53">
        <v>75402</v>
      </c>
      <c r="H47" s="53">
        <v>6724983000</v>
      </c>
    </row>
    <row r="48" spans="1:8" x14ac:dyDescent="0.3">
      <c r="A48" s="53">
        <v>100100</v>
      </c>
      <c r="B48" s="53">
        <v>106154</v>
      </c>
      <c r="C48" s="53">
        <v>14165866000</v>
      </c>
      <c r="D48" s="54">
        <v>1.8481109289427344</v>
      </c>
      <c r="F48" s="53">
        <v>100100</v>
      </c>
      <c r="G48" s="53">
        <v>106154</v>
      </c>
      <c r="H48" s="53">
        <v>14165866000</v>
      </c>
    </row>
    <row r="49" spans="1:8" x14ac:dyDescent="0.3">
      <c r="A49" s="53">
        <v>200100</v>
      </c>
      <c r="B49" s="53">
        <v>26737</v>
      </c>
      <c r="C49" s="53">
        <v>7105933000</v>
      </c>
      <c r="D49" s="54">
        <v>1.7409999842737018</v>
      </c>
      <c r="F49" s="53">
        <v>200100</v>
      </c>
      <c r="G49" s="53">
        <v>26737</v>
      </c>
      <c r="H49" s="53">
        <v>7105933000</v>
      </c>
    </row>
    <row r="50" spans="1:8" x14ac:dyDescent="0.3">
      <c r="A50" s="53">
        <v>400000</v>
      </c>
      <c r="B50" s="53">
        <v>6757</v>
      </c>
      <c r="C50" s="53">
        <v>4562509000</v>
      </c>
      <c r="D50" s="54">
        <v>1.6880675595678556</v>
      </c>
      <c r="F50" s="53">
        <v>400000</v>
      </c>
      <c r="G50" s="53">
        <v>6757</v>
      </c>
      <c r="H50" s="53">
        <v>4562509000</v>
      </c>
    </row>
    <row r="51" spans="1:8" x14ac:dyDescent="0.3">
      <c r="A51" s="51" t="s">
        <v>56</v>
      </c>
      <c r="B51" s="51" t="s">
        <v>182</v>
      </c>
      <c r="C51" s="51" t="s">
        <v>77</v>
      </c>
      <c r="D51" s="52" t="s">
        <v>59</v>
      </c>
    </row>
    <row r="52" spans="1:8" x14ac:dyDescent="0.3">
      <c r="A52" s="53">
        <v>70100</v>
      </c>
      <c r="B52" s="53">
        <v>12720</v>
      </c>
      <c r="C52" s="53">
        <v>952084000</v>
      </c>
      <c r="D52" s="54">
        <v>2.0886374282756424</v>
      </c>
      <c r="F52" s="53">
        <v>70100</v>
      </c>
      <c r="G52" s="53">
        <v>12720</v>
      </c>
      <c r="H52" s="53">
        <v>952084000</v>
      </c>
    </row>
    <row r="53" spans="1:8" x14ac:dyDescent="0.3">
      <c r="A53" s="53">
        <v>80100</v>
      </c>
      <c r="B53" s="53">
        <v>16321</v>
      </c>
      <c r="C53" s="53">
        <v>1456707000</v>
      </c>
      <c r="D53" s="54">
        <v>2.0399195950674285</v>
      </c>
      <c r="F53" s="53">
        <v>80100</v>
      </c>
      <c r="G53" s="53">
        <v>16321</v>
      </c>
      <c r="H53" s="53">
        <v>1456707000</v>
      </c>
    </row>
    <row r="54" spans="1:8" x14ac:dyDescent="0.3">
      <c r="A54" s="53">
        <v>100100</v>
      </c>
      <c r="B54" s="53">
        <v>27141</v>
      </c>
      <c r="C54" s="53">
        <v>3677936000</v>
      </c>
      <c r="D54" s="54">
        <v>1.9566526402023772</v>
      </c>
      <c r="F54" s="53">
        <v>100100</v>
      </c>
      <c r="G54" s="53">
        <v>27141</v>
      </c>
      <c r="H54" s="53">
        <v>3677936000</v>
      </c>
    </row>
    <row r="55" spans="1:8" x14ac:dyDescent="0.3">
      <c r="A55" s="53">
        <v>200100</v>
      </c>
      <c r="B55" s="53">
        <v>7988</v>
      </c>
      <c r="C55" s="53">
        <v>2131168000</v>
      </c>
      <c r="D55" s="54">
        <v>1.7864654254027401</v>
      </c>
      <c r="F55" s="53">
        <v>200100</v>
      </c>
      <c r="G55" s="53">
        <v>7988</v>
      </c>
      <c r="H55" s="53">
        <v>2131168000</v>
      </c>
    </row>
    <row r="56" spans="1:8" x14ac:dyDescent="0.3">
      <c r="A56" s="53">
        <v>400000</v>
      </c>
      <c r="B56" s="53">
        <v>2147</v>
      </c>
      <c r="C56" s="53">
        <v>1491808000</v>
      </c>
      <c r="D56" s="54">
        <v>1.7370843036795529</v>
      </c>
      <c r="F56" s="53">
        <v>400000</v>
      </c>
      <c r="G56" s="53">
        <v>2147</v>
      </c>
      <c r="H56" s="53">
        <v>1491808000</v>
      </c>
    </row>
    <row r="57" spans="1:8" x14ac:dyDescent="0.3">
      <c r="A57" s="51" t="s">
        <v>56</v>
      </c>
      <c r="B57" s="51" t="s">
        <v>183</v>
      </c>
      <c r="C57" s="51" t="s">
        <v>79</v>
      </c>
      <c r="D57" s="52" t="s">
        <v>59</v>
      </c>
    </row>
    <row r="58" spans="1:8" x14ac:dyDescent="0.3">
      <c r="A58" s="53">
        <v>70100</v>
      </c>
      <c r="B58" s="53">
        <v>3359</v>
      </c>
      <c r="C58" s="53">
        <v>251229000</v>
      </c>
      <c r="D58" s="54">
        <v>2.1407919885399389</v>
      </c>
      <c r="F58" s="53">
        <v>70100</v>
      </c>
      <c r="G58" s="53">
        <v>3359</v>
      </c>
      <c r="H58" s="53">
        <v>251229000</v>
      </c>
    </row>
    <row r="59" spans="1:8" x14ac:dyDescent="0.3">
      <c r="A59" s="53">
        <v>80100</v>
      </c>
      <c r="B59" s="53">
        <v>3938</v>
      </c>
      <c r="C59" s="53">
        <v>351181000</v>
      </c>
      <c r="D59" s="54">
        <v>2.1098804317304776</v>
      </c>
      <c r="F59" s="53">
        <v>80100</v>
      </c>
      <c r="G59" s="53">
        <v>3938</v>
      </c>
      <c r="H59" s="53">
        <v>351181000</v>
      </c>
    </row>
    <row r="60" spans="1:8" x14ac:dyDescent="0.3">
      <c r="A60" s="53">
        <v>100100</v>
      </c>
      <c r="B60" s="53">
        <v>6617</v>
      </c>
      <c r="C60" s="53">
        <v>907082000</v>
      </c>
      <c r="D60" s="54">
        <v>2.0217646019302422</v>
      </c>
      <c r="F60" s="53">
        <v>100100</v>
      </c>
      <c r="G60" s="53">
        <v>6617</v>
      </c>
      <c r="H60" s="53">
        <v>907082000</v>
      </c>
    </row>
    <row r="61" spans="1:8" x14ac:dyDescent="0.3">
      <c r="A61" s="53">
        <v>200100</v>
      </c>
      <c r="B61" s="53">
        <v>2178</v>
      </c>
      <c r="C61" s="53">
        <v>580180000</v>
      </c>
      <c r="D61" s="54">
        <v>1.7822577465283782</v>
      </c>
      <c r="F61" s="53">
        <v>200100</v>
      </c>
      <c r="G61" s="53">
        <v>2178</v>
      </c>
      <c r="H61" s="53">
        <v>580180000</v>
      </c>
    </row>
    <row r="62" spans="1:8" x14ac:dyDescent="0.3">
      <c r="A62" s="53">
        <v>400000</v>
      </c>
      <c r="B62" s="53">
        <v>623</v>
      </c>
      <c r="C62" s="53">
        <v>418740000</v>
      </c>
      <c r="D62" s="54">
        <v>1.6803370786516854</v>
      </c>
      <c r="F62" s="53">
        <v>400000</v>
      </c>
      <c r="G62" s="53">
        <v>623</v>
      </c>
      <c r="H62" s="53">
        <v>418740000</v>
      </c>
    </row>
    <row r="63" spans="1:8" x14ac:dyDescent="0.3">
      <c r="A63" s="51" t="s">
        <v>56</v>
      </c>
      <c r="B63" s="51" t="s">
        <v>184</v>
      </c>
      <c r="C63" s="51" t="s">
        <v>81</v>
      </c>
      <c r="D63" s="52" t="s">
        <v>59</v>
      </c>
    </row>
    <row r="64" spans="1:8" x14ac:dyDescent="0.3">
      <c r="A64" s="53">
        <v>70100</v>
      </c>
      <c r="B64" s="53">
        <v>1099</v>
      </c>
      <c r="C64" s="53">
        <v>82047000</v>
      </c>
      <c r="D64" s="54">
        <v>2.0609878984001764</v>
      </c>
      <c r="F64" s="53">
        <v>70100</v>
      </c>
      <c r="G64" s="53">
        <v>1099</v>
      </c>
      <c r="H64" s="53">
        <v>82047000</v>
      </c>
    </row>
    <row r="65" spans="1:8" x14ac:dyDescent="0.3">
      <c r="A65" s="53">
        <v>80100</v>
      </c>
      <c r="B65" s="53">
        <v>1137</v>
      </c>
      <c r="C65" s="53">
        <v>101274000</v>
      </c>
      <c r="D65" s="54">
        <v>2.0647773003832426</v>
      </c>
      <c r="F65" s="53">
        <v>80100</v>
      </c>
      <c r="G65" s="53">
        <v>1137</v>
      </c>
      <c r="H65" s="53">
        <v>101274000</v>
      </c>
    </row>
    <row r="66" spans="1:8" x14ac:dyDescent="0.3">
      <c r="A66" s="53">
        <v>100100</v>
      </c>
      <c r="B66" s="53">
        <v>1758</v>
      </c>
      <c r="C66" s="53">
        <v>239372000</v>
      </c>
      <c r="D66" s="54">
        <v>1.9945970301420539</v>
      </c>
      <c r="F66" s="53">
        <v>100100</v>
      </c>
      <c r="G66" s="53">
        <v>1758</v>
      </c>
      <c r="H66" s="53">
        <v>239372000</v>
      </c>
    </row>
    <row r="67" spans="1:8" x14ac:dyDescent="0.3">
      <c r="A67" s="53">
        <v>200100</v>
      </c>
      <c r="B67" s="53">
        <v>601</v>
      </c>
      <c r="C67" s="53">
        <v>160559000</v>
      </c>
      <c r="D67" s="54">
        <v>1.7185528682687079</v>
      </c>
      <c r="F67" s="53">
        <v>200100</v>
      </c>
      <c r="G67" s="53">
        <v>601</v>
      </c>
      <c r="H67" s="53">
        <v>160559000</v>
      </c>
    </row>
    <row r="68" spans="1:8" x14ac:dyDescent="0.3">
      <c r="A68" s="53">
        <v>400000</v>
      </c>
      <c r="B68" s="53">
        <v>173</v>
      </c>
      <c r="C68" s="53">
        <v>105606000</v>
      </c>
      <c r="D68" s="54">
        <v>1.5260982658959539</v>
      </c>
      <c r="F68" s="53">
        <v>400000</v>
      </c>
      <c r="G68" s="53">
        <v>173</v>
      </c>
      <c r="H68" s="53">
        <v>105606000</v>
      </c>
    </row>
    <row r="69" spans="1:8" x14ac:dyDescent="0.3">
      <c r="A69" s="51" t="s">
        <v>56</v>
      </c>
      <c r="B69" s="51" t="s">
        <v>185</v>
      </c>
      <c r="C69" s="51" t="s">
        <v>83</v>
      </c>
      <c r="D69" s="52" t="s">
        <v>59</v>
      </c>
    </row>
    <row r="70" spans="1:8" x14ac:dyDescent="0.3">
      <c r="A70" s="53">
        <v>70100</v>
      </c>
      <c r="B70" s="53">
        <v>399</v>
      </c>
      <c r="C70" s="53">
        <v>29759000</v>
      </c>
      <c r="D70" s="54">
        <v>2.0777388173202223</v>
      </c>
      <c r="F70" s="53">
        <v>70100</v>
      </c>
      <c r="G70" s="53">
        <v>399</v>
      </c>
      <c r="H70" s="53">
        <v>29759000</v>
      </c>
    </row>
    <row r="71" spans="1:8" x14ac:dyDescent="0.3">
      <c r="A71" s="53">
        <v>80100</v>
      </c>
      <c r="B71" s="53">
        <v>382</v>
      </c>
      <c r="C71" s="53">
        <v>33581000</v>
      </c>
      <c r="D71" s="54">
        <v>2.1201332945923306</v>
      </c>
      <c r="F71" s="53">
        <v>80100</v>
      </c>
      <c r="G71" s="53">
        <v>382</v>
      </c>
      <c r="H71" s="53">
        <v>33581000</v>
      </c>
    </row>
    <row r="72" spans="1:8" x14ac:dyDescent="0.3">
      <c r="A72" s="53">
        <v>100100</v>
      </c>
      <c r="B72" s="53">
        <v>547</v>
      </c>
      <c r="C72" s="53">
        <v>74032000</v>
      </c>
      <c r="D72" s="54">
        <v>2.0917262257338107</v>
      </c>
      <c r="F72" s="53">
        <v>100100</v>
      </c>
      <c r="G72" s="53">
        <v>547</v>
      </c>
      <c r="H72" s="53">
        <v>74032000</v>
      </c>
    </row>
    <row r="73" spans="1:8" x14ac:dyDescent="0.3">
      <c r="A73" s="53">
        <v>200100</v>
      </c>
      <c r="B73" s="53">
        <v>181</v>
      </c>
      <c r="C73" s="53">
        <v>48631000</v>
      </c>
      <c r="D73" s="54">
        <v>1.8758858275780144</v>
      </c>
      <c r="F73" s="53">
        <v>200100</v>
      </c>
      <c r="G73" s="53">
        <v>181</v>
      </c>
      <c r="H73" s="53">
        <v>48631000</v>
      </c>
    </row>
    <row r="74" spans="1:8" x14ac:dyDescent="0.3">
      <c r="A74" s="53">
        <v>400000</v>
      </c>
      <c r="B74" s="53">
        <v>63</v>
      </c>
      <c r="C74" s="53">
        <v>42958000</v>
      </c>
      <c r="D74" s="54">
        <v>1.7046825396825396</v>
      </c>
      <c r="F74" s="53">
        <v>400000</v>
      </c>
      <c r="G74" s="53">
        <v>63</v>
      </c>
      <c r="H74" s="53">
        <v>42958000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opLeftCell="C1" workbookViewId="0">
      <selection activeCell="M5" sqref="M5:N15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3.296875" bestFit="1" customWidth="1"/>
  </cols>
  <sheetData>
    <row r="1" spans="1:16" x14ac:dyDescent="0.3">
      <c r="A1" s="79" t="s">
        <v>243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6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6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11230</v>
      </c>
      <c r="M3" t="s">
        <v>7</v>
      </c>
      <c r="N3" t="s">
        <v>8</v>
      </c>
      <c r="O3" t="s">
        <v>14</v>
      </c>
    </row>
    <row r="4" spans="1:16" x14ac:dyDescent="0.3">
      <c r="A4" s="53">
        <v>20010</v>
      </c>
      <c r="B4" s="53">
        <v>524683</v>
      </c>
      <c r="C4" s="53">
        <v>12280582172</v>
      </c>
      <c r="D4" s="54">
        <v>2.0074508680637395</v>
      </c>
      <c r="F4" s="53">
        <v>20010</v>
      </c>
      <c r="G4" s="53">
        <v>524683</v>
      </c>
      <c r="H4" s="53">
        <v>12280582172</v>
      </c>
      <c r="I4" s="2">
        <f>J4/6.55957</f>
        <v>3050.5048349205817</v>
      </c>
      <c r="J4" s="53">
        <v>20010</v>
      </c>
      <c r="K4" s="2">
        <f>G4+G17+G30+G43+G56+G69+G82+G95+G108+G121+G134+G147</f>
        <v>1351050.2138819932</v>
      </c>
      <c r="L4" s="2">
        <f>H4+H17+H30+H43+H56+H69+H82+H95+H108+H121+H134+H147</f>
        <v>31601713967.724037</v>
      </c>
      <c r="M4">
        <f>1-SUM(K4:$K$15)/$K$17</f>
        <v>0.3107715253373754</v>
      </c>
      <c r="N4">
        <f>SUM(L4:$L$15)/(J4*SUM(K4:$K$15))</f>
        <v>3.15345207741986</v>
      </c>
      <c r="O4">
        <f>(G4+G17+G43)/K4</f>
        <v>0.5640795135074087</v>
      </c>
      <c r="P4">
        <f>L4/K4</f>
        <v>23390.480711240441</v>
      </c>
    </row>
    <row r="5" spans="1:16" x14ac:dyDescent="0.3">
      <c r="A5" s="53">
        <v>25010</v>
      </c>
      <c r="B5" s="53">
        <v>774847</v>
      </c>
      <c r="C5" s="53">
        <v>21254108429</v>
      </c>
      <c r="D5" s="54">
        <v>1.7139829102020192</v>
      </c>
      <c r="F5" s="53">
        <v>25010</v>
      </c>
      <c r="G5" s="53">
        <v>774847</v>
      </c>
      <c r="H5" s="53">
        <v>21254108429</v>
      </c>
      <c r="I5" s="2">
        <f t="shared" ref="I5:I15" si="0">J5/6.55957</f>
        <v>3812.7499211076338</v>
      </c>
      <c r="J5" s="53">
        <v>25010</v>
      </c>
      <c r="K5" s="2">
        <f t="shared" ref="K5:L15" si="1">G5+G18+G31+G44+G57+G70+G83+G96+G109+G122+G135+G148</f>
        <v>1540571.5365549156</v>
      </c>
      <c r="L5" s="2">
        <f t="shared" si="1"/>
        <v>41500302752.994904</v>
      </c>
      <c r="M5">
        <f>1-SUM(K5:$K$15)/$K$17</f>
        <v>0.36765879220841202</v>
      </c>
      <c r="N5">
        <f>SUM(L5:$L$15)/(J5*SUM(K5:$K$15))</f>
        <v>2.6658541598967247</v>
      </c>
      <c r="O5">
        <f t="shared" ref="O5:O15" si="2">(G5+G18+G44)/K5</f>
        <v>0.64576098960305417</v>
      </c>
      <c r="P5">
        <f t="shared" ref="P5:P15" si="3">L5/K5</f>
        <v>26938.251011569027</v>
      </c>
    </row>
    <row r="6" spans="1:16" x14ac:dyDescent="0.3">
      <c r="A6" s="53">
        <v>30010</v>
      </c>
      <c r="B6" s="53">
        <v>722980</v>
      </c>
      <c r="C6" s="53">
        <v>23439860000</v>
      </c>
      <c r="D6" s="54">
        <v>1.588765036419624</v>
      </c>
      <c r="F6" s="53">
        <v>30010</v>
      </c>
      <c r="G6" s="53">
        <v>722980</v>
      </c>
      <c r="H6" s="53">
        <v>23439860000</v>
      </c>
      <c r="I6" s="2">
        <f t="shared" si="0"/>
        <v>4574.9950072946858</v>
      </c>
      <c r="J6" s="53">
        <v>30010</v>
      </c>
      <c r="K6" s="2">
        <f t="shared" si="1"/>
        <v>1683245.9546776125</v>
      </c>
      <c r="L6" s="2">
        <f t="shared" si="1"/>
        <v>54813118630.635117</v>
      </c>
      <c r="M6">
        <f>1-SUM(K6:$K$15)/$K$17</f>
        <v>0.4325260363962562</v>
      </c>
      <c r="N6">
        <f>SUM(L6:$L$15)/(J6*SUM(K6:$K$15))</f>
        <v>2.3730437785210787</v>
      </c>
      <c r="O6">
        <f t="shared" si="2"/>
        <v>0.58731642708111753</v>
      </c>
      <c r="P6">
        <f t="shared" si="3"/>
        <v>32563.939024070503</v>
      </c>
    </row>
    <row r="7" spans="1:16" x14ac:dyDescent="0.3">
      <c r="A7" s="53">
        <v>35010</v>
      </c>
      <c r="B7" s="53">
        <v>534842</v>
      </c>
      <c r="C7" s="53">
        <v>19985891693</v>
      </c>
      <c r="D7" s="54">
        <v>1.5406203350288115</v>
      </c>
      <c r="F7" s="53">
        <v>35010</v>
      </c>
      <c r="G7" s="53">
        <v>534842</v>
      </c>
      <c r="H7" s="53">
        <v>19985891693</v>
      </c>
      <c r="I7" s="2">
        <f t="shared" si="0"/>
        <v>5337.2400934817379</v>
      </c>
      <c r="J7" s="53">
        <v>35010</v>
      </c>
      <c r="K7" s="2">
        <f t="shared" si="1"/>
        <v>1511314.7567200661</v>
      </c>
      <c r="L7" s="2">
        <f t="shared" si="1"/>
        <v>56747885772.7351</v>
      </c>
      <c r="M7">
        <f>1-SUM(K7:$K$15)/$K$17</f>
        <v>0.50340072399073343</v>
      </c>
      <c r="N7">
        <f>SUM(L7:$L$15)/(J7*SUM(K7:$K$15))</f>
        <v>2.1916975862751573</v>
      </c>
      <c r="O7">
        <f t="shared" si="2"/>
        <v>0.48524769359863884</v>
      </c>
      <c r="P7">
        <f t="shared" si="3"/>
        <v>37548.687671052925</v>
      </c>
    </row>
    <row r="8" spans="1:16" x14ac:dyDescent="0.3">
      <c r="A8" s="53">
        <v>40010</v>
      </c>
      <c r="B8" s="53">
        <v>606625</v>
      </c>
      <c r="C8" s="53">
        <v>26880092286</v>
      </c>
      <c r="D8" s="54">
        <v>1.5284921819608588</v>
      </c>
      <c r="F8" s="53">
        <v>40010</v>
      </c>
      <c r="G8" s="53">
        <v>606625</v>
      </c>
      <c r="H8" s="53">
        <v>26880092286</v>
      </c>
      <c r="I8" s="2">
        <f t="shared" si="0"/>
        <v>6099.485179668789</v>
      </c>
      <c r="J8" s="53">
        <v>40010</v>
      </c>
      <c r="K8" s="2">
        <f t="shared" si="1"/>
        <v>2482076.1109905802</v>
      </c>
      <c r="L8" s="2">
        <f t="shared" si="1"/>
        <v>111091034669.97607</v>
      </c>
      <c r="M8">
        <f>1-SUM(K8:$K$15)/$K$17</f>
        <v>0.56703608336397116</v>
      </c>
      <c r="N8">
        <f>SUM(L8:$L$15)/(J8*SUM(K8:$K$15))</f>
        <v>2.0617407112490165</v>
      </c>
      <c r="O8">
        <f t="shared" si="2"/>
        <v>0.34990345225690622</v>
      </c>
      <c r="P8">
        <f t="shared" si="3"/>
        <v>44757.303846593313</v>
      </c>
    </row>
    <row r="9" spans="1:16" x14ac:dyDescent="0.3">
      <c r="A9" s="53">
        <v>50010</v>
      </c>
      <c r="B9" s="53">
        <v>263452</v>
      </c>
      <c r="C9" s="53">
        <v>14372127699</v>
      </c>
      <c r="D9" s="54">
        <v>1.551789940069157</v>
      </c>
      <c r="F9" s="53">
        <v>50010</v>
      </c>
      <c r="G9" s="53">
        <v>263452</v>
      </c>
      <c r="H9" s="53">
        <v>14372127699</v>
      </c>
      <c r="I9" s="2">
        <f t="shared" si="0"/>
        <v>7623.9753520428931</v>
      </c>
      <c r="J9" s="53">
        <v>50010</v>
      </c>
      <c r="K9" s="2">
        <f t="shared" si="1"/>
        <v>1837591.2484357632</v>
      </c>
      <c r="L9" s="2">
        <f>H9+H22+H35+H48+H61+H74+H87+H100+H113+H126+H139+H152</f>
        <v>101153382898.79324</v>
      </c>
      <c r="M9">
        <f>1-SUM(K9:$K$15)/$K$17</f>
        <v>0.67154628192604959</v>
      </c>
      <c r="N9">
        <f>SUM(L9:$L$15)/(J9*SUM(K9:$K$15))</f>
        <v>1.8895507775415847</v>
      </c>
      <c r="O9">
        <f t="shared" si="2"/>
        <v>0.21310288690879617</v>
      </c>
      <c r="P9">
        <f t="shared" si="3"/>
        <v>55046.726514887006</v>
      </c>
    </row>
    <row r="10" spans="1:16" x14ac:dyDescent="0.3">
      <c r="A10" s="53">
        <v>60010</v>
      </c>
      <c r="B10" s="53">
        <v>136189</v>
      </c>
      <c r="C10" s="53">
        <v>8780410817</v>
      </c>
      <c r="D10" s="54">
        <v>1.5761195054888999</v>
      </c>
      <c r="F10" s="53">
        <v>60010</v>
      </c>
      <c r="G10" s="53">
        <v>136189</v>
      </c>
      <c r="H10" s="53">
        <v>8780410817</v>
      </c>
      <c r="I10" s="2">
        <f t="shared" si="0"/>
        <v>9148.4655244169971</v>
      </c>
      <c r="J10" s="53">
        <v>60010</v>
      </c>
      <c r="K10" s="2">
        <f t="shared" si="1"/>
        <v>1518954.3718377089</v>
      </c>
      <c r="L10" s="2">
        <f t="shared" si="1"/>
        <v>98401733010.317184</v>
      </c>
      <c r="M10">
        <f>1-SUM(K10:$K$15)/$K$17</f>
        <v>0.74891982635507781</v>
      </c>
      <c r="N10">
        <f>SUM(L10:$L$15)/(J10*SUM(K10:$K$15))</f>
        <v>1.7772598384941745</v>
      </c>
      <c r="O10">
        <f t="shared" si="2"/>
        <v>0.14708078408550768</v>
      </c>
      <c r="P10">
        <f t="shared" si="3"/>
        <v>64782.54701704155</v>
      </c>
    </row>
    <row r="11" spans="1:16" x14ac:dyDescent="0.3">
      <c r="A11" s="53">
        <v>70010</v>
      </c>
      <c r="B11" s="53">
        <v>73198</v>
      </c>
      <c r="C11" s="53">
        <v>5459315439</v>
      </c>
      <c r="D11" s="54">
        <v>1.6154148693414621</v>
      </c>
      <c r="F11" s="53">
        <v>70010</v>
      </c>
      <c r="G11" s="53">
        <v>73198</v>
      </c>
      <c r="H11" s="53">
        <v>5459315439</v>
      </c>
      <c r="I11" s="2">
        <f t="shared" si="0"/>
        <v>10672.955696791101</v>
      </c>
      <c r="J11" s="53">
        <v>70010</v>
      </c>
      <c r="K11" s="2">
        <f t="shared" si="1"/>
        <v>1117877</v>
      </c>
      <c r="L11" s="2">
        <f>H11+H24+H37+H50+H63+H76+H89+H102+H115+H128+H141+H154</f>
        <v>83553153637</v>
      </c>
      <c r="M11">
        <f>1-SUM(K11:$K$15)/$K$17</f>
        <v>0.81287685906030849</v>
      </c>
      <c r="N11">
        <f>SUM(L11:$L$15)/(J11*SUM(K11:$K$15))</f>
        <v>1.7278165553141991</v>
      </c>
      <c r="O11">
        <f t="shared" si="2"/>
        <v>0.11011587142413701</v>
      </c>
      <c r="P11">
        <f t="shared" si="3"/>
        <v>74742.707504492893</v>
      </c>
    </row>
    <row r="12" spans="1:16" x14ac:dyDescent="0.3">
      <c r="A12" s="53">
        <v>80010</v>
      </c>
      <c r="B12" s="53">
        <v>69792</v>
      </c>
      <c r="C12" s="53">
        <v>6172819238</v>
      </c>
      <c r="D12" s="54">
        <v>1.6510681401378964</v>
      </c>
      <c r="F12" s="53">
        <v>80010</v>
      </c>
      <c r="G12" s="53">
        <v>69792</v>
      </c>
      <c r="H12" s="53">
        <v>6172819238</v>
      </c>
      <c r="I12" s="2">
        <f t="shared" si="0"/>
        <v>12197.445869165205</v>
      </c>
      <c r="J12" s="53">
        <v>80010</v>
      </c>
      <c r="K12" s="2">
        <f t="shared" si="1"/>
        <v>1388186</v>
      </c>
      <c r="L12" s="2">
        <f>H12+H25+H38+H51+H64+H77+H90+H103+H116+H129+H142+H155</f>
        <v>123430212082</v>
      </c>
      <c r="M12">
        <f>1-SUM(K12:$K$15)/$K$17</f>
        <v>0.85994614380974144</v>
      </c>
      <c r="N12">
        <f>SUM(L12:$L$15)/(J12*SUM(K12:$K$15))</f>
        <v>1.7060196334173094</v>
      </c>
      <c r="O12">
        <f t="shared" si="2"/>
        <v>8.6554683594273388E-2</v>
      </c>
      <c r="P12">
        <f t="shared" si="3"/>
        <v>88914.750676062147</v>
      </c>
    </row>
    <row r="13" spans="1:16" x14ac:dyDescent="0.3">
      <c r="A13" s="53">
        <v>100010</v>
      </c>
      <c r="B13" s="53">
        <v>64580</v>
      </c>
      <c r="C13" s="53">
        <v>8387834386</v>
      </c>
      <c r="D13" s="54">
        <v>1.7088577603876034</v>
      </c>
      <c r="F13" s="53">
        <v>100010</v>
      </c>
      <c r="G13" s="53">
        <v>64580</v>
      </c>
      <c r="H13" s="53">
        <v>8387834386</v>
      </c>
      <c r="I13" s="2">
        <f t="shared" si="0"/>
        <v>15246.426213913412</v>
      </c>
      <c r="J13" s="53">
        <v>100010</v>
      </c>
      <c r="K13" s="2">
        <f t="shared" si="1"/>
        <v>1581916</v>
      </c>
      <c r="L13" s="2">
        <f t="shared" si="1"/>
        <v>206116357826</v>
      </c>
      <c r="M13">
        <f>1-SUM(K13:$K$15)/$K$17</f>
        <v>0.91839704862232474</v>
      </c>
      <c r="N13">
        <f>SUM(L13:$L$15)/(J13*SUM(K13:$K$15))</f>
        <v>1.7056515595082715</v>
      </c>
      <c r="O13">
        <f t="shared" si="2"/>
        <v>7.5045071925437259E-2</v>
      </c>
      <c r="P13">
        <f t="shared" si="3"/>
        <v>130295.38725570764</v>
      </c>
    </row>
    <row r="14" spans="1:16" x14ac:dyDescent="0.3">
      <c r="A14" s="53">
        <v>200010</v>
      </c>
      <c r="B14" s="53">
        <v>11091</v>
      </c>
      <c r="C14" s="53">
        <v>2924633157</v>
      </c>
      <c r="D14" s="54">
        <v>1.8042529418885815</v>
      </c>
      <c r="F14" s="53">
        <v>200010</v>
      </c>
      <c r="G14" s="53">
        <v>11091</v>
      </c>
      <c r="H14" s="53">
        <v>2924633157</v>
      </c>
      <c r="I14" s="2">
        <f t="shared" si="0"/>
        <v>30491.327937654449</v>
      </c>
      <c r="J14" s="53">
        <v>200010</v>
      </c>
      <c r="K14" s="2">
        <f t="shared" si="1"/>
        <v>287232</v>
      </c>
      <c r="L14" s="2">
        <f t="shared" si="1"/>
        <v>75809689788</v>
      </c>
      <c r="M14">
        <f>1-SUM(K14:$K$15)/$K$17</f>
        <v>0.98500514115279447</v>
      </c>
      <c r="N14">
        <f>SUM(L14:$L$15)/(J14*SUM(K14:$K$15))</f>
        <v>1.7476065568341421</v>
      </c>
      <c r="O14">
        <f t="shared" si="2"/>
        <v>7.7651515151515152E-2</v>
      </c>
      <c r="P14">
        <f t="shared" si="3"/>
        <v>263931.90796290105</v>
      </c>
    </row>
    <row r="15" spans="1:16" x14ac:dyDescent="0.3">
      <c r="A15" s="53">
        <v>400000</v>
      </c>
      <c r="B15" s="53">
        <v>2854</v>
      </c>
      <c r="C15" s="53">
        <v>2107679901</v>
      </c>
      <c r="D15" s="54">
        <v>1.8462507892431674</v>
      </c>
      <c r="F15" s="53">
        <v>400000</v>
      </c>
      <c r="G15" s="53">
        <v>2854</v>
      </c>
      <c r="H15" s="53">
        <v>2107679901</v>
      </c>
      <c r="I15" s="2">
        <f t="shared" si="0"/>
        <v>60979.606894964156</v>
      </c>
      <c r="J15" s="53">
        <v>400000</v>
      </c>
      <c r="K15" s="2">
        <f t="shared" si="1"/>
        <v>68890</v>
      </c>
      <c r="L15" s="2">
        <f t="shared" si="1"/>
        <v>48668762270</v>
      </c>
      <c r="M15">
        <f>1-SUM(K15:$K$15)/$K$17</f>
        <v>0.99709932038463223</v>
      </c>
      <c r="N15">
        <f>SUM(L15:$L$15)/(J15*SUM(K15:$K$15))</f>
        <v>1.7661765956597475</v>
      </c>
      <c r="O15">
        <f t="shared" si="2"/>
        <v>8.9751778197125848E-2</v>
      </c>
      <c r="P15">
        <f t="shared" si="3"/>
        <v>706470.63826389902</v>
      </c>
    </row>
    <row r="16" spans="1:16" x14ac:dyDescent="0.3">
      <c r="A16" s="51" t="s">
        <v>56</v>
      </c>
      <c r="B16" s="51" t="s">
        <v>87</v>
      </c>
      <c r="C16" s="51" t="s">
        <v>61</v>
      </c>
      <c r="D16" s="52" t="s">
        <v>59</v>
      </c>
      <c r="I16" s="2"/>
    </row>
    <row r="17" spans="1:11" x14ac:dyDescent="0.3">
      <c r="A17" s="53">
        <v>20010</v>
      </c>
      <c r="B17" s="53">
        <v>174437</v>
      </c>
      <c r="C17" s="53">
        <v>4078477716</v>
      </c>
      <c r="D17" s="54">
        <v>2.373434552201017</v>
      </c>
      <c r="F17" s="53">
        <v>20010</v>
      </c>
      <c r="G17" s="53">
        <v>174437</v>
      </c>
      <c r="H17" s="53">
        <v>4078477716</v>
      </c>
      <c r="I17" s="2">
        <f>H17/G17</f>
        <v>23380.806342691056</v>
      </c>
      <c r="K17" s="61">
        <v>23749606.69045366</v>
      </c>
    </row>
    <row r="18" spans="1:11" x14ac:dyDescent="0.3">
      <c r="A18" s="53">
        <v>25010</v>
      </c>
      <c r="B18" s="53">
        <v>161636</v>
      </c>
      <c r="C18" s="53">
        <v>4354171757</v>
      </c>
      <c r="D18" s="54">
        <v>2.0673540632798399</v>
      </c>
      <c r="F18" s="53">
        <v>25010</v>
      </c>
      <c r="G18" s="53">
        <v>161636</v>
      </c>
      <c r="H18" s="53">
        <v>4354171757</v>
      </c>
      <c r="I18" s="2">
        <f t="shared" ref="I18:I28" si="4">H18/G18</f>
        <v>26938.131090846098</v>
      </c>
    </row>
    <row r="19" spans="1:11" x14ac:dyDescent="0.3">
      <c r="A19" s="53">
        <v>30010</v>
      </c>
      <c r="B19" s="53">
        <v>202437</v>
      </c>
      <c r="C19" s="53">
        <v>6557148547</v>
      </c>
      <c r="D19" s="54">
        <v>1.8822988123835984</v>
      </c>
      <c r="F19" s="53">
        <v>30010</v>
      </c>
      <c r="G19" s="53">
        <v>202437</v>
      </c>
      <c r="H19" s="53">
        <v>6557148547</v>
      </c>
      <c r="I19" s="2">
        <f t="shared" si="4"/>
        <v>32391.057696962511</v>
      </c>
    </row>
    <row r="20" spans="1:11" x14ac:dyDescent="0.3">
      <c r="A20" s="53">
        <v>35010</v>
      </c>
      <c r="B20" s="53">
        <v>146819</v>
      </c>
      <c r="C20" s="53">
        <v>5489160650</v>
      </c>
      <c r="D20" s="54">
        <v>1.8330824350173303</v>
      </c>
      <c r="F20" s="53">
        <v>35010</v>
      </c>
      <c r="G20" s="53">
        <v>146819</v>
      </c>
      <c r="H20" s="53">
        <v>5489160650</v>
      </c>
      <c r="I20" s="2">
        <f t="shared" si="4"/>
        <v>37387.263569429022</v>
      </c>
    </row>
    <row r="21" spans="1:11" x14ac:dyDescent="0.3">
      <c r="A21" s="53">
        <v>40010</v>
      </c>
      <c r="B21" s="53">
        <v>191807</v>
      </c>
      <c r="C21" s="53">
        <v>8533802626</v>
      </c>
      <c r="D21" s="54">
        <v>1.8055907929610442</v>
      </c>
      <c r="F21" s="53">
        <v>40010</v>
      </c>
      <c r="G21" s="53">
        <v>191807</v>
      </c>
      <c r="H21" s="53">
        <v>8533802626</v>
      </c>
      <c r="I21" s="2">
        <f t="shared" si="4"/>
        <v>44491.612016245497</v>
      </c>
    </row>
    <row r="22" spans="1:11" x14ac:dyDescent="0.3">
      <c r="A22" s="53">
        <v>50010</v>
      </c>
      <c r="B22" s="53">
        <v>91793</v>
      </c>
      <c r="C22" s="53">
        <v>5074176376</v>
      </c>
      <c r="D22" s="54">
        <v>1.804302852615187</v>
      </c>
      <c r="F22" s="53">
        <v>50010</v>
      </c>
      <c r="G22" s="53">
        <v>91793</v>
      </c>
      <c r="H22" s="53">
        <v>5074176376</v>
      </c>
      <c r="I22" s="2">
        <f t="shared" si="4"/>
        <v>55278.467595568291</v>
      </c>
    </row>
    <row r="23" spans="1:11" x14ac:dyDescent="0.3">
      <c r="A23" s="53">
        <v>60010</v>
      </c>
      <c r="B23" s="53">
        <v>68106</v>
      </c>
      <c r="C23" s="53">
        <v>4400560755</v>
      </c>
      <c r="D23" s="54">
        <v>1.7656683102844781</v>
      </c>
      <c r="F23" s="53">
        <v>60010</v>
      </c>
      <c r="G23" s="53">
        <v>68106</v>
      </c>
      <c r="H23" s="53">
        <v>4400560755</v>
      </c>
      <c r="I23" s="2">
        <f t="shared" si="4"/>
        <v>64613.407849528674</v>
      </c>
    </row>
    <row r="24" spans="1:11" x14ac:dyDescent="0.3">
      <c r="A24" s="53">
        <v>70010</v>
      </c>
      <c r="B24" s="53">
        <v>39638</v>
      </c>
      <c r="C24" s="53">
        <v>2955696080</v>
      </c>
      <c r="D24" s="54">
        <v>1.8093226988791851</v>
      </c>
      <c r="F24" s="53">
        <v>70010</v>
      </c>
      <c r="G24" s="53">
        <v>39638</v>
      </c>
      <c r="H24" s="53">
        <v>2955696080</v>
      </c>
      <c r="I24" s="2">
        <f t="shared" si="4"/>
        <v>74567.235481103984</v>
      </c>
    </row>
    <row r="25" spans="1:11" x14ac:dyDescent="0.3">
      <c r="A25" s="53">
        <v>80010</v>
      </c>
      <c r="B25" s="53">
        <v>40219</v>
      </c>
      <c r="C25" s="53">
        <v>3562573382</v>
      </c>
      <c r="D25" s="54">
        <v>1.8512138786734478</v>
      </c>
      <c r="F25" s="53">
        <v>80010</v>
      </c>
      <c r="G25" s="53">
        <v>40219</v>
      </c>
      <c r="H25" s="53">
        <v>3562573382</v>
      </c>
      <c r="I25" s="2">
        <f t="shared" si="4"/>
        <v>88579.362540092989</v>
      </c>
    </row>
    <row r="26" spans="1:11" x14ac:dyDescent="0.3">
      <c r="A26" s="53">
        <v>100010</v>
      </c>
      <c r="B26" s="53">
        <v>44077</v>
      </c>
      <c r="C26" s="53">
        <v>5804831428</v>
      </c>
      <c r="D26" s="54">
        <v>1.907889470649633</v>
      </c>
      <c r="F26" s="53">
        <v>100010</v>
      </c>
      <c r="G26" s="53">
        <v>44077</v>
      </c>
      <c r="H26" s="53">
        <v>5804831428</v>
      </c>
      <c r="I26" s="2">
        <f t="shared" si="4"/>
        <v>131697.51634639382</v>
      </c>
    </row>
    <row r="27" spans="1:11" x14ac:dyDescent="0.3">
      <c r="A27" s="53">
        <v>200010</v>
      </c>
      <c r="B27" s="53">
        <v>9203</v>
      </c>
      <c r="C27" s="53">
        <v>2440228110</v>
      </c>
      <c r="D27" s="54">
        <v>2.0386234326918125</v>
      </c>
      <c r="F27" s="53">
        <v>200010</v>
      </c>
      <c r="G27" s="53">
        <v>9203</v>
      </c>
      <c r="H27" s="53">
        <v>2440228110</v>
      </c>
      <c r="I27" s="2">
        <f t="shared" si="4"/>
        <v>265155.72204715852</v>
      </c>
    </row>
    <row r="28" spans="1:11" x14ac:dyDescent="0.3">
      <c r="A28" s="53">
        <v>400000</v>
      </c>
      <c r="B28" s="53">
        <v>2807</v>
      </c>
      <c r="C28" s="53">
        <v>2456790214</v>
      </c>
      <c r="D28" s="54">
        <v>2.1880924599216245</v>
      </c>
      <c r="F28" s="53">
        <v>400000</v>
      </c>
      <c r="G28" s="53">
        <v>2807</v>
      </c>
      <c r="H28" s="53">
        <v>2456790214</v>
      </c>
      <c r="I28" s="2">
        <f t="shared" si="4"/>
        <v>875236.98396864976</v>
      </c>
    </row>
    <row r="29" spans="1:11" x14ac:dyDescent="0.3">
      <c r="A29" s="51" t="s">
        <v>56</v>
      </c>
      <c r="B29" s="51" t="s">
        <v>186</v>
      </c>
      <c r="C29" s="51" t="s">
        <v>174</v>
      </c>
      <c r="D29" s="52" t="s">
        <v>59</v>
      </c>
    </row>
    <row r="30" spans="1:11" x14ac:dyDescent="0.3">
      <c r="A30" s="53">
        <v>20010</v>
      </c>
      <c r="B30" s="53">
        <v>7920</v>
      </c>
      <c r="C30" s="53">
        <v>187370094</v>
      </c>
      <c r="D30" s="54">
        <v>6.4815165675358388</v>
      </c>
      <c r="F30" s="53">
        <v>20010</v>
      </c>
      <c r="G30" s="2">
        <v>269280.02303323516</v>
      </c>
      <c r="H30" s="2">
        <v>6295984070.4954586</v>
      </c>
      <c r="I30" s="2">
        <f>H30/G30</f>
        <v>23380.806342691056</v>
      </c>
    </row>
    <row r="31" spans="1:11" x14ac:dyDescent="0.3">
      <c r="A31" s="53">
        <v>25010</v>
      </c>
      <c r="B31" s="53">
        <v>249519</v>
      </c>
      <c r="C31" s="53">
        <v>6058482043</v>
      </c>
      <c r="D31" s="54">
        <v>5.1942677343585073</v>
      </c>
      <c r="F31" s="53">
        <v>25010</v>
      </c>
      <c r="G31" s="55">
        <v>249519</v>
      </c>
      <c r="H31" s="55">
        <v>6058482043</v>
      </c>
      <c r="I31" s="2">
        <f t="shared" ref="I31:I41" si="5">H31/G31</f>
        <v>24280.644131308636</v>
      </c>
    </row>
    <row r="32" spans="1:11" x14ac:dyDescent="0.3">
      <c r="A32" s="53">
        <v>30010</v>
      </c>
      <c r="B32" s="53">
        <v>373956</v>
      </c>
      <c r="C32" s="53">
        <v>12162375474</v>
      </c>
      <c r="D32" s="54">
        <v>4.5672245858264615</v>
      </c>
      <c r="F32" s="53">
        <v>30010</v>
      </c>
      <c r="G32" s="55">
        <v>373956</v>
      </c>
      <c r="H32" s="55">
        <v>12162375474</v>
      </c>
      <c r="I32" s="2">
        <f t="shared" si="5"/>
        <v>32523.546818342264</v>
      </c>
    </row>
    <row r="33" spans="1:9" x14ac:dyDescent="0.3">
      <c r="A33" s="53">
        <v>35010</v>
      </c>
      <c r="B33" s="53">
        <v>365481</v>
      </c>
      <c r="C33" s="53">
        <v>13700373253</v>
      </c>
      <c r="D33" s="54">
        <v>4.2522697863945478</v>
      </c>
      <c r="F33" s="53">
        <v>35010</v>
      </c>
      <c r="G33" s="55">
        <v>365481</v>
      </c>
      <c r="H33" s="55">
        <v>13700373253</v>
      </c>
      <c r="I33" s="2">
        <f t="shared" si="5"/>
        <v>37485.869998714021</v>
      </c>
    </row>
    <row r="34" spans="1:9" x14ac:dyDescent="0.3">
      <c r="A34" s="53">
        <v>40010</v>
      </c>
      <c r="B34" s="53">
        <v>619319</v>
      </c>
      <c r="C34" s="53">
        <v>27661133867</v>
      </c>
      <c r="D34" s="54">
        <v>4.0663876281436382</v>
      </c>
      <c r="F34" s="53">
        <v>40010</v>
      </c>
      <c r="G34" s="55">
        <v>619319</v>
      </c>
      <c r="H34" s="55">
        <v>27661133867</v>
      </c>
      <c r="I34" s="2">
        <f t="shared" si="5"/>
        <v>44663.790174368944</v>
      </c>
    </row>
    <row r="35" spans="1:9" x14ac:dyDescent="0.3">
      <c r="A35" s="53">
        <v>50010</v>
      </c>
      <c r="B35" s="53">
        <v>526193</v>
      </c>
      <c r="C35" s="53">
        <v>29072664595</v>
      </c>
      <c r="D35" s="54">
        <v>3.881831799816482</v>
      </c>
      <c r="F35" s="53">
        <v>50010</v>
      </c>
      <c r="G35" s="55">
        <v>526193</v>
      </c>
      <c r="H35" s="55">
        <v>29072664595</v>
      </c>
      <c r="I35" s="2">
        <f t="shared" si="5"/>
        <v>55250.952777783059</v>
      </c>
    </row>
    <row r="36" spans="1:9" x14ac:dyDescent="0.3">
      <c r="A36" s="53">
        <v>60010</v>
      </c>
      <c r="B36" s="53">
        <v>467297</v>
      </c>
      <c r="C36" s="53">
        <v>30275903512</v>
      </c>
      <c r="D36" s="54">
        <v>3.911765544074727</v>
      </c>
      <c r="F36" s="53">
        <v>60010</v>
      </c>
      <c r="G36" s="55">
        <v>467297</v>
      </c>
      <c r="H36" s="55">
        <v>30275903512</v>
      </c>
      <c r="I36" s="2">
        <f t="shared" si="5"/>
        <v>64789.424096452574</v>
      </c>
    </row>
    <row r="37" spans="1:9" x14ac:dyDescent="0.3">
      <c r="A37" s="53">
        <v>70010</v>
      </c>
      <c r="B37" s="53">
        <v>344170</v>
      </c>
      <c r="C37" s="53">
        <v>257117752951</v>
      </c>
      <c r="D37" s="54">
        <v>4.2046841603749945</v>
      </c>
      <c r="F37" s="53">
        <v>70010</v>
      </c>
      <c r="G37" s="55">
        <v>344170</v>
      </c>
      <c r="H37" s="53">
        <v>25717752951</v>
      </c>
      <c r="I37" s="2">
        <f t="shared" si="5"/>
        <v>74723.982191940027</v>
      </c>
    </row>
    <row r="38" spans="1:9" x14ac:dyDescent="0.3">
      <c r="A38" s="53">
        <v>80010</v>
      </c>
      <c r="B38" s="53">
        <v>420138</v>
      </c>
      <c r="C38" s="53">
        <v>37343957022</v>
      </c>
      <c r="D38" s="54">
        <v>1.7078413888308708</v>
      </c>
      <c r="F38" s="53">
        <v>80010</v>
      </c>
      <c r="G38" s="55">
        <v>420138</v>
      </c>
      <c r="H38" s="55">
        <v>37343957022</v>
      </c>
      <c r="I38" s="2">
        <f t="shared" si="5"/>
        <v>88884.978321408678</v>
      </c>
    </row>
    <row r="39" spans="1:9" x14ac:dyDescent="0.3">
      <c r="A39" s="53">
        <v>100010</v>
      </c>
      <c r="B39" s="53">
        <v>465802</v>
      </c>
      <c r="C39" s="53">
        <v>60641348086</v>
      </c>
      <c r="D39" s="54">
        <v>1.7197364228543448</v>
      </c>
      <c r="F39" s="53">
        <v>100010</v>
      </c>
      <c r="G39" s="55">
        <v>465802</v>
      </c>
      <c r="H39" s="55">
        <v>60641348086</v>
      </c>
      <c r="I39" s="2">
        <f t="shared" si="5"/>
        <v>130186.96374425184</v>
      </c>
    </row>
    <row r="40" spans="1:9" x14ac:dyDescent="0.3">
      <c r="A40" s="53">
        <v>200010</v>
      </c>
      <c r="B40" s="53">
        <v>81013</v>
      </c>
      <c r="C40" s="53">
        <v>21356297982</v>
      </c>
      <c r="D40" s="54">
        <v>1.8155136485421508</v>
      </c>
      <c r="F40" s="53">
        <v>200010</v>
      </c>
      <c r="G40" s="55">
        <v>81013</v>
      </c>
      <c r="H40" s="55">
        <v>21356297982</v>
      </c>
      <c r="I40" s="2">
        <f t="shared" si="5"/>
        <v>263615.69108661573</v>
      </c>
    </row>
    <row r="41" spans="1:9" x14ac:dyDescent="0.3">
      <c r="A41" s="53">
        <v>400000</v>
      </c>
      <c r="B41" s="53">
        <v>20867</v>
      </c>
      <c r="C41" s="53">
        <v>15638457766</v>
      </c>
      <c r="D41" s="54">
        <v>1.8735872149805914</v>
      </c>
      <c r="F41" s="53">
        <v>400000</v>
      </c>
      <c r="G41" s="55">
        <v>20867</v>
      </c>
      <c r="H41" s="55">
        <v>15638457766</v>
      </c>
      <c r="I41" s="2">
        <f t="shared" si="5"/>
        <v>749434.88599223655</v>
      </c>
    </row>
    <row r="42" spans="1:9" x14ac:dyDescent="0.3">
      <c r="A42" s="51" t="s">
        <v>56</v>
      </c>
      <c r="B42" s="51" t="s">
        <v>187</v>
      </c>
      <c r="C42" s="51" t="s">
        <v>188</v>
      </c>
      <c r="D42" s="52" t="s">
        <v>59</v>
      </c>
      <c r="G42" s="2"/>
      <c r="H42" s="2"/>
    </row>
    <row r="43" spans="1:9" x14ac:dyDescent="0.3">
      <c r="A43" s="53">
        <v>20010</v>
      </c>
      <c r="B43" s="53">
        <v>393</v>
      </c>
      <c r="C43" s="53">
        <v>9289895</v>
      </c>
      <c r="D43" s="54">
        <v>2.3887877040807965</v>
      </c>
      <c r="F43" s="53">
        <v>20010</v>
      </c>
      <c r="G43" s="2">
        <v>62979.747370635254</v>
      </c>
      <c r="H43" s="2">
        <v>1472517276.7844291</v>
      </c>
      <c r="I43" s="2">
        <f>H43/G43</f>
        <v>23380.806342691056</v>
      </c>
    </row>
    <row r="44" spans="1:9" x14ac:dyDescent="0.3">
      <c r="A44" s="53">
        <v>25010</v>
      </c>
      <c r="B44" s="53">
        <v>58358</v>
      </c>
      <c r="C44" s="53">
        <v>1618485794</v>
      </c>
      <c r="D44" s="54">
        <v>1.9123656036555998</v>
      </c>
      <c r="F44" s="53">
        <v>25010</v>
      </c>
      <c r="G44" s="55">
        <v>58358</v>
      </c>
      <c r="H44" s="55">
        <v>1618485794</v>
      </c>
      <c r="I44" s="2">
        <f t="shared" ref="I44:I54" si="6">H44/G44</f>
        <v>27733.74334281504</v>
      </c>
    </row>
    <row r="45" spans="1:9" x14ac:dyDescent="0.3">
      <c r="A45" s="53">
        <v>30010</v>
      </c>
      <c r="B45" s="53">
        <v>63181</v>
      </c>
      <c r="C45" s="53">
        <v>2051123418</v>
      </c>
      <c r="D45" s="54">
        <v>1.7366735809924889</v>
      </c>
      <c r="F45" s="53">
        <v>30010</v>
      </c>
      <c r="G45" s="55">
        <v>63181</v>
      </c>
      <c r="H45" s="55">
        <v>2051123418</v>
      </c>
      <c r="I45" s="2">
        <f t="shared" si="6"/>
        <v>32464.24428230006</v>
      </c>
    </row>
    <row r="46" spans="1:9" x14ac:dyDescent="0.3">
      <c r="A46" s="53">
        <v>35010</v>
      </c>
      <c r="B46" s="53">
        <v>51701</v>
      </c>
      <c r="C46" s="53">
        <v>1934503680</v>
      </c>
      <c r="D46" s="54">
        <v>1.6573691230394734</v>
      </c>
      <c r="F46" s="53">
        <v>35010</v>
      </c>
      <c r="G46" s="55">
        <v>51701</v>
      </c>
      <c r="H46" s="55">
        <v>1934503680</v>
      </c>
      <c r="I46" s="2">
        <f t="shared" si="6"/>
        <v>37417.142415040325</v>
      </c>
    </row>
    <row r="47" spans="1:9" x14ac:dyDescent="0.3">
      <c r="A47" s="53">
        <v>40010</v>
      </c>
      <c r="B47" s="53">
        <v>70055</v>
      </c>
      <c r="C47" s="53">
        <v>3115554614</v>
      </c>
      <c r="D47" s="54">
        <v>1.6182414010219979</v>
      </c>
      <c r="F47" s="53">
        <v>40010</v>
      </c>
      <c r="G47" s="55">
        <v>70055</v>
      </c>
      <c r="H47" s="55">
        <v>3115554614</v>
      </c>
      <c r="I47" s="2">
        <f t="shared" si="6"/>
        <v>44472.980001427451</v>
      </c>
    </row>
    <row r="48" spans="1:9" x14ac:dyDescent="0.3">
      <c r="A48" s="53">
        <v>50010</v>
      </c>
      <c r="B48" s="53">
        <v>36351</v>
      </c>
      <c r="C48" s="53">
        <v>1981561659</v>
      </c>
      <c r="D48" s="54">
        <v>1.615698582908845</v>
      </c>
      <c r="F48" s="53">
        <v>50010</v>
      </c>
      <c r="G48" s="55">
        <v>36351</v>
      </c>
      <c r="H48" s="55">
        <v>1981561659</v>
      </c>
      <c r="I48" s="2">
        <f t="shared" si="6"/>
        <v>54511.888503755057</v>
      </c>
    </row>
    <row r="49" spans="1:9" x14ac:dyDescent="0.3">
      <c r="A49" s="53">
        <v>60010</v>
      </c>
      <c r="B49" s="53">
        <v>19114</v>
      </c>
      <c r="C49" s="53">
        <v>1233819124</v>
      </c>
      <c r="D49" s="54">
        <v>1.6520748879990885</v>
      </c>
      <c r="F49" s="53">
        <v>60010</v>
      </c>
      <c r="G49" s="55">
        <v>19114</v>
      </c>
      <c r="H49" s="55">
        <v>1233819124</v>
      </c>
      <c r="I49" s="2">
        <f t="shared" si="6"/>
        <v>64550.545359422416</v>
      </c>
    </row>
    <row r="50" spans="1:9" x14ac:dyDescent="0.3">
      <c r="A50" s="53">
        <v>70010</v>
      </c>
      <c r="B50" s="53">
        <v>10260</v>
      </c>
      <c r="C50" s="53">
        <v>764968967</v>
      </c>
      <c r="D50" s="54">
        <v>1.7023351457951461</v>
      </c>
      <c r="F50" s="53">
        <v>70010</v>
      </c>
      <c r="G50" s="55">
        <v>10260</v>
      </c>
      <c r="H50" s="55">
        <v>764968967</v>
      </c>
      <c r="I50" s="2">
        <f t="shared" si="6"/>
        <v>74558.37884990254</v>
      </c>
    </row>
    <row r="51" spans="1:9" x14ac:dyDescent="0.3">
      <c r="A51" s="53">
        <v>80010</v>
      </c>
      <c r="B51" s="53">
        <v>10143</v>
      </c>
      <c r="C51" s="53">
        <v>898300854</v>
      </c>
      <c r="D51" s="54">
        <v>1.7412774833885216</v>
      </c>
      <c r="F51" s="53">
        <v>80010</v>
      </c>
      <c r="G51" s="55">
        <v>10143</v>
      </c>
      <c r="H51" s="55">
        <v>898300854</v>
      </c>
      <c r="I51" s="2">
        <f t="shared" si="6"/>
        <v>88563.625554569648</v>
      </c>
    </row>
    <row r="52" spans="1:9" x14ac:dyDescent="0.3">
      <c r="A52" s="53">
        <v>100010</v>
      </c>
      <c r="B52" s="53">
        <v>10058</v>
      </c>
      <c r="C52" s="53">
        <v>1317704707</v>
      </c>
      <c r="D52" s="54">
        <v>1.8019261401897937</v>
      </c>
      <c r="F52" s="53">
        <v>100010</v>
      </c>
      <c r="G52" s="55">
        <v>10058</v>
      </c>
      <c r="H52" s="55">
        <v>1317704707</v>
      </c>
      <c r="I52" s="2">
        <f t="shared" si="6"/>
        <v>131010.60916683238</v>
      </c>
    </row>
    <row r="53" spans="1:9" x14ac:dyDescent="0.3">
      <c r="A53" s="53">
        <v>200010</v>
      </c>
      <c r="B53" s="53">
        <v>2010</v>
      </c>
      <c r="C53" s="53">
        <v>532354299</v>
      </c>
      <c r="D53" s="54">
        <v>1.8781587895328771</v>
      </c>
      <c r="F53" s="53">
        <v>200010</v>
      </c>
      <c r="G53" s="55">
        <v>2010</v>
      </c>
      <c r="H53" s="55">
        <v>532354299</v>
      </c>
      <c r="I53" s="2">
        <f t="shared" si="6"/>
        <v>264852.88507462689</v>
      </c>
    </row>
    <row r="54" spans="1:9" x14ac:dyDescent="0.3">
      <c r="A54" s="53">
        <v>400000</v>
      </c>
      <c r="B54" s="53">
        <v>522</v>
      </c>
      <c r="C54" s="53">
        <v>418792867</v>
      </c>
      <c r="D54" s="54">
        <v>2.005712964559387</v>
      </c>
      <c r="F54" s="53">
        <v>400000</v>
      </c>
      <c r="G54" s="55">
        <v>522</v>
      </c>
      <c r="H54" s="55">
        <v>418792867</v>
      </c>
      <c r="I54" s="2">
        <f t="shared" si="6"/>
        <v>802285.18582375476</v>
      </c>
    </row>
    <row r="55" spans="1:9" x14ac:dyDescent="0.3">
      <c r="A55" s="51" t="s">
        <v>56</v>
      </c>
      <c r="B55" s="51" t="s">
        <v>177</v>
      </c>
      <c r="C55" s="51" t="s">
        <v>178</v>
      </c>
      <c r="D55" s="52" t="s">
        <v>59</v>
      </c>
      <c r="G55" s="2"/>
      <c r="H55" s="2"/>
    </row>
    <row r="56" spans="1:9" x14ac:dyDescent="0.3">
      <c r="A56" s="53">
        <v>20010</v>
      </c>
      <c r="B56" s="53">
        <v>105</v>
      </c>
      <c r="C56" s="53">
        <v>2369296</v>
      </c>
      <c r="D56" s="54">
        <v>3.5000150215592498</v>
      </c>
      <c r="F56" s="53">
        <v>20010</v>
      </c>
      <c r="G56" s="2">
        <v>174007.95523982798</v>
      </c>
      <c r="H56" s="2">
        <v>4068446303.5500712</v>
      </c>
      <c r="I56" s="2">
        <f>H56/G56</f>
        <v>23380.806342691056</v>
      </c>
    </row>
    <row r="57" spans="1:9" x14ac:dyDescent="0.3">
      <c r="A57" s="53">
        <v>25010</v>
      </c>
      <c r="B57" s="53">
        <v>3387</v>
      </c>
      <c r="C57" s="53">
        <v>98069311</v>
      </c>
      <c r="D57" s="54">
        <v>4.0039349476453792</v>
      </c>
      <c r="F57" s="53">
        <v>25010</v>
      </c>
      <c r="G57" s="2">
        <v>161238.44054383438</v>
      </c>
      <c r="H57" s="2">
        <v>4471745527.0384455</v>
      </c>
      <c r="I57" s="2">
        <f t="shared" ref="I57:I67" si="7">H57/G57</f>
        <v>27733.74334281504</v>
      </c>
    </row>
    <row r="58" spans="1:9" x14ac:dyDescent="0.3">
      <c r="A58" s="53">
        <v>30010</v>
      </c>
      <c r="B58" s="53">
        <v>174564</v>
      </c>
      <c r="C58" s="53">
        <v>5771377152</v>
      </c>
      <c r="D58" s="54">
        <v>3.3351511311656541</v>
      </c>
      <c r="F58" s="53">
        <v>30010</v>
      </c>
      <c r="G58" s="55">
        <v>174564</v>
      </c>
      <c r="H58" s="55">
        <v>5771377152</v>
      </c>
      <c r="I58" s="2">
        <f t="shared" si="7"/>
        <v>33061.668797690247</v>
      </c>
    </row>
    <row r="59" spans="1:9" x14ac:dyDescent="0.3">
      <c r="A59" s="53">
        <v>35010</v>
      </c>
      <c r="B59" s="53">
        <v>224523</v>
      </c>
      <c r="C59" s="53">
        <v>8420701276</v>
      </c>
      <c r="D59" s="54">
        <v>2.7739028119840943</v>
      </c>
      <c r="F59" s="53">
        <v>35010</v>
      </c>
      <c r="G59" s="55">
        <v>224523</v>
      </c>
      <c r="H59" s="55">
        <v>8420701276</v>
      </c>
      <c r="I59" s="2">
        <f t="shared" si="7"/>
        <v>37504.849284928496</v>
      </c>
    </row>
    <row r="60" spans="1:9" x14ac:dyDescent="0.3">
      <c r="A60" s="53">
        <v>40010</v>
      </c>
      <c r="B60" s="53">
        <v>431710</v>
      </c>
      <c r="C60" s="53">
        <v>1940241591</v>
      </c>
      <c r="D60" s="54">
        <v>2.3188151942799564</v>
      </c>
      <c r="F60" s="53">
        <v>40010</v>
      </c>
      <c r="G60" s="55">
        <v>431710</v>
      </c>
      <c r="H60" s="55">
        <v>19400241591</v>
      </c>
      <c r="I60" s="2">
        <f t="shared" si="7"/>
        <v>44938.133448379696</v>
      </c>
    </row>
    <row r="61" spans="1:9" x14ac:dyDescent="0.3">
      <c r="A61" s="53">
        <v>50010</v>
      </c>
      <c r="B61" s="53">
        <v>415338</v>
      </c>
      <c r="C61" s="53">
        <v>22886961701</v>
      </c>
      <c r="D61" s="54">
        <v>1.8351557336960713</v>
      </c>
      <c r="F61" s="53">
        <v>50010</v>
      </c>
      <c r="G61" s="55">
        <v>415338</v>
      </c>
      <c r="H61" s="55">
        <v>22886961701</v>
      </c>
      <c r="I61" s="2">
        <f t="shared" si="7"/>
        <v>55104.425073073013</v>
      </c>
    </row>
    <row r="62" spans="1:9" x14ac:dyDescent="0.3">
      <c r="A62" s="53">
        <v>60010</v>
      </c>
      <c r="B62" s="53">
        <v>385843</v>
      </c>
      <c r="C62" s="53">
        <v>25027737095</v>
      </c>
      <c r="D62" s="54">
        <v>1.6957184289422906</v>
      </c>
      <c r="F62" s="53">
        <v>60010</v>
      </c>
      <c r="G62" s="55">
        <v>385843</v>
      </c>
      <c r="H62" s="55">
        <v>25027737095</v>
      </c>
      <c r="I62" s="2">
        <f t="shared" si="7"/>
        <v>64865.080084386653</v>
      </c>
    </row>
    <row r="63" spans="1:9" x14ac:dyDescent="0.3">
      <c r="A63" s="53">
        <v>70010</v>
      </c>
      <c r="B63" s="53">
        <v>302910</v>
      </c>
      <c r="C63" s="53">
        <v>22647185427</v>
      </c>
      <c r="D63" s="54">
        <v>1.6319169625429524</v>
      </c>
      <c r="F63" s="53">
        <v>70010</v>
      </c>
      <c r="G63" s="55">
        <v>302910</v>
      </c>
      <c r="H63" s="55">
        <v>22647185427</v>
      </c>
      <c r="I63" s="2">
        <f t="shared" si="7"/>
        <v>74765.393770426861</v>
      </c>
    </row>
    <row r="64" spans="1:9" x14ac:dyDescent="0.3">
      <c r="A64" s="53">
        <v>80010</v>
      </c>
      <c r="B64" s="53">
        <v>375929</v>
      </c>
      <c r="C64" s="53">
        <v>33406582331</v>
      </c>
      <c r="D64" s="54">
        <v>1.6065905988312887</v>
      </c>
      <c r="F64" s="53">
        <v>80010</v>
      </c>
      <c r="G64" s="55">
        <v>375929</v>
      </c>
      <c r="H64" s="55">
        <v>33406582331</v>
      </c>
      <c r="I64" s="2">
        <f t="shared" si="7"/>
        <v>88864.073617624599</v>
      </c>
    </row>
    <row r="65" spans="1:9" x14ac:dyDescent="0.3">
      <c r="A65" s="53">
        <v>100010</v>
      </c>
      <c r="B65" s="53">
        <v>389564</v>
      </c>
      <c r="C65" s="53">
        <v>50149237774</v>
      </c>
      <c r="D65" s="54">
        <v>1.6089222827217156</v>
      </c>
      <c r="F65" s="53">
        <v>100010</v>
      </c>
      <c r="G65" s="55">
        <v>389564</v>
      </c>
      <c r="H65" s="55">
        <v>50149237774</v>
      </c>
      <c r="I65" s="2">
        <f t="shared" si="7"/>
        <v>128731.70460822868</v>
      </c>
    </row>
    <row r="66" spans="1:9" x14ac:dyDescent="0.3">
      <c r="A66" s="53">
        <v>200010</v>
      </c>
      <c r="B66" s="53">
        <v>58706</v>
      </c>
      <c r="C66" s="53">
        <v>15382321837</v>
      </c>
      <c r="D66" s="54">
        <v>1.683208024548718</v>
      </c>
      <c r="F66" s="53">
        <v>200010</v>
      </c>
      <c r="G66" s="55">
        <v>58706</v>
      </c>
      <c r="H66" s="55">
        <v>15382321837</v>
      </c>
      <c r="I66" s="2">
        <f t="shared" si="7"/>
        <v>262022.99316935235</v>
      </c>
    </row>
    <row r="67" spans="1:9" x14ac:dyDescent="0.3">
      <c r="A67" s="53">
        <v>400000</v>
      </c>
      <c r="B67" s="53">
        <v>12616</v>
      </c>
      <c r="C67" s="53">
        <v>8628831206</v>
      </c>
      <c r="D67" s="54">
        <v>1.7098983841946735</v>
      </c>
      <c r="F67" s="53">
        <v>400000</v>
      </c>
      <c r="G67" s="55">
        <v>12616</v>
      </c>
      <c r="H67" s="55">
        <v>8628831206</v>
      </c>
      <c r="I67" s="2">
        <f t="shared" si="7"/>
        <v>683959.35367786943</v>
      </c>
    </row>
    <row r="68" spans="1:9" x14ac:dyDescent="0.3">
      <c r="A68" s="51" t="s">
        <v>56</v>
      </c>
      <c r="B68" s="51" t="s">
        <v>179</v>
      </c>
      <c r="C68" s="51" t="s">
        <v>71</v>
      </c>
      <c r="D68" s="52" t="s">
        <v>59</v>
      </c>
      <c r="G68" s="2"/>
      <c r="H68" s="2"/>
    </row>
    <row r="69" spans="1:9" x14ac:dyDescent="0.3">
      <c r="A69" s="53">
        <v>20010</v>
      </c>
      <c r="B69" s="53">
        <v>96</v>
      </c>
      <c r="C69" s="53">
        <v>2176062</v>
      </c>
      <c r="D69" s="54">
        <v>4.3328739043191291</v>
      </c>
      <c r="F69" s="53">
        <v>20010</v>
      </c>
      <c r="G69" s="2">
        <v>93660.940744103951</v>
      </c>
      <c r="H69" s="2">
        <v>2189868317.4121571</v>
      </c>
    </row>
    <row r="70" spans="1:9" x14ac:dyDescent="0.3">
      <c r="A70" s="53">
        <v>25010</v>
      </c>
      <c r="B70" s="53">
        <v>107</v>
      </c>
      <c r="C70" s="53">
        <v>2962526</v>
      </c>
      <c r="D70" s="54">
        <v>3.4667557272408382</v>
      </c>
      <c r="F70" s="53">
        <v>25010</v>
      </c>
      <c r="G70" s="2">
        <v>86787.664418179556</v>
      </c>
      <c r="H70" s="2">
        <v>2406946810.2961531</v>
      </c>
    </row>
    <row r="71" spans="1:9" x14ac:dyDescent="0.3">
      <c r="A71" s="53">
        <v>30010</v>
      </c>
      <c r="B71" s="53">
        <v>2076</v>
      </c>
      <c r="C71" s="53">
        <v>71060562</v>
      </c>
      <c r="D71" s="54">
        <v>2.8892499114765009</v>
      </c>
      <c r="F71" s="53">
        <v>30010</v>
      </c>
      <c r="G71" s="2">
        <v>93960.235539343412</v>
      </c>
      <c r="H71" s="2">
        <v>3106482187.5547361</v>
      </c>
    </row>
    <row r="72" spans="1:9" x14ac:dyDescent="0.3">
      <c r="A72" s="53">
        <v>35010</v>
      </c>
      <c r="B72" s="53">
        <v>120851</v>
      </c>
      <c r="C72" s="53">
        <v>4640693165</v>
      </c>
      <c r="D72" s="54">
        <v>2.4780132216540709</v>
      </c>
      <c r="F72" s="53">
        <v>35010</v>
      </c>
      <c r="G72" s="55">
        <v>120851</v>
      </c>
      <c r="H72" s="55">
        <v>4640693165</v>
      </c>
    </row>
    <row r="73" spans="1:9" x14ac:dyDescent="0.3">
      <c r="A73" s="53">
        <v>40010</v>
      </c>
      <c r="B73" s="53">
        <v>361726</v>
      </c>
      <c r="C73" s="53">
        <v>16261298088</v>
      </c>
      <c r="D73" s="54">
        <v>2.2375887924914237</v>
      </c>
      <c r="F73" s="53">
        <v>40010</v>
      </c>
      <c r="G73" s="55">
        <v>361726</v>
      </c>
      <c r="H73" s="55">
        <v>16261298088</v>
      </c>
    </row>
    <row r="74" spans="1:9" x14ac:dyDescent="0.3">
      <c r="A74" s="53">
        <v>50010</v>
      </c>
      <c r="B74" s="53">
        <v>337368</v>
      </c>
      <c r="C74" s="53">
        <v>18558037765</v>
      </c>
      <c r="D74" s="54">
        <v>1.9746539997631936</v>
      </c>
      <c r="F74" s="53">
        <v>50010</v>
      </c>
      <c r="G74" s="55">
        <v>337368</v>
      </c>
      <c r="H74" s="55">
        <v>18558037765</v>
      </c>
    </row>
    <row r="75" spans="1:9" x14ac:dyDescent="0.3">
      <c r="A75" s="53">
        <v>60010</v>
      </c>
      <c r="B75" s="53">
        <v>305932</v>
      </c>
      <c r="C75" s="53">
        <v>19847644697</v>
      </c>
      <c r="D75" s="54">
        <v>1.8200079573872017</v>
      </c>
      <c r="F75" s="53">
        <v>60010</v>
      </c>
      <c r="G75" s="55">
        <v>305932</v>
      </c>
      <c r="H75" s="55">
        <v>19847644697</v>
      </c>
    </row>
    <row r="76" spans="1:9" x14ac:dyDescent="0.3">
      <c r="A76" s="53">
        <v>70010</v>
      </c>
      <c r="B76" s="53">
        <v>250300</v>
      </c>
      <c r="C76" s="53">
        <v>18726794296</v>
      </c>
      <c r="D76" s="54">
        <v>1.7355420599663802</v>
      </c>
      <c r="F76" s="53">
        <v>70010</v>
      </c>
      <c r="G76" s="55">
        <v>250300</v>
      </c>
      <c r="H76" s="55">
        <v>18726794296</v>
      </c>
    </row>
    <row r="77" spans="1:9" x14ac:dyDescent="0.3">
      <c r="A77" s="53">
        <v>80010</v>
      </c>
      <c r="B77" s="53">
        <v>346873</v>
      </c>
      <c r="C77" s="53">
        <v>30903452821</v>
      </c>
      <c r="D77" s="54">
        <v>1.6896898445016511</v>
      </c>
      <c r="F77" s="53">
        <v>80010</v>
      </c>
      <c r="G77" s="55">
        <v>346873</v>
      </c>
      <c r="H77" s="55">
        <v>30903452821</v>
      </c>
    </row>
    <row r="78" spans="1:9" x14ac:dyDescent="0.3">
      <c r="A78" s="53">
        <v>100010</v>
      </c>
      <c r="B78" s="53">
        <v>416227</v>
      </c>
      <c r="C78" s="53">
        <v>54081698545</v>
      </c>
      <c r="D78" s="54">
        <v>1.6671951635195772</v>
      </c>
      <c r="F78" s="53">
        <v>100010</v>
      </c>
      <c r="G78" s="55">
        <v>416227</v>
      </c>
      <c r="H78" s="55">
        <v>54081698545</v>
      </c>
    </row>
    <row r="79" spans="1:9" x14ac:dyDescent="0.3">
      <c r="A79" s="53">
        <v>200010</v>
      </c>
      <c r="B79" s="53">
        <v>74360</v>
      </c>
      <c r="C79" s="53">
        <v>19641738088</v>
      </c>
      <c r="D79" s="54">
        <v>1.6779119279168049</v>
      </c>
      <c r="F79" s="53">
        <v>200010</v>
      </c>
      <c r="G79" s="55">
        <v>74360</v>
      </c>
      <c r="H79" s="55">
        <v>19641738088</v>
      </c>
    </row>
    <row r="80" spans="1:9" x14ac:dyDescent="0.3">
      <c r="A80" s="53">
        <v>400000</v>
      </c>
      <c r="B80" s="53">
        <v>16355</v>
      </c>
      <c r="C80" s="53">
        <v>10802140138</v>
      </c>
      <c r="D80" s="54">
        <v>1.6511984313665546</v>
      </c>
      <c r="F80" s="53">
        <v>400000</v>
      </c>
      <c r="G80" s="55">
        <v>16355</v>
      </c>
      <c r="H80" s="55">
        <v>10802140138</v>
      </c>
    </row>
    <row r="81" spans="1:8" x14ac:dyDescent="0.3">
      <c r="A81" s="51" t="s">
        <v>56</v>
      </c>
      <c r="B81" s="51" t="s">
        <v>180</v>
      </c>
      <c r="C81" s="51" t="s">
        <v>73</v>
      </c>
      <c r="D81" s="52" t="s">
        <v>59</v>
      </c>
      <c r="G81" s="2"/>
      <c r="H81" s="2"/>
    </row>
    <row r="82" spans="1:8" x14ac:dyDescent="0.3">
      <c r="A82" s="53">
        <v>20010</v>
      </c>
      <c r="B82" s="53">
        <v>1</v>
      </c>
      <c r="C82" s="53">
        <v>20457</v>
      </c>
      <c r="D82" s="54">
        <v>4.132065833060464</v>
      </c>
      <c r="F82" s="53">
        <v>20010</v>
      </c>
      <c r="G82" s="2">
        <v>3851.8109135348036</v>
      </c>
      <c r="H82" s="2">
        <v>90058445.038021177</v>
      </c>
    </row>
    <row r="83" spans="1:8" x14ac:dyDescent="0.3">
      <c r="A83" s="53">
        <v>25010</v>
      </c>
      <c r="B83" s="53">
        <v>3</v>
      </c>
      <c r="C83" s="53">
        <v>82911</v>
      </c>
      <c r="D83" s="54">
        <v>3.3060215164135078</v>
      </c>
      <c r="F83" s="53">
        <v>25010</v>
      </c>
      <c r="G83" s="2">
        <v>3569.1470778568282</v>
      </c>
      <c r="H83" s="2">
        <v>98985809.010039568</v>
      </c>
    </row>
    <row r="84" spans="1:8" x14ac:dyDescent="0.3">
      <c r="A84" s="53">
        <v>30010</v>
      </c>
      <c r="B84" s="53">
        <v>5</v>
      </c>
      <c r="C84" s="53">
        <v>160932</v>
      </c>
      <c r="D84" s="54">
        <v>2.7552865082917011</v>
      </c>
      <c r="F84" s="53">
        <v>30010</v>
      </c>
      <c r="G84" s="2">
        <v>3864.1194270892129</v>
      </c>
      <c r="H84" s="2">
        <v>127754236.69314413</v>
      </c>
    </row>
    <row r="85" spans="1:8" x14ac:dyDescent="0.3">
      <c r="A85" s="53">
        <v>35010</v>
      </c>
      <c r="B85" s="53">
        <v>115</v>
      </c>
      <c r="C85" s="53">
        <v>4551747</v>
      </c>
      <c r="D85" s="54">
        <v>2.3618979533551552</v>
      </c>
      <c r="F85" s="53">
        <v>35010</v>
      </c>
      <c r="G85" s="2">
        <v>4970.0034722414202</v>
      </c>
      <c r="H85" s="2">
        <v>190848740.54544047</v>
      </c>
    </row>
    <row r="86" spans="1:8" x14ac:dyDescent="0.3">
      <c r="A86" s="53">
        <v>40010</v>
      </c>
      <c r="B86" s="53">
        <v>14876</v>
      </c>
      <c r="C86" s="53">
        <v>684336183</v>
      </c>
      <c r="D86" s="54">
        <v>2.0686513830461646</v>
      </c>
      <c r="F86" s="53">
        <v>40010</v>
      </c>
      <c r="G86" s="55">
        <v>14876</v>
      </c>
      <c r="H86" s="55">
        <v>684336183</v>
      </c>
    </row>
    <row r="87" spans="1:8" x14ac:dyDescent="0.3">
      <c r="A87" s="53">
        <v>50010</v>
      </c>
      <c r="B87" s="53">
        <v>12377</v>
      </c>
      <c r="C87" s="53">
        <v>682866497</v>
      </c>
      <c r="D87" s="54">
        <v>1.8747536641571514</v>
      </c>
      <c r="F87" s="53">
        <v>50010</v>
      </c>
      <c r="G87" s="55">
        <v>12377</v>
      </c>
      <c r="H87" s="55">
        <v>682866497</v>
      </c>
    </row>
    <row r="88" spans="1:8" x14ac:dyDescent="0.3">
      <c r="A88" s="53">
        <v>60010</v>
      </c>
      <c r="B88" s="53">
        <v>9784</v>
      </c>
      <c r="C88" s="53">
        <v>633345124</v>
      </c>
      <c r="D88" s="54">
        <v>1.7751946120138637</v>
      </c>
      <c r="F88" s="53">
        <v>60010</v>
      </c>
      <c r="G88" s="55">
        <v>9784</v>
      </c>
      <c r="H88" s="55">
        <v>633345124</v>
      </c>
    </row>
    <row r="89" spans="1:8" x14ac:dyDescent="0.3">
      <c r="A89" s="53">
        <v>70010</v>
      </c>
      <c r="B89" s="53">
        <v>6894</v>
      </c>
      <c r="C89" s="53">
        <v>515062984</v>
      </c>
      <c r="D89" s="54">
        <v>1.733236752606667</v>
      </c>
      <c r="F89" s="53">
        <v>70010</v>
      </c>
      <c r="G89" s="55">
        <v>6894</v>
      </c>
      <c r="H89" s="55">
        <v>515062984</v>
      </c>
    </row>
    <row r="90" spans="1:8" x14ac:dyDescent="0.3">
      <c r="A90" s="53">
        <v>80010</v>
      </c>
      <c r="B90" s="53">
        <v>8460</v>
      </c>
      <c r="C90" s="53">
        <v>752796557</v>
      </c>
      <c r="D90" s="54">
        <v>1.7106228277476903</v>
      </c>
      <c r="F90" s="53">
        <v>80010</v>
      </c>
      <c r="G90" s="55">
        <v>8460</v>
      </c>
      <c r="H90" s="55">
        <v>752796557</v>
      </c>
    </row>
    <row r="91" spans="1:8" x14ac:dyDescent="0.3">
      <c r="A91" s="53">
        <v>100010</v>
      </c>
      <c r="B91" s="53">
        <v>9942</v>
      </c>
      <c r="C91" s="53">
        <v>1305807129</v>
      </c>
      <c r="D91" s="54">
        <v>1.6991913984111793</v>
      </c>
      <c r="F91" s="53">
        <v>100010</v>
      </c>
      <c r="G91" s="55">
        <v>9942</v>
      </c>
      <c r="H91" s="55">
        <v>1305807129</v>
      </c>
    </row>
    <row r="92" spans="1:8" x14ac:dyDescent="0.3">
      <c r="A92" s="53">
        <v>200010</v>
      </c>
      <c r="B92" s="53">
        <v>1904</v>
      </c>
      <c r="C92" s="53">
        <v>499592676</v>
      </c>
      <c r="D92" s="54">
        <v>1.6808312205706872</v>
      </c>
      <c r="F92" s="53">
        <v>200010</v>
      </c>
      <c r="G92" s="55">
        <v>1904</v>
      </c>
      <c r="H92" s="55">
        <v>499592676</v>
      </c>
    </row>
    <row r="93" spans="1:8" x14ac:dyDescent="0.3">
      <c r="A93" s="53">
        <v>400000</v>
      </c>
      <c r="B93" s="53">
        <v>404</v>
      </c>
      <c r="C93" s="53">
        <v>276317809</v>
      </c>
      <c r="D93" s="54">
        <v>1.7098874319306929</v>
      </c>
      <c r="F93" s="53">
        <v>400000</v>
      </c>
      <c r="G93" s="55">
        <v>404</v>
      </c>
      <c r="H93" s="55">
        <v>276317809</v>
      </c>
    </row>
    <row r="94" spans="1:8" x14ac:dyDescent="0.3">
      <c r="A94" s="51" t="s">
        <v>56</v>
      </c>
      <c r="B94" s="51" t="s">
        <v>181</v>
      </c>
      <c r="C94" s="51" t="s">
        <v>75</v>
      </c>
      <c r="D94" s="52" t="s">
        <v>59</v>
      </c>
      <c r="G94" s="2"/>
      <c r="H94" s="2"/>
    </row>
    <row r="95" spans="1:8" x14ac:dyDescent="0.3">
      <c r="A95" s="53">
        <v>20010</v>
      </c>
      <c r="B95" s="53">
        <v>35</v>
      </c>
      <c r="C95" s="53">
        <v>779070</v>
      </c>
      <c r="D95" s="54">
        <v>5.2136477201663824</v>
      </c>
      <c r="F95" s="53">
        <v>20010</v>
      </c>
      <c r="G95" s="2">
        <v>39103.178580079824</v>
      </c>
      <c r="H95" s="2">
        <v>914263845.76451147</v>
      </c>
    </row>
    <row r="96" spans="1:8" x14ac:dyDescent="0.3">
      <c r="A96" s="53">
        <v>25010</v>
      </c>
      <c r="B96" s="53">
        <v>49</v>
      </c>
      <c r="C96" s="53">
        <v>1352054</v>
      </c>
      <c r="D96" s="54">
        <v>4.1715301514668353</v>
      </c>
      <c r="F96" s="53">
        <v>25010</v>
      </c>
      <c r="G96" s="2">
        <v>36233.605100808789</v>
      </c>
      <c r="H96" s="2">
        <v>1004893504.2507449</v>
      </c>
    </row>
    <row r="97" spans="1:8" x14ac:dyDescent="0.3">
      <c r="A97" s="53">
        <v>30010</v>
      </c>
      <c r="B97" s="53">
        <v>55</v>
      </c>
      <c r="C97" s="53">
        <v>1768632</v>
      </c>
      <c r="D97" s="54">
        <v>3.4767196148047921</v>
      </c>
      <c r="F97" s="53">
        <v>30010</v>
      </c>
      <c r="G97" s="2">
        <v>39228.133312899699</v>
      </c>
      <c r="H97" s="2">
        <v>1296947551.1427293</v>
      </c>
    </row>
    <row r="98" spans="1:8" x14ac:dyDescent="0.3">
      <c r="A98" s="53">
        <v>35010</v>
      </c>
      <c r="B98" s="53">
        <v>56</v>
      </c>
      <c r="C98" s="53">
        <v>2099002</v>
      </c>
      <c r="D98" s="54">
        <v>2.9803798654047591</v>
      </c>
      <c r="F98" s="53">
        <v>35010</v>
      </c>
      <c r="G98" s="2">
        <v>50454.951626980241</v>
      </c>
      <c r="H98" s="2">
        <v>1937476306.8218949</v>
      </c>
    </row>
    <row r="99" spans="1:8" x14ac:dyDescent="0.3">
      <c r="A99" s="53">
        <v>40010</v>
      </c>
      <c r="B99" s="53">
        <v>26423</v>
      </c>
      <c r="C99" s="53">
        <v>1293640829</v>
      </c>
      <c r="D99" s="54">
        <v>2.6080844745816423</v>
      </c>
      <c r="F99" s="53">
        <v>40010</v>
      </c>
      <c r="G99" s="2">
        <v>151019.58471358163</v>
      </c>
      <c r="H99" s="2">
        <v>6947308830.4072056</v>
      </c>
    </row>
    <row r="100" spans="1:8" x14ac:dyDescent="0.3">
      <c r="A100" s="53">
        <v>50010</v>
      </c>
      <c r="B100" s="53">
        <v>125650</v>
      </c>
      <c r="C100" s="53">
        <v>6884492607</v>
      </c>
      <c r="D100" s="54">
        <v>2.1386258712584678</v>
      </c>
      <c r="F100" s="53">
        <v>50010</v>
      </c>
      <c r="G100" s="55">
        <v>125650</v>
      </c>
      <c r="H100" s="55">
        <v>6884492607</v>
      </c>
    </row>
    <row r="101" spans="1:8" x14ac:dyDescent="0.3">
      <c r="A101" s="53">
        <v>60010</v>
      </c>
      <c r="B101" s="53">
        <v>93253</v>
      </c>
      <c r="C101" s="53">
        <v>6040406900</v>
      </c>
      <c r="D101" s="54">
        <v>2.0324176765759061</v>
      </c>
      <c r="F101" s="53">
        <v>60010</v>
      </c>
      <c r="G101" s="55">
        <v>93253</v>
      </c>
      <c r="H101" s="55">
        <v>6040406900</v>
      </c>
    </row>
    <row r="102" spans="1:8" x14ac:dyDescent="0.3">
      <c r="A102" s="53">
        <v>70010</v>
      </c>
      <c r="B102" s="53">
        <v>68746</v>
      </c>
      <c r="C102" s="53">
        <v>5141014087</v>
      </c>
      <c r="D102" s="54">
        <v>1.9640017344821175</v>
      </c>
      <c r="F102" s="53">
        <v>70010</v>
      </c>
      <c r="G102" s="55">
        <v>68746</v>
      </c>
      <c r="H102" s="55">
        <v>5141014087</v>
      </c>
    </row>
    <row r="103" spans="1:8" x14ac:dyDescent="0.3">
      <c r="A103" s="53">
        <v>80010</v>
      </c>
      <c r="B103" s="53">
        <v>90959</v>
      </c>
      <c r="C103" s="53">
        <v>8104371649</v>
      </c>
      <c r="D103" s="54">
        <v>1.9147924553513966</v>
      </c>
      <c r="F103" s="53">
        <v>80010</v>
      </c>
      <c r="G103" s="55">
        <v>90959</v>
      </c>
      <c r="H103" s="55">
        <v>8104371649</v>
      </c>
    </row>
    <row r="104" spans="1:8" x14ac:dyDescent="0.3">
      <c r="A104" s="53">
        <v>100010</v>
      </c>
      <c r="B104" s="53">
        <v>139359</v>
      </c>
      <c r="C104" s="53">
        <v>18650838735</v>
      </c>
      <c r="D104" s="54">
        <v>1.8493985514553826</v>
      </c>
      <c r="F104" s="53">
        <v>100010</v>
      </c>
      <c r="G104" s="55">
        <v>139359</v>
      </c>
      <c r="H104" s="55">
        <v>18650838735</v>
      </c>
    </row>
    <row r="105" spans="1:8" x14ac:dyDescent="0.3">
      <c r="A105" s="53">
        <v>200010</v>
      </c>
      <c r="B105" s="53">
        <v>35399</v>
      </c>
      <c r="C105" s="53">
        <v>9414152881</v>
      </c>
      <c r="D105" s="54">
        <v>1.7296914591157504</v>
      </c>
      <c r="F105" s="53">
        <v>200010</v>
      </c>
      <c r="G105" s="55">
        <v>35399</v>
      </c>
      <c r="H105" s="55">
        <v>9414152881</v>
      </c>
    </row>
    <row r="106" spans="1:8" x14ac:dyDescent="0.3">
      <c r="A106" s="53">
        <v>400000</v>
      </c>
      <c r="B106" s="53">
        <v>8855</v>
      </c>
      <c r="C106" s="53">
        <v>5895765743</v>
      </c>
      <c r="D106" s="54">
        <v>1.6645301363636364</v>
      </c>
      <c r="F106" s="53">
        <v>400000</v>
      </c>
      <c r="G106" s="55">
        <v>8855</v>
      </c>
      <c r="H106" s="55">
        <v>5895765743</v>
      </c>
    </row>
    <row r="107" spans="1:8" x14ac:dyDescent="0.3">
      <c r="A107" s="51" t="s">
        <v>56</v>
      </c>
      <c r="B107" s="51" t="s">
        <v>182</v>
      </c>
      <c r="C107" s="51" t="s">
        <v>77</v>
      </c>
      <c r="D107" s="52" t="s">
        <v>59</v>
      </c>
      <c r="E107">
        <v>50535</v>
      </c>
      <c r="G107" s="2"/>
      <c r="H107" s="2"/>
    </row>
    <row r="108" spans="1:8" x14ac:dyDescent="0.3">
      <c r="A108" s="53">
        <v>20010</v>
      </c>
      <c r="B108" s="53">
        <v>17</v>
      </c>
      <c r="C108" s="53">
        <v>388160</v>
      </c>
      <c r="D108" s="54">
        <v>5.8474676498635558</v>
      </c>
      <c r="F108" s="53">
        <v>20010</v>
      </c>
      <c r="G108" s="2">
        <v>6435.0084551649525</v>
      </c>
      <c r="H108" s="2">
        <v>150455686.5037913</v>
      </c>
    </row>
    <row r="109" spans="1:8" x14ac:dyDescent="0.3">
      <c r="A109" s="53">
        <v>25010</v>
      </c>
      <c r="B109" s="53">
        <v>14</v>
      </c>
      <c r="C109" s="53">
        <v>384114</v>
      </c>
      <c r="D109" s="54">
        <v>4.6789594781799666</v>
      </c>
      <c r="F109" s="53">
        <v>25010</v>
      </c>
      <c r="G109" s="2">
        <v>5962.777545240071</v>
      </c>
      <c r="H109" s="2">
        <v>165370142.04998887</v>
      </c>
    </row>
    <row r="110" spans="1:8" x14ac:dyDescent="0.3">
      <c r="A110" s="53">
        <v>30010</v>
      </c>
      <c r="B110" s="53">
        <v>22</v>
      </c>
      <c r="C110" s="53">
        <v>716494</v>
      </c>
      <c r="D110" s="54">
        <v>3.8997308111105915</v>
      </c>
      <c r="F110" s="53">
        <v>30010</v>
      </c>
      <c r="G110" s="2">
        <v>6455.5716111897773</v>
      </c>
      <c r="H110" s="2">
        <v>213431970.508928</v>
      </c>
    </row>
    <row r="111" spans="1:8" x14ac:dyDescent="0.3">
      <c r="A111" s="53">
        <v>35010</v>
      </c>
      <c r="B111" s="53">
        <v>24</v>
      </c>
      <c r="C111" s="53">
        <v>901702</v>
      </c>
      <c r="D111" s="54">
        <v>3.3432149462357645</v>
      </c>
      <c r="F111" s="53">
        <v>35010</v>
      </c>
      <c r="G111" s="2">
        <v>8303.1112076898007</v>
      </c>
      <c r="H111" s="2">
        <v>318840484.80989772</v>
      </c>
    </row>
    <row r="112" spans="1:8" x14ac:dyDescent="0.3">
      <c r="A112" s="53">
        <v>40010</v>
      </c>
      <c r="B112" s="53">
        <v>48</v>
      </c>
      <c r="C112" s="53">
        <v>2166403</v>
      </c>
      <c r="D112" s="54">
        <v>2.9258033007082673</v>
      </c>
      <c r="F112" s="53">
        <v>40010</v>
      </c>
      <c r="G112" s="2">
        <v>24852.514292085303</v>
      </c>
      <c r="H112" s="2">
        <v>1143282788.9619925</v>
      </c>
    </row>
    <row r="113" spans="1:8" x14ac:dyDescent="0.3">
      <c r="A113" s="53">
        <v>50010</v>
      </c>
      <c r="B113" s="53">
        <v>19592</v>
      </c>
      <c r="C113" s="53">
        <v>1112628670</v>
      </c>
      <c r="D113" s="54">
        <v>2.3413185181307461</v>
      </c>
      <c r="F113" s="53">
        <v>50010</v>
      </c>
      <c r="G113" s="2">
        <v>20677.572559366756</v>
      </c>
      <c r="H113" s="2">
        <v>1166918153.6939313</v>
      </c>
    </row>
    <row r="114" spans="1:8" x14ac:dyDescent="0.3">
      <c r="A114" s="53">
        <v>60010</v>
      </c>
      <c r="B114" s="53">
        <v>23784</v>
      </c>
      <c r="C114" s="53">
        <v>1538240712</v>
      </c>
      <c r="D114" s="54">
        <v>2.1405697823990537</v>
      </c>
      <c r="F114" s="53">
        <v>60010</v>
      </c>
      <c r="G114" s="55">
        <v>23784</v>
      </c>
      <c r="H114" s="55">
        <v>1538240712</v>
      </c>
    </row>
    <row r="115" spans="1:8" x14ac:dyDescent="0.3">
      <c r="A115" s="53">
        <v>70010</v>
      </c>
      <c r="B115" s="53">
        <v>15748</v>
      </c>
      <c r="C115" s="53">
        <v>1176245057</v>
      </c>
      <c r="D115" s="54">
        <v>2.1051421229103267</v>
      </c>
      <c r="F115" s="53">
        <v>70010</v>
      </c>
      <c r="G115" s="55">
        <v>15748</v>
      </c>
      <c r="H115" s="55">
        <v>1176245057</v>
      </c>
    </row>
    <row r="116" spans="1:8" x14ac:dyDescent="0.3">
      <c r="A116" s="53">
        <v>80010</v>
      </c>
      <c r="B116" s="53">
        <v>19238</v>
      </c>
      <c r="C116" s="53">
        <v>1714219459</v>
      </c>
      <c r="D116" s="54">
        <v>2.0641714608749395</v>
      </c>
      <c r="F116" s="53">
        <v>80010</v>
      </c>
      <c r="G116" s="55">
        <v>19238</v>
      </c>
      <c r="H116" s="55">
        <v>1714219459</v>
      </c>
    </row>
    <row r="117" spans="1:8" x14ac:dyDescent="0.3">
      <c r="A117" s="53">
        <v>100010</v>
      </c>
      <c r="B117" s="53">
        <v>32463</v>
      </c>
      <c r="C117" s="53">
        <v>4430506893</v>
      </c>
      <c r="D117" s="54">
        <v>1.9752523862031084</v>
      </c>
      <c r="F117" s="53">
        <v>100010</v>
      </c>
      <c r="G117" s="55">
        <v>32463</v>
      </c>
      <c r="H117" s="55">
        <v>4430506893</v>
      </c>
    </row>
    <row r="118" spans="1:8" x14ac:dyDescent="0.3">
      <c r="A118" s="53">
        <v>200010</v>
      </c>
      <c r="B118" s="53">
        <v>10040</v>
      </c>
      <c r="C118" s="53">
        <v>2680558305</v>
      </c>
      <c r="D118" s="54">
        <v>1.7678003415846524</v>
      </c>
      <c r="F118" s="53">
        <v>200010</v>
      </c>
      <c r="G118" s="55">
        <v>10040</v>
      </c>
      <c r="H118" s="55">
        <v>2680558305</v>
      </c>
    </row>
    <row r="119" spans="1:8" x14ac:dyDescent="0.3">
      <c r="A119" s="53">
        <v>400000</v>
      </c>
      <c r="B119" s="53">
        <v>2665</v>
      </c>
      <c r="C119" s="53">
        <v>1811646962</v>
      </c>
      <c r="D119" s="54">
        <v>1.6994812026266417</v>
      </c>
      <c r="F119" s="53">
        <v>400000</v>
      </c>
      <c r="G119" s="55">
        <v>2665</v>
      </c>
      <c r="H119" s="55">
        <v>1811646962</v>
      </c>
    </row>
    <row r="120" spans="1:8" x14ac:dyDescent="0.3">
      <c r="A120" s="51" t="s">
        <v>56</v>
      </c>
      <c r="B120" s="51" t="s">
        <v>183</v>
      </c>
      <c r="C120" s="51" t="s">
        <v>79</v>
      </c>
      <c r="D120" s="52" t="s">
        <v>59</v>
      </c>
      <c r="G120" s="2"/>
      <c r="H120" s="2"/>
    </row>
    <row r="121" spans="1:8" x14ac:dyDescent="0.3">
      <c r="A121" s="53">
        <v>20010</v>
      </c>
      <c r="B121" s="53">
        <v>3</v>
      </c>
      <c r="C121" s="53">
        <v>65291</v>
      </c>
      <c r="D121" s="54">
        <v>6.3080908669527762</v>
      </c>
      <c r="F121" s="53">
        <v>20010</v>
      </c>
      <c r="G121" s="2">
        <v>1819.7892225630455</v>
      </c>
      <c r="H121" s="2">
        <v>42548139.397262886</v>
      </c>
    </row>
    <row r="122" spans="1:8" x14ac:dyDescent="0.3">
      <c r="A122" s="53">
        <v>25010</v>
      </c>
      <c r="B122" s="53">
        <v>1</v>
      </c>
      <c r="C122" s="53">
        <v>26525</v>
      </c>
      <c r="D122" s="54">
        <v>5.0474483637405108</v>
      </c>
      <c r="F122" s="53">
        <v>25010</v>
      </c>
      <c r="G122" s="2">
        <v>1686.2446085303029</v>
      </c>
      <c r="H122" s="2">
        <v>46765875.186185054</v>
      </c>
    </row>
    <row r="123" spans="1:8" x14ac:dyDescent="0.3">
      <c r="A123" s="53">
        <v>30010</v>
      </c>
      <c r="B123" s="53">
        <v>2</v>
      </c>
      <c r="C123" s="53">
        <v>68291</v>
      </c>
      <c r="D123" s="54">
        <v>4.2066122474657126</v>
      </c>
      <c r="F123" s="53">
        <v>30010</v>
      </c>
      <c r="G123" s="2">
        <v>1825.6043834873212</v>
      </c>
      <c r="H123" s="2">
        <v>60357527.482469298</v>
      </c>
    </row>
    <row r="124" spans="1:8" x14ac:dyDescent="0.3">
      <c r="A124" s="53">
        <v>35010</v>
      </c>
      <c r="B124" s="53">
        <v>4</v>
      </c>
      <c r="C124" s="53">
        <v>153755</v>
      </c>
      <c r="D124" s="54">
        <v>3.6060371637461617</v>
      </c>
      <c r="F124" s="53">
        <v>35010</v>
      </c>
      <c r="G124" s="2">
        <v>2348.0796326489071</v>
      </c>
      <c r="H124" s="2">
        <v>90166544.770912051</v>
      </c>
    </row>
    <row r="125" spans="1:8" x14ac:dyDescent="0.3">
      <c r="A125" s="53">
        <v>40010</v>
      </c>
      <c r="B125" s="53">
        <v>16</v>
      </c>
      <c r="C125" s="53">
        <v>719911</v>
      </c>
      <c r="D125" s="54">
        <v>3.1557254024591956</v>
      </c>
      <c r="F125" s="53">
        <v>40010</v>
      </c>
      <c r="G125" s="2">
        <v>7028.1706663540936</v>
      </c>
      <c r="H125" s="2">
        <v>323314835.12270278</v>
      </c>
    </row>
    <row r="126" spans="1:8" x14ac:dyDescent="0.3">
      <c r="A126" s="53">
        <v>50010</v>
      </c>
      <c r="B126" s="53">
        <v>370</v>
      </c>
      <c r="C126" s="53">
        <v>21811279</v>
      </c>
      <c r="D126" s="54">
        <v>2.5256851452654367</v>
      </c>
      <c r="F126" s="53">
        <v>50010</v>
      </c>
      <c r="G126" s="2">
        <v>5847.5173660570472</v>
      </c>
      <c r="H126" s="2">
        <v>329998801.78882372</v>
      </c>
    </row>
    <row r="127" spans="1:8" x14ac:dyDescent="0.3">
      <c r="A127" s="53">
        <v>60010</v>
      </c>
      <c r="B127" s="53">
        <v>6726</v>
      </c>
      <c r="C127" s="53">
        <v>434583953</v>
      </c>
      <c r="D127" s="54">
        <v>2.1206608146167563</v>
      </c>
      <c r="F127" s="53">
        <v>60010</v>
      </c>
      <c r="G127" s="55">
        <v>6726</v>
      </c>
      <c r="H127" s="55">
        <v>434583953</v>
      </c>
    </row>
    <row r="128" spans="1:8" x14ac:dyDescent="0.3">
      <c r="A128" s="53">
        <v>70010</v>
      </c>
      <c r="B128" s="53">
        <v>4190</v>
      </c>
      <c r="C128" s="53">
        <v>312913957</v>
      </c>
      <c r="D128" s="54">
        <v>2.1268501282009602</v>
      </c>
      <c r="F128" s="53">
        <v>70010</v>
      </c>
      <c r="G128" s="55">
        <v>4190</v>
      </c>
      <c r="H128" s="55">
        <v>312913957</v>
      </c>
    </row>
    <row r="129" spans="1:8" x14ac:dyDescent="0.3">
      <c r="A129" s="53">
        <v>80010</v>
      </c>
      <c r="B129" s="53">
        <v>4572</v>
      </c>
      <c r="C129" s="53">
        <v>406578102</v>
      </c>
      <c r="D129" s="54">
        <v>2.115363427693512</v>
      </c>
      <c r="F129" s="53">
        <v>80010</v>
      </c>
      <c r="G129" s="55">
        <v>4572</v>
      </c>
      <c r="H129" s="55">
        <v>406578102</v>
      </c>
    </row>
    <row r="130" spans="1:8" x14ac:dyDescent="0.3">
      <c r="A130" s="53">
        <v>100010</v>
      </c>
      <c r="B130" s="53">
        <v>7367</v>
      </c>
      <c r="C130" s="53">
        <v>1009207234</v>
      </c>
      <c r="D130" s="54">
        <v>2.0351875923518761</v>
      </c>
      <c r="F130" s="53">
        <v>100010</v>
      </c>
      <c r="G130" s="55">
        <v>7367</v>
      </c>
      <c r="H130" s="55">
        <v>1009207234</v>
      </c>
    </row>
    <row r="131" spans="1:8" x14ac:dyDescent="0.3">
      <c r="A131" s="53">
        <v>200010</v>
      </c>
      <c r="B131" s="53">
        <v>2654</v>
      </c>
      <c r="C131" s="53">
        <v>709291467</v>
      </c>
      <c r="D131" s="54">
        <v>1.750879620242739</v>
      </c>
      <c r="F131" s="53">
        <v>200010</v>
      </c>
      <c r="G131" s="55">
        <v>2654</v>
      </c>
      <c r="H131" s="55">
        <v>709291467</v>
      </c>
    </row>
    <row r="132" spans="1:8" x14ac:dyDescent="0.3">
      <c r="A132" s="53">
        <v>400000</v>
      </c>
      <c r="B132" s="53">
        <v>689</v>
      </c>
      <c r="C132" s="53">
        <v>461405179</v>
      </c>
      <c r="D132" s="54">
        <v>1.674184248911466</v>
      </c>
      <c r="F132" s="53">
        <v>400000</v>
      </c>
      <c r="G132" s="55">
        <v>689</v>
      </c>
      <c r="H132" s="55">
        <v>461405179</v>
      </c>
    </row>
    <row r="133" spans="1:8" x14ac:dyDescent="0.3">
      <c r="A133" s="51" t="s">
        <v>56</v>
      </c>
      <c r="B133" s="51" t="s">
        <v>184</v>
      </c>
      <c r="C133" s="51" t="s">
        <v>81</v>
      </c>
      <c r="D133" s="52" t="s">
        <v>59</v>
      </c>
      <c r="E133">
        <v>61765</v>
      </c>
      <c r="G133" s="2"/>
      <c r="H133" s="2"/>
    </row>
    <row r="134" spans="1:8" x14ac:dyDescent="0.3">
      <c r="A134" s="53">
        <v>20010</v>
      </c>
      <c r="B134" s="53">
        <v>2</v>
      </c>
      <c r="C134" s="53">
        <v>44761</v>
      </c>
      <c r="D134" s="54">
        <v>6.6032338307302352</v>
      </c>
      <c r="F134" s="53">
        <v>20010</v>
      </c>
      <c r="G134" s="2">
        <v>588.49985598399201</v>
      </c>
      <c r="H134" s="2">
        <v>13759601.165463295</v>
      </c>
    </row>
    <row r="135" spans="1:8" x14ac:dyDescent="0.3">
      <c r="A135" s="53">
        <v>25010</v>
      </c>
      <c r="B135" s="53">
        <v>3</v>
      </c>
      <c r="C135" s="53">
        <v>85777</v>
      </c>
      <c r="D135" s="54">
        <v>5.2844749673728275</v>
      </c>
      <c r="F135" s="53">
        <v>25010</v>
      </c>
      <c r="G135" s="2">
        <v>545.31299392805738</v>
      </c>
      <c r="H135" s="2">
        <v>15123570.615102803</v>
      </c>
    </row>
    <row r="136" spans="1:8" x14ac:dyDescent="0.3">
      <c r="A136" s="53">
        <v>30010</v>
      </c>
      <c r="B136" s="53">
        <v>3</v>
      </c>
      <c r="C136" s="53">
        <v>103563</v>
      </c>
      <c r="D136" s="54">
        <v>4.4056276130970859</v>
      </c>
      <c r="F136" s="53">
        <v>30010</v>
      </c>
      <c r="G136" s="2">
        <v>590.38041518504065</v>
      </c>
      <c r="H136" s="2">
        <v>19518961.751490667</v>
      </c>
    </row>
    <row r="137" spans="1:8" x14ac:dyDescent="0.3">
      <c r="A137" s="53">
        <v>35010</v>
      </c>
      <c r="B137" s="53">
        <v>3</v>
      </c>
      <c r="C137" s="53">
        <v>112866</v>
      </c>
      <c r="D137" s="54">
        <v>3.7777302727402238</v>
      </c>
      <c r="F137" s="53">
        <v>35010</v>
      </c>
      <c r="G137" s="2">
        <v>759.34317475877549</v>
      </c>
      <c r="H137" s="2">
        <v>29158870.683672037</v>
      </c>
    </row>
    <row r="138" spans="1:8" x14ac:dyDescent="0.3">
      <c r="A138" s="53">
        <v>40010</v>
      </c>
      <c r="B138" s="53">
        <v>9</v>
      </c>
      <c r="C138" s="53">
        <v>416110</v>
      </c>
      <c r="D138" s="54">
        <v>3.3067330141863294</v>
      </c>
      <c r="F138" s="53">
        <v>40010</v>
      </c>
      <c r="G138" s="2">
        <v>2272.833234584677</v>
      </c>
      <c r="H138" s="2">
        <v>104556468.16020578</v>
      </c>
    </row>
    <row r="139" spans="1:8" x14ac:dyDescent="0.3">
      <c r="A139" s="53">
        <v>50010</v>
      </c>
      <c r="B139" s="53">
        <v>2</v>
      </c>
      <c r="C139" s="53">
        <v>113450</v>
      </c>
      <c r="D139" s="54">
        <v>2.6479252937479627</v>
      </c>
      <c r="F139" s="53">
        <v>50010</v>
      </c>
      <c r="G139" s="2">
        <v>1891.0229190948205</v>
      </c>
      <c r="H139" s="2">
        <v>106717989.59996565</v>
      </c>
    </row>
    <row r="140" spans="1:8" x14ac:dyDescent="0.3">
      <c r="A140" s="53">
        <v>60010</v>
      </c>
      <c r="B140" s="53">
        <v>971</v>
      </c>
      <c r="C140" s="53">
        <v>65569390</v>
      </c>
      <c r="D140" s="54">
        <v>2.2070700629783131</v>
      </c>
      <c r="F140" s="53">
        <v>60010</v>
      </c>
      <c r="G140" s="2">
        <v>2175.1145584725537</v>
      </c>
      <c r="H140" s="2">
        <v>140539679.31145585</v>
      </c>
    </row>
    <row r="141" spans="1:8" x14ac:dyDescent="0.3">
      <c r="A141" s="53">
        <v>70010</v>
      </c>
      <c r="B141" s="53">
        <v>1355</v>
      </c>
      <c r="C141" s="53">
        <v>100933084</v>
      </c>
      <c r="D141" s="54">
        <v>2.0566344657805353</v>
      </c>
      <c r="F141" s="53">
        <v>70010</v>
      </c>
      <c r="G141" s="55">
        <v>1355</v>
      </c>
      <c r="H141" s="55">
        <v>100933084</v>
      </c>
    </row>
    <row r="142" spans="1:8" x14ac:dyDescent="0.3">
      <c r="A142" s="53">
        <v>80010</v>
      </c>
      <c r="B142" s="53">
        <v>1381</v>
      </c>
      <c r="C142" s="53">
        <v>122008358</v>
      </c>
      <c r="D142" s="54">
        <v>2.0860855635499309</v>
      </c>
      <c r="F142" s="53">
        <v>80010</v>
      </c>
      <c r="G142" s="55">
        <v>1381</v>
      </c>
      <c r="H142" s="55">
        <v>122008358</v>
      </c>
    </row>
    <row r="143" spans="1:8" x14ac:dyDescent="0.3">
      <c r="A143" s="53">
        <v>100010</v>
      </c>
      <c r="B143" s="53">
        <v>1885</v>
      </c>
      <c r="C143" s="53">
        <v>256528188</v>
      </c>
      <c r="D143" s="54">
        <v>2.066711180000445</v>
      </c>
      <c r="F143" s="53">
        <v>100010</v>
      </c>
      <c r="G143" s="55">
        <v>1885</v>
      </c>
      <c r="H143" s="55">
        <v>256528188</v>
      </c>
    </row>
    <row r="144" spans="1:8" x14ac:dyDescent="0.3">
      <c r="A144" s="53">
        <v>200010</v>
      </c>
      <c r="B144" s="53">
        <v>641</v>
      </c>
      <c r="C144" s="53">
        <v>170917782</v>
      </c>
      <c r="D144" s="54">
        <v>1.8236636267949071</v>
      </c>
      <c r="F144" s="53">
        <v>200010</v>
      </c>
      <c r="G144" s="55">
        <v>641</v>
      </c>
      <c r="H144" s="55">
        <v>170917782</v>
      </c>
    </row>
    <row r="145" spans="1:8" x14ac:dyDescent="0.3">
      <c r="A145" s="53">
        <v>400000</v>
      </c>
      <c r="B145" s="53">
        <v>201</v>
      </c>
      <c r="C145" s="53">
        <v>136202528</v>
      </c>
      <c r="D145" s="54">
        <v>1.6940612935323383</v>
      </c>
      <c r="F145" s="53">
        <v>400000</v>
      </c>
      <c r="G145" s="55">
        <v>201</v>
      </c>
      <c r="H145" s="55">
        <v>136202528</v>
      </c>
    </row>
    <row r="146" spans="1:8" x14ac:dyDescent="0.3">
      <c r="A146" s="51" t="s">
        <v>56</v>
      </c>
      <c r="B146" s="51" t="s">
        <v>185</v>
      </c>
      <c r="C146" s="51" t="s">
        <v>83</v>
      </c>
      <c r="D146" s="52" t="s">
        <v>59</v>
      </c>
      <c r="G146" s="2"/>
      <c r="H146" s="2"/>
    </row>
    <row r="147" spans="1:8" x14ac:dyDescent="0.3">
      <c r="A147" s="53">
        <v>20010</v>
      </c>
      <c r="B147" s="53">
        <v>0</v>
      </c>
      <c r="C147" s="53"/>
      <c r="D147" s="54">
        <v>6.9020264812769048</v>
      </c>
      <c r="F147" s="53">
        <v>20010</v>
      </c>
      <c r="G147" s="2">
        <v>203.26046686384373</v>
      </c>
      <c r="H147" s="2">
        <v>4752393.6128685027</v>
      </c>
    </row>
    <row r="148" spans="1:8" x14ac:dyDescent="0.3">
      <c r="A148" s="53">
        <v>25010</v>
      </c>
      <c r="B148" s="53">
        <v>1</v>
      </c>
      <c r="C148" s="53">
        <v>28791</v>
      </c>
      <c r="D148" s="54">
        <v>5.522173126363489</v>
      </c>
      <c r="F148" s="53">
        <v>25010</v>
      </c>
      <c r="G148" s="2">
        <v>188.34426653751353</v>
      </c>
      <c r="H148" s="2">
        <v>5223491.5482421489</v>
      </c>
    </row>
    <row r="149" spans="1:8" x14ac:dyDescent="0.3">
      <c r="A149" s="53">
        <v>30010</v>
      </c>
      <c r="B149" s="53">
        <v>1</v>
      </c>
      <c r="C149" s="53">
        <v>33379</v>
      </c>
      <c r="D149" s="54">
        <v>4.6041158341258717</v>
      </c>
      <c r="F149" s="53">
        <v>30010</v>
      </c>
      <c r="G149" s="2">
        <v>203.90998841815426</v>
      </c>
      <c r="H149" s="2">
        <v>6741604.5016218694</v>
      </c>
    </row>
    <row r="150" spans="1:8" x14ac:dyDescent="0.3">
      <c r="A150" s="53">
        <v>35010</v>
      </c>
      <c r="B150" s="53">
        <v>1</v>
      </c>
      <c r="C150" s="53">
        <v>35889</v>
      </c>
      <c r="D150" s="54">
        <v>3.948215658000803</v>
      </c>
      <c r="F150" s="53">
        <v>35010</v>
      </c>
      <c r="G150" s="2">
        <v>262.26760574694237</v>
      </c>
      <c r="H150" s="2">
        <v>10071108.103290416</v>
      </c>
    </row>
    <row r="151" spans="1:8" x14ac:dyDescent="0.3">
      <c r="A151" s="53">
        <v>40010</v>
      </c>
      <c r="B151" s="53">
        <v>1</v>
      </c>
      <c r="C151" s="53">
        <v>49507</v>
      </c>
      <c r="D151" s="54">
        <v>3.4562166707087645</v>
      </c>
      <c r="F151" s="53">
        <v>40010</v>
      </c>
      <c r="G151" s="2">
        <v>785.00808397463379</v>
      </c>
      <c r="H151" s="2">
        <v>36112492.323967755</v>
      </c>
    </row>
    <row r="152" spans="1:8" x14ac:dyDescent="0.3">
      <c r="A152" s="53">
        <v>50010</v>
      </c>
      <c r="B152" s="53">
        <v>2</v>
      </c>
      <c r="C152" s="53">
        <v>111594</v>
      </c>
      <c r="D152" s="54">
        <v>2.7660869254720488</v>
      </c>
      <c r="F152" s="53">
        <v>50010</v>
      </c>
      <c r="G152" s="2">
        <v>653.13559124455787</v>
      </c>
      <c r="H152" s="2">
        <v>36859054.710541636</v>
      </c>
    </row>
    <row r="153" spans="1:8" x14ac:dyDescent="0.3">
      <c r="A153" s="53">
        <v>60010</v>
      </c>
      <c r="B153" s="53">
        <v>10</v>
      </c>
      <c r="C153" s="53">
        <v>679160</v>
      </c>
      <c r="D153" s="54">
        <v>2.3066623017909191</v>
      </c>
      <c r="F153" s="53">
        <v>60010</v>
      </c>
      <c r="G153" s="2">
        <v>751.25727923627676</v>
      </c>
      <c r="H153" s="2">
        <v>48540642.005727917</v>
      </c>
    </row>
    <row r="154" spans="1:8" x14ac:dyDescent="0.3">
      <c r="A154" s="53">
        <v>70010</v>
      </c>
      <c r="B154" s="53">
        <v>468</v>
      </c>
      <c r="C154" s="53">
        <v>35271308</v>
      </c>
      <c r="D154" s="54">
        <v>1.9827564061644796</v>
      </c>
      <c r="F154" s="53">
        <v>70010</v>
      </c>
      <c r="G154" s="55">
        <v>468</v>
      </c>
      <c r="H154" s="55">
        <v>35271308</v>
      </c>
    </row>
    <row r="155" spans="1:8" x14ac:dyDescent="0.3">
      <c r="A155" s="53">
        <v>80010</v>
      </c>
      <c r="B155" s="53">
        <v>482</v>
      </c>
      <c r="C155" s="53">
        <v>42552309</v>
      </c>
      <c r="D155" s="54">
        <v>2.0118958171273369</v>
      </c>
      <c r="F155" s="53">
        <v>80010</v>
      </c>
      <c r="G155" s="55">
        <v>482</v>
      </c>
      <c r="H155" s="55">
        <v>42552309</v>
      </c>
    </row>
    <row r="156" spans="1:8" x14ac:dyDescent="0.3">
      <c r="A156" s="53">
        <v>100010</v>
      </c>
      <c r="B156" s="53">
        <v>592</v>
      </c>
      <c r="C156" s="53">
        <v>80814721</v>
      </c>
      <c r="D156" s="54">
        <v>2.0178621065632365</v>
      </c>
      <c r="F156" s="53">
        <v>100010</v>
      </c>
      <c r="G156" s="55">
        <v>592</v>
      </c>
      <c r="H156" s="55">
        <v>80814721</v>
      </c>
    </row>
    <row r="157" spans="1:8" x14ac:dyDescent="0.3">
      <c r="A157" s="53">
        <v>200010</v>
      </c>
      <c r="B157" s="53">
        <v>211</v>
      </c>
      <c r="C157" s="53">
        <v>57603204</v>
      </c>
      <c r="D157" s="54">
        <v>1.7355365502401574</v>
      </c>
      <c r="F157" s="53">
        <v>200010</v>
      </c>
      <c r="G157" s="55">
        <v>211</v>
      </c>
      <c r="H157" s="55">
        <v>57603204</v>
      </c>
    </row>
    <row r="158" spans="1:8" x14ac:dyDescent="0.3">
      <c r="A158" s="53">
        <v>400000</v>
      </c>
      <c r="B158" s="53">
        <v>55</v>
      </c>
      <c r="C158" s="53">
        <v>34731957</v>
      </c>
      <c r="D158" s="54">
        <v>1.5787253181818184</v>
      </c>
      <c r="F158" s="53">
        <v>400000</v>
      </c>
      <c r="G158" s="55">
        <v>55</v>
      </c>
      <c r="H158" s="55">
        <v>34731957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1926</v>
      </c>
      <c r="C1" s="8" t="s">
        <v>24</v>
      </c>
      <c r="D1" s="10">
        <f>1000*[1]TD1!$C$33</f>
        <v>16146571.913756575</v>
      </c>
      <c r="E1" s="8" t="s">
        <v>30</v>
      </c>
      <c r="F1" s="21">
        <f>(SUMPRODUCT(D4:D14,H4:H14,I4:I14)/(D2*B2))/((1-SUMPRODUCT(D4:D14,H4:H14,I4:I14)/B2)/(1-D2))</f>
        <v>0.62608955544608424</v>
      </c>
      <c r="G1" s="19"/>
      <c r="H1" s="16"/>
    </row>
    <row r="2" spans="1:12" x14ac:dyDescent="0.3">
      <c r="A2" s="8" t="s">
        <v>12</v>
      </c>
      <c r="B2" s="11">
        <f>[1]TD2!$M$33</f>
        <v>7533.4918100191207</v>
      </c>
      <c r="C2" s="8" t="s">
        <v>15</v>
      </c>
      <c r="D2" s="14">
        <f>[1]TD1!$F$33</f>
        <v>0.22019446876127247</v>
      </c>
      <c r="E2" s="18" t="s">
        <v>26</v>
      </c>
      <c r="I2" s="8"/>
      <c r="L2" s="14">
        <f>D2</f>
        <v>0.22019446876127247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0.288004675801938</v>
      </c>
      <c r="E4" s="14"/>
      <c r="F4" s="8"/>
      <c r="G4" s="8"/>
      <c r="H4" s="17">
        <f>((1-B4)*B2-(1-B5)*C5*A5)/(B5-B4)</f>
        <v>3148.315667903456</v>
      </c>
      <c r="I4" s="18">
        <f t="shared" ref="I4" si="0">B5-B4</f>
        <v>0.6393163800239563</v>
      </c>
      <c r="L4" s="14"/>
    </row>
    <row r="5" spans="1:12" x14ac:dyDescent="0.3">
      <c r="A5" s="11">
        <v>7000</v>
      </c>
      <c r="B5" s="12">
        <v>0.6393163800239563</v>
      </c>
      <c r="C5" s="8">
        <v>2.1866104602813721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8432.1643821598518</v>
      </c>
      <c r="I5" s="18">
        <f t="shared" ref="I5:I13" si="3">B6-B5</f>
        <v>0.20494115352630615</v>
      </c>
      <c r="L5" s="14">
        <v>0.1</v>
      </c>
    </row>
    <row r="6" spans="1:12" x14ac:dyDescent="0.3">
      <c r="A6" s="11">
        <v>10000</v>
      </c>
      <c r="B6" s="12">
        <v>0.84425753355026245</v>
      </c>
      <c r="C6" s="8">
        <v>2.4351897239685059</v>
      </c>
      <c r="D6" s="14">
        <f t="shared" si="1"/>
        <v>0.1</v>
      </c>
      <c r="E6" s="14"/>
      <c r="F6" s="8"/>
      <c r="G6" s="8"/>
      <c r="H6" s="17">
        <f t="shared" si="2"/>
        <v>14318.59360726852</v>
      </c>
      <c r="I6" s="18">
        <f t="shared" si="3"/>
        <v>0.11083197593688965</v>
      </c>
      <c r="L6" s="14">
        <v>0.1</v>
      </c>
    </row>
    <row r="7" spans="1:12" x14ac:dyDescent="0.3">
      <c r="A7" s="11">
        <v>20000</v>
      </c>
      <c r="B7" s="12">
        <v>0.9550895094871521</v>
      </c>
      <c r="C7" s="8">
        <v>2.455625057220459</v>
      </c>
      <c r="D7" s="14">
        <f t="shared" si="1"/>
        <v>0.1</v>
      </c>
      <c r="E7" s="14"/>
      <c r="H7" s="17">
        <f t="shared" si="2"/>
        <v>24197.110848580618</v>
      </c>
      <c r="I7" s="18">
        <f t="shared" si="3"/>
        <v>2.2925972938537598E-2</v>
      </c>
      <c r="L7" s="14">
        <v>0.1</v>
      </c>
    </row>
    <row r="8" spans="1:12" x14ac:dyDescent="0.3">
      <c r="A8" s="11">
        <v>30000</v>
      </c>
      <c r="B8" s="12">
        <v>0.9780154824256897</v>
      </c>
      <c r="C8" s="8">
        <v>2.5031619071960449</v>
      </c>
      <c r="D8" s="14">
        <f t="shared" si="1"/>
        <v>0.1</v>
      </c>
      <c r="E8" s="14"/>
      <c r="H8" s="17">
        <f t="shared" si="2"/>
        <v>38104.361363230186</v>
      </c>
      <c r="I8" s="18">
        <f t="shared" si="3"/>
        <v>1.2308478355407715E-2</v>
      </c>
      <c r="L8" s="14">
        <v>0.1</v>
      </c>
    </row>
    <row r="9" spans="1:12" x14ac:dyDescent="0.3">
      <c r="A9" s="11">
        <v>50000</v>
      </c>
      <c r="B9" s="12">
        <v>0.99032396078109741</v>
      </c>
      <c r="C9" s="12">
        <v>2.4429779052734375</v>
      </c>
      <c r="D9" s="14">
        <f t="shared" si="1"/>
        <v>0.1</v>
      </c>
      <c r="E9" s="14"/>
      <c r="H9" s="17">
        <f t="shared" si="2"/>
        <v>68118.409273056342</v>
      </c>
      <c r="I9" s="18">
        <f t="shared" si="3"/>
        <v>6.3250064849853516E-3</v>
      </c>
      <c r="L9" s="14">
        <v>0.1</v>
      </c>
    </row>
    <row r="10" spans="1:12" x14ac:dyDescent="0.3">
      <c r="A10" s="11">
        <v>100000</v>
      </c>
      <c r="B10" s="12">
        <v>0.99664896726608276</v>
      </c>
      <c r="C10" s="12">
        <v>2.2413034439086914</v>
      </c>
      <c r="D10" s="14">
        <f t="shared" si="1"/>
        <v>0.1</v>
      </c>
      <c r="E10" s="14"/>
      <c r="H10" s="17">
        <f t="shared" si="2"/>
        <v>134330.73099355347</v>
      </c>
      <c r="I10" s="18">
        <f t="shared" si="3"/>
        <v>2.284705638885498E-3</v>
      </c>
      <c r="L10" s="14">
        <v>0.1</v>
      </c>
    </row>
    <row r="11" spans="1:12" x14ac:dyDescent="0.3">
      <c r="A11" s="11">
        <v>200000</v>
      </c>
      <c r="B11" s="12">
        <v>0.99893367290496826</v>
      </c>
      <c r="C11" s="12">
        <v>2.082672119140625</v>
      </c>
      <c r="D11" s="14">
        <f t="shared" si="1"/>
        <v>0.1</v>
      </c>
      <c r="E11" s="14"/>
      <c r="H11" s="17">
        <f t="shared" si="2"/>
        <v>241284.31821020046</v>
      </c>
      <c r="I11" s="18">
        <f t="shared" si="3"/>
        <v>5.4728984832763672E-4</v>
      </c>
      <c r="L11" s="14">
        <v>0.1</v>
      </c>
    </row>
    <row r="12" spans="1:12" x14ac:dyDescent="0.3">
      <c r="A12" s="11">
        <v>300000</v>
      </c>
      <c r="B12" s="12">
        <v>0.9994809627532959</v>
      </c>
      <c r="C12" s="12">
        <v>2.0044128894805908</v>
      </c>
      <c r="D12" s="14">
        <f t="shared" si="1"/>
        <v>0.1</v>
      </c>
      <c r="E12" s="14"/>
      <c r="H12" s="17">
        <f t="shared" si="2"/>
        <v>372711.47172871907</v>
      </c>
      <c r="I12" s="18">
        <f t="shared" si="3"/>
        <v>3.312230110168457E-4</v>
      </c>
      <c r="L12" s="14">
        <v>0.1</v>
      </c>
    </row>
    <row r="13" spans="1:12" x14ac:dyDescent="0.3">
      <c r="A13" s="11">
        <v>500000</v>
      </c>
      <c r="B13" s="12">
        <v>0.99981218576431274</v>
      </c>
      <c r="C13" s="12">
        <v>2.0089943408966064</v>
      </c>
      <c r="D13" s="14">
        <f t="shared" si="1"/>
        <v>0.1</v>
      </c>
      <c r="E13" s="14"/>
      <c r="H13" s="17">
        <f t="shared" si="2"/>
        <v>644294.89507694589</v>
      </c>
      <c r="I13" s="18">
        <f t="shared" si="3"/>
        <v>1.4632940292358398E-4</v>
      </c>
      <c r="L13" s="14">
        <v>0.1</v>
      </c>
    </row>
    <row r="14" spans="1:12" x14ac:dyDescent="0.3">
      <c r="A14" s="17">
        <v>1000000</v>
      </c>
      <c r="B14" s="18">
        <v>0.99995851516723633</v>
      </c>
      <c r="C14" s="18">
        <v>2.2750382423400879</v>
      </c>
      <c r="D14" s="14">
        <f t="shared" si="1"/>
        <v>0.1</v>
      </c>
      <c r="E14" s="14"/>
      <c r="H14" s="17">
        <f>C14*A14</f>
        <v>2275038.2423400879</v>
      </c>
      <c r="I14" s="18">
        <f>1-B14</f>
        <v>4.1484832763671875E-5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topLeftCell="B1" workbookViewId="0">
      <selection activeCell="K15" sqref="K15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3.296875" bestFit="1" customWidth="1"/>
  </cols>
  <sheetData>
    <row r="1" spans="1:15" x14ac:dyDescent="0.3">
      <c r="A1" s="79" t="s">
        <v>244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12620</v>
      </c>
      <c r="M3" t="s">
        <v>7</v>
      </c>
      <c r="N3" t="s">
        <v>8</v>
      </c>
      <c r="O3" t="s">
        <v>14</v>
      </c>
    </row>
    <row r="4" spans="1:15" x14ac:dyDescent="0.3">
      <c r="A4" s="53">
        <v>25010</v>
      </c>
      <c r="B4" s="53">
        <v>755595</v>
      </c>
      <c r="C4" s="53">
        <v>20887957139</v>
      </c>
      <c r="D4" s="54">
        <v>1.801501909850409</v>
      </c>
      <c r="F4" s="53">
        <v>25010</v>
      </c>
      <c r="G4" s="53">
        <v>755595</v>
      </c>
      <c r="H4" s="53">
        <v>20887957139</v>
      </c>
      <c r="I4" s="2">
        <f>J4/6.55957</f>
        <v>3812.7499211076338</v>
      </c>
      <c r="J4" s="53">
        <v>25010</v>
      </c>
      <c r="K4" s="2">
        <f>G4+G18+G32+G46+G60+G74+G88+G102+G116+G130+G144+G158</f>
        <v>2179974.5611368166</v>
      </c>
      <c r="L4" s="2">
        <f>H4+H18+H32+H46+H60+H74+H88+H102+H116+H130+H144+H158</f>
        <v>60175858770.346405</v>
      </c>
      <c r="M4">
        <f>1-SUM(K4:$K$16)/$K$18</f>
        <v>0.28340336129782806</v>
      </c>
      <c r="N4">
        <f>SUM(L4:$L$16)/(J4*SUM(K4:$K$16))</f>
        <v>2.7568439976440349</v>
      </c>
      <c r="O4">
        <f>(B4+B18+B46)/K4</f>
        <v>0.46550038614708028</v>
      </c>
    </row>
    <row r="5" spans="1:15" x14ac:dyDescent="0.3">
      <c r="A5" s="53">
        <v>30010</v>
      </c>
      <c r="B5" s="53">
        <v>718457</v>
      </c>
      <c r="C5" s="53">
        <v>23352067645</v>
      </c>
      <c r="D5" s="54">
        <v>1.6446466065930165</v>
      </c>
      <c r="F5" s="53">
        <v>30010</v>
      </c>
      <c r="G5" s="53">
        <v>718457</v>
      </c>
      <c r="H5" s="53">
        <v>23352067645</v>
      </c>
      <c r="I5" s="2">
        <f t="shared" ref="I5:I16" si="0">J5/6.55957</f>
        <v>4574.9950072946858</v>
      </c>
      <c r="J5" s="53">
        <v>30010</v>
      </c>
      <c r="K5" s="2">
        <f t="shared" ref="K5:L16" si="1">G5+G19+G33+G47+G61+G75+G89+G103+G117+G131+G145+G159</f>
        <v>1556843.6271126927</v>
      </c>
      <c r="L5" s="2">
        <f t="shared" si="1"/>
        <v>50753851518.795143</v>
      </c>
      <c r="M5">
        <f>1-SUM(K5:$K$16)/$K$18</f>
        <v>0.37407444694830061</v>
      </c>
      <c r="N5">
        <f>SUM(L5:$L$16)/(J5*SUM(K5:$K$16))</f>
        <v>2.4970954763534712</v>
      </c>
      <c r="O5">
        <f t="shared" ref="O5:O16" si="2">(B5+B19+B47)/K5</f>
        <v>0.59424465237768742</v>
      </c>
    </row>
    <row r="6" spans="1:15" x14ac:dyDescent="0.3">
      <c r="A6" s="53">
        <v>35010</v>
      </c>
      <c r="B6" s="53">
        <v>636618</v>
      </c>
      <c r="C6" s="53">
        <v>23816326626</v>
      </c>
      <c r="D6" s="54">
        <v>1.5575081429453583</v>
      </c>
      <c r="F6" s="53">
        <v>35010</v>
      </c>
      <c r="G6" s="53">
        <v>636618</v>
      </c>
      <c r="H6" s="53">
        <v>23816326626</v>
      </c>
      <c r="I6" s="2">
        <f t="shared" si="0"/>
        <v>5337.2400934817379</v>
      </c>
      <c r="J6" s="53">
        <v>35010</v>
      </c>
      <c r="K6" s="2">
        <f t="shared" si="1"/>
        <v>1649421.9334126774</v>
      </c>
      <c r="L6" s="2">
        <f t="shared" si="1"/>
        <v>61797401474.242142</v>
      </c>
      <c r="M6">
        <f>1-SUM(K6:$K$16)/$K$18</f>
        <v>0.43882781809989535</v>
      </c>
      <c r="N6">
        <f>SUM(L6:$L$16)/(J6*SUM(K6:$K$16))</f>
        <v>2.2800091651889018</v>
      </c>
      <c r="O6">
        <f t="shared" si="2"/>
        <v>0.53836558251819289</v>
      </c>
    </row>
    <row r="7" spans="1:15" x14ac:dyDescent="0.3">
      <c r="A7" s="53">
        <v>40010</v>
      </c>
      <c r="B7" s="53">
        <v>811338</v>
      </c>
      <c r="C7" s="53">
        <v>36062566016</v>
      </c>
      <c r="D7" s="54">
        <v>1.5226881732096091</v>
      </c>
      <c r="F7" s="53">
        <v>40010</v>
      </c>
      <c r="G7" s="53">
        <v>811338</v>
      </c>
      <c r="H7" s="53">
        <v>36062566016</v>
      </c>
      <c r="I7" s="2">
        <f t="shared" si="0"/>
        <v>6099.485179668789</v>
      </c>
      <c r="J7" s="53">
        <v>40010</v>
      </c>
      <c r="K7" s="2">
        <f t="shared" si="1"/>
        <v>2655196.8362638764</v>
      </c>
      <c r="L7" s="2">
        <f t="shared" si="1"/>
        <v>119160895950.98671</v>
      </c>
      <c r="M7">
        <f>1-SUM(K7:$K$16)/$K$18</f>
        <v>0.50743177342322654</v>
      </c>
      <c r="N7">
        <f>SUM(L7:$L$16)/(J7*SUM(K7:$K$16))</f>
        <v>2.1425275120543614</v>
      </c>
      <c r="O7">
        <f t="shared" si="2"/>
        <v>0.43607463830411486</v>
      </c>
    </row>
    <row r="8" spans="1:15" x14ac:dyDescent="0.3">
      <c r="A8" s="53">
        <v>50010</v>
      </c>
      <c r="B8" s="53">
        <v>376596</v>
      </c>
      <c r="C8" s="53">
        <v>20464448122</v>
      </c>
      <c r="D8" s="54">
        <v>1.5175524721011278</v>
      </c>
      <c r="F8" s="53">
        <v>50010</v>
      </c>
      <c r="G8" s="53">
        <v>376596</v>
      </c>
      <c r="H8" s="53">
        <v>20464448122</v>
      </c>
      <c r="I8" s="2">
        <f t="shared" si="0"/>
        <v>7623.9753520428931</v>
      </c>
      <c r="J8" s="53">
        <v>50010</v>
      </c>
      <c r="K8" s="2">
        <f t="shared" si="1"/>
        <v>1910034.5597150319</v>
      </c>
      <c r="L8" s="2">
        <f t="shared" si="1"/>
        <v>104320411599.13239</v>
      </c>
      <c r="M8">
        <f>1-SUM(K8:$K$16)/$K$18</f>
        <v>0.6178686491793357</v>
      </c>
      <c r="N8">
        <f>SUM(L8:$L$16)/(J8*SUM(K8:$K$16))</f>
        <v>1.9501416858363574</v>
      </c>
      <c r="O8">
        <f t="shared" si="2"/>
        <v>0.29271774018759911</v>
      </c>
    </row>
    <row r="9" spans="1:15" x14ac:dyDescent="0.3">
      <c r="A9" s="53">
        <v>60010</v>
      </c>
      <c r="B9" s="53">
        <v>198971</v>
      </c>
      <c r="C9" s="53">
        <v>12834452569</v>
      </c>
      <c r="D9" s="54">
        <v>1.5266439644328895</v>
      </c>
      <c r="F9" s="53">
        <v>60010</v>
      </c>
      <c r="G9" s="53">
        <v>198971</v>
      </c>
      <c r="H9" s="53">
        <v>12834452569</v>
      </c>
      <c r="I9" s="2">
        <f t="shared" si="0"/>
        <v>9148.4655244169971</v>
      </c>
      <c r="J9" s="53">
        <v>60010</v>
      </c>
      <c r="K9" s="2">
        <f t="shared" si="1"/>
        <v>1663427.4951566488</v>
      </c>
      <c r="L9" s="2">
        <f t="shared" si="1"/>
        <v>107850744709.62242</v>
      </c>
      <c r="M9">
        <f>1-SUM(K9:$K$16)/$K$18</f>
        <v>0.6973121941851872</v>
      </c>
      <c r="N9">
        <f>SUM(L9:$L$16)/(J9*SUM(K9:$K$16))</f>
        <v>1.8128419066440216</v>
      </c>
      <c r="O9">
        <f t="shared" si="2"/>
        <v>0.19422728128560512</v>
      </c>
    </row>
    <row r="10" spans="1:15" x14ac:dyDescent="0.3">
      <c r="A10" s="53">
        <v>70010</v>
      </c>
      <c r="B10" s="53">
        <v>107798</v>
      </c>
      <c r="C10" s="53">
        <v>8035350713</v>
      </c>
      <c r="D10" s="54">
        <v>1.5513975435981244</v>
      </c>
      <c r="F10" s="53">
        <v>70010</v>
      </c>
      <c r="G10" s="53">
        <v>107798</v>
      </c>
      <c r="H10" s="53">
        <v>8035350713</v>
      </c>
      <c r="I10" s="2">
        <f t="shared" si="0"/>
        <v>10672.955696791101</v>
      </c>
      <c r="J10" s="53">
        <v>70010</v>
      </c>
      <c r="K10" s="2">
        <f t="shared" si="1"/>
        <v>1305814.0986055776</v>
      </c>
      <c r="L10" s="2">
        <f t="shared" si="1"/>
        <v>97667327290.049805</v>
      </c>
      <c r="M10">
        <f>1-SUM(K10:$K$16)/$K$18</f>
        <v>0.76649867900730695</v>
      </c>
      <c r="N10">
        <f>SUM(L10:$L$16)/(J10*SUM(K10:$K$16))</f>
        <v>1.7399183508845797</v>
      </c>
      <c r="O10">
        <f t="shared" si="2"/>
        <v>0.14174988629519256</v>
      </c>
    </row>
    <row r="11" spans="1:15" x14ac:dyDescent="0.3">
      <c r="A11" s="53">
        <v>80010</v>
      </c>
      <c r="B11" s="53">
        <v>63224</v>
      </c>
      <c r="C11" s="53">
        <v>5351590371</v>
      </c>
      <c r="D11" s="54">
        <v>1.5766090201805296</v>
      </c>
      <c r="F11" s="53">
        <v>80010</v>
      </c>
      <c r="G11" s="53">
        <v>63224</v>
      </c>
      <c r="H11" s="53">
        <v>5351590371</v>
      </c>
      <c r="I11" s="2">
        <f t="shared" si="0"/>
        <v>12197.445869165205</v>
      </c>
      <c r="J11" s="53">
        <v>80010</v>
      </c>
      <c r="K11" s="2">
        <f t="shared" si="1"/>
        <v>984243</v>
      </c>
      <c r="L11" s="2">
        <f t="shared" si="1"/>
        <v>83432313945</v>
      </c>
      <c r="M11">
        <f>1-SUM(K11:$K$16)/$K$18</f>
        <v>0.82081104764179114</v>
      </c>
      <c r="N11">
        <f>SUM(L11:$L$16)/(J11*SUM(K11:$K$16))</f>
        <v>1.7005715949445617</v>
      </c>
      <c r="O11">
        <f t="shared" si="2"/>
        <v>0.1122791830879163</v>
      </c>
    </row>
    <row r="12" spans="1:15" x14ac:dyDescent="0.3">
      <c r="A12" s="53">
        <v>90010</v>
      </c>
      <c r="B12" s="53">
        <v>39789</v>
      </c>
      <c r="C12" s="53">
        <v>3766095501</v>
      </c>
      <c r="D12" s="54">
        <v>1.600715161154584</v>
      </c>
      <c r="F12" s="53">
        <v>90010</v>
      </c>
      <c r="G12" s="53">
        <v>39789</v>
      </c>
      <c r="H12" s="53">
        <v>3766095501</v>
      </c>
      <c r="I12" s="2">
        <f t="shared" si="0"/>
        <v>13721.936041539308</v>
      </c>
      <c r="J12" s="53">
        <v>90010</v>
      </c>
      <c r="K12" s="2">
        <f t="shared" si="1"/>
        <v>734309</v>
      </c>
      <c r="L12" s="2">
        <f t="shared" si="1"/>
        <v>69595373462</v>
      </c>
      <c r="M12">
        <f>1-SUM(K12:$K$16)/$K$18</f>
        <v>0.86174839752872723</v>
      </c>
      <c r="N12">
        <f>SUM(L12:$L$16)/(J12*SUM(K12:$K$16))</f>
        <v>1.680385430155547</v>
      </c>
      <c r="O12">
        <f t="shared" si="2"/>
        <v>9.5299117946259684E-2</v>
      </c>
    </row>
    <row r="13" spans="1:15" x14ac:dyDescent="0.3">
      <c r="A13" s="53">
        <v>100010</v>
      </c>
      <c r="B13" s="53">
        <v>71671</v>
      </c>
      <c r="C13" s="53">
        <v>8489227460</v>
      </c>
      <c r="D13" s="54">
        <v>1.6253147821550324</v>
      </c>
      <c r="F13" s="53">
        <v>100010</v>
      </c>
      <c r="G13" s="53">
        <v>71671</v>
      </c>
      <c r="H13" s="53">
        <v>8489227460</v>
      </c>
      <c r="I13" s="2">
        <f t="shared" si="0"/>
        <v>15246.426213913412</v>
      </c>
      <c r="J13" s="53">
        <v>100010</v>
      </c>
      <c r="K13" s="2">
        <f t="shared" si="1"/>
        <v>1666242</v>
      </c>
      <c r="L13" s="2">
        <f t="shared" si="1"/>
        <v>198846150062</v>
      </c>
      <c r="M13">
        <f>1-SUM(K13:$K$16)/$K$18</f>
        <v>0.89229031091609823</v>
      </c>
      <c r="N13">
        <f>SUM(L13:$L$16)/(J13*SUM(K13:$K$16))</f>
        <v>1.6724863486810397</v>
      </c>
      <c r="O13">
        <f t="shared" si="2"/>
        <v>7.8915907773300639E-2</v>
      </c>
    </row>
    <row r="14" spans="1:15" x14ac:dyDescent="0.3">
      <c r="A14" s="53">
        <v>150010</v>
      </c>
      <c r="B14" s="53">
        <v>18176</v>
      </c>
      <c r="C14" s="53">
        <v>3100673940</v>
      </c>
      <c r="D14" s="54">
        <v>1.6885909413118128</v>
      </c>
      <c r="F14" s="53">
        <v>150010</v>
      </c>
      <c r="G14" s="53">
        <v>18176</v>
      </c>
      <c r="H14" s="53">
        <v>3100673940</v>
      </c>
      <c r="I14" s="2">
        <f t="shared" si="0"/>
        <v>22868.87707578393</v>
      </c>
      <c r="J14" s="53">
        <v>150010</v>
      </c>
      <c r="K14" s="2">
        <f t="shared" si="1"/>
        <v>470924</v>
      </c>
      <c r="L14" s="2">
        <f t="shared" si="1"/>
        <v>80387793623</v>
      </c>
      <c r="M14">
        <f>1-SUM(K14:$K$16)/$K$18</f>
        <v>0.96159385866833857</v>
      </c>
      <c r="N14">
        <f>SUM(L14:$L$16)/(J14*SUM(K14:$K$16))</f>
        <v>1.6915518131195038</v>
      </c>
      <c r="O14">
        <f t="shared" si="2"/>
        <v>7.5190476594949499E-2</v>
      </c>
    </row>
    <row r="15" spans="1:15" x14ac:dyDescent="0.3">
      <c r="A15" s="53">
        <v>200010</v>
      </c>
      <c r="B15" s="53">
        <v>13566</v>
      </c>
      <c r="C15" s="53">
        <v>3558711088</v>
      </c>
      <c r="D15" s="54">
        <v>1.7179154096349236</v>
      </c>
      <c r="F15" s="53">
        <v>200010</v>
      </c>
      <c r="G15" s="53">
        <v>13566</v>
      </c>
      <c r="H15" s="53">
        <v>3558711088</v>
      </c>
      <c r="I15" s="2">
        <f t="shared" si="0"/>
        <v>30491.327937654449</v>
      </c>
      <c r="J15" s="53">
        <v>200010</v>
      </c>
      <c r="K15" s="2">
        <f t="shared" si="1"/>
        <v>370169</v>
      </c>
      <c r="L15" s="2">
        <f t="shared" si="1"/>
        <v>97301695270</v>
      </c>
      <c r="M15">
        <f>1-SUM(K15:$K$16)/$K$18</f>
        <v>0.98118087179228819</v>
      </c>
      <c r="N15">
        <f>SUM(L15:$L$16)/(J15*SUM(K15:$K$16))</f>
        <v>1.7008436027226401</v>
      </c>
      <c r="O15">
        <f t="shared" si="2"/>
        <v>7.420394468472509E-2</v>
      </c>
    </row>
    <row r="16" spans="1:15" x14ac:dyDescent="0.3">
      <c r="A16" s="53">
        <v>400000</v>
      </c>
      <c r="B16" s="53">
        <v>3084</v>
      </c>
      <c r="C16" s="53">
        <v>2162233259</v>
      </c>
      <c r="D16" s="54">
        <v>1.7527831217574579</v>
      </c>
      <c r="F16" s="53">
        <v>400000</v>
      </c>
      <c r="G16" s="53">
        <v>3084</v>
      </c>
      <c r="H16" s="53">
        <v>2162233259</v>
      </c>
      <c r="I16" s="2">
        <f t="shared" si="0"/>
        <v>60979.606894964156</v>
      </c>
      <c r="J16" s="53">
        <v>400000</v>
      </c>
      <c r="K16" s="2">
        <f t="shared" si="1"/>
        <v>82293</v>
      </c>
      <c r="L16" s="2">
        <f>H16+H30+H44+H58+H72+H86+H100+H114+H128+H142+H156+H170</f>
        <v>56619420036</v>
      </c>
      <c r="M16">
        <f>1-SUM(K16:$K$16)/$K$18</f>
        <v>0.9965772097599418</v>
      </c>
      <c r="N16">
        <f>SUM(L16:$L$16)/(J16*SUM(K16:$K$16))</f>
        <v>1.7200557774051255</v>
      </c>
      <c r="O16">
        <f t="shared" si="2"/>
        <v>8.4247748897233063E-2</v>
      </c>
    </row>
    <row r="17" spans="1:11" x14ac:dyDescent="0.3">
      <c r="A17" s="51" t="s">
        <v>56</v>
      </c>
      <c r="B17" s="51" t="s">
        <v>87</v>
      </c>
      <c r="C17" s="51" t="s">
        <v>61</v>
      </c>
      <c r="D17" s="52" t="s">
        <v>59</v>
      </c>
    </row>
    <row r="18" spans="1:11" x14ac:dyDescent="0.3">
      <c r="A18" s="53">
        <v>25010</v>
      </c>
      <c r="B18" s="53">
        <v>239532</v>
      </c>
      <c r="C18" s="53">
        <v>6606883383</v>
      </c>
      <c r="D18" s="54">
        <v>2.1331453819580086</v>
      </c>
      <c r="F18" s="53">
        <v>25010</v>
      </c>
      <c r="G18" s="53">
        <v>239532</v>
      </c>
      <c r="H18" s="53">
        <v>6606883383</v>
      </c>
      <c r="K18" s="63">
        <v>24042665.260901265</v>
      </c>
    </row>
    <row r="19" spans="1:11" x14ac:dyDescent="0.3">
      <c r="A19" s="53">
        <v>30010</v>
      </c>
      <c r="B19" s="53">
        <v>140988</v>
      </c>
      <c r="C19" s="53">
        <v>4608728374</v>
      </c>
      <c r="D19" s="54">
        <v>1.9814417311949741</v>
      </c>
      <c r="F19" s="53">
        <v>30010</v>
      </c>
      <c r="G19" s="53">
        <v>140988</v>
      </c>
      <c r="H19" s="53">
        <v>4608728374</v>
      </c>
    </row>
    <row r="20" spans="1:11" x14ac:dyDescent="0.3">
      <c r="A20" s="53">
        <v>35010</v>
      </c>
      <c r="B20" s="53">
        <v>189663</v>
      </c>
      <c r="C20" s="53">
        <v>7094292286</v>
      </c>
      <c r="D20" s="54">
        <v>1.8225826360303055</v>
      </c>
      <c r="F20" s="53">
        <v>35010</v>
      </c>
      <c r="G20" s="53">
        <v>189663</v>
      </c>
      <c r="H20" s="53">
        <v>7094292286</v>
      </c>
    </row>
    <row r="21" spans="1:11" x14ac:dyDescent="0.3">
      <c r="A21" s="53">
        <v>40010</v>
      </c>
      <c r="B21" s="53">
        <v>255226</v>
      </c>
      <c r="C21" s="53">
        <v>11383269894</v>
      </c>
      <c r="D21" s="54">
        <v>1.7791517400830996</v>
      </c>
      <c r="F21" s="53">
        <v>40010</v>
      </c>
      <c r="G21" s="53">
        <v>255226</v>
      </c>
      <c r="H21" s="53">
        <v>11383269894</v>
      </c>
    </row>
    <row r="22" spans="1:11" x14ac:dyDescent="0.3">
      <c r="A22" s="53">
        <v>50010</v>
      </c>
      <c r="B22" s="53">
        <v>129456</v>
      </c>
      <c r="C22" s="53">
        <v>7001864655</v>
      </c>
      <c r="D22" s="54">
        <v>1.7435270272961012</v>
      </c>
      <c r="F22" s="53">
        <v>50010</v>
      </c>
      <c r="G22" s="53">
        <v>129456</v>
      </c>
      <c r="H22" s="53">
        <v>7001864655</v>
      </c>
    </row>
    <row r="23" spans="1:11" x14ac:dyDescent="0.3">
      <c r="A23" s="53">
        <v>60010</v>
      </c>
      <c r="B23" s="53">
        <v>94725</v>
      </c>
      <c r="C23" s="53">
        <v>6120511413</v>
      </c>
      <c r="D23" s="54">
        <v>1.6956434064692607</v>
      </c>
      <c r="F23" s="53">
        <v>60010</v>
      </c>
      <c r="G23" s="53">
        <v>94725</v>
      </c>
      <c r="H23" s="53">
        <v>6120511413</v>
      </c>
    </row>
    <row r="24" spans="1:11" x14ac:dyDescent="0.3">
      <c r="A24" s="53">
        <v>70010</v>
      </c>
      <c r="B24" s="53">
        <v>60862</v>
      </c>
      <c r="C24" s="53">
        <v>4542873148</v>
      </c>
      <c r="D24" s="54">
        <v>1.7052168918611399</v>
      </c>
      <c r="F24" s="53">
        <v>70010</v>
      </c>
      <c r="G24" s="53">
        <v>60862</v>
      </c>
      <c r="H24" s="53">
        <v>4542873148</v>
      </c>
    </row>
    <row r="25" spans="1:11" x14ac:dyDescent="0.3">
      <c r="A25" s="53">
        <v>80010</v>
      </c>
      <c r="B25" s="53">
        <v>37845</v>
      </c>
      <c r="C25" s="53">
        <v>3201626738</v>
      </c>
      <c r="D25" s="54">
        <v>1.7373944459785295</v>
      </c>
      <c r="F25" s="53">
        <v>80010</v>
      </c>
      <c r="G25" s="53">
        <v>37845</v>
      </c>
      <c r="H25" s="53">
        <v>3201626738</v>
      </c>
    </row>
    <row r="26" spans="1:11" x14ac:dyDescent="0.3">
      <c r="A26" s="53">
        <v>90010</v>
      </c>
      <c r="B26" s="53">
        <v>24259</v>
      </c>
      <c r="C26" s="53">
        <v>2296128750</v>
      </c>
      <c r="D26" s="54">
        <v>1.7711180498003953</v>
      </c>
      <c r="F26" s="53">
        <v>90010</v>
      </c>
      <c r="G26" s="53">
        <v>24259</v>
      </c>
      <c r="H26" s="53">
        <v>2296128750</v>
      </c>
    </row>
    <row r="27" spans="1:11" x14ac:dyDescent="0.3">
      <c r="A27" s="53">
        <v>100010</v>
      </c>
      <c r="B27" s="53">
        <v>48122</v>
      </c>
      <c r="C27" s="53">
        <v>5736595859</v>
      </c>
      <c r="D27" s="54">
        <v>1.7990300286201772</v>
      </c>
      <c r="F27" s="53">
        <v>100010</v>
      </c>
      <c r="G27" s="53">
        <v>48122</v>
      </c>
      <c r="H27" s="53">
        <v>5736595859</v>
      </c>
    </row>
    <row r="28" spans="1:11" x14ac:dyDescent="0.3">
      <c r="A28" s="53">
        <v>150010</v>
      </c>
      <c r="B28" s="53">
        <v>13952</v>
      </c>
      <c r="C28" s="53">
        <v>2387028419</v>
      </c>
      <c r="D28" s="54">
        <v>1.8824665175239721</v>
      </c>
      <c r="F28" s="53">
        <v>150010</v>
      </c>
      <c r="G28" s="53">
        <v>13952</v>
      </c>
      <c r="H28" s="53">
        <v>2387028419</v>
      </c>
    </row>
    <row r="29" spans="1:11" x14ac:dyDescent="0.3">
      <c r="A29" s="53">
        <v>200010</v>
      </c>
      <c r="B29" s="53">
        <v>11335</v>
      </c>
      <c r="C29" s="53">
        <v>2979554397</v>
      </c>
      <c r="D29" s="54">
        <v>1.9451091703656576</v>
      </c>
      <c r="F29" s="53">
        <v>200010</v>
      </c>
      <c r="G29" s="53">
        <v>11335</v>
      </c>
      <c r="H29" s="53">
        <v>2979554397</v>
      </c>
    </row>
    <row r="30" spans="1:11" x14ac:dyDescent="0.3">
      <c r="A30" s="53">
        <v>400000</v>
      </c>
      <c r="B30" s="53">
        <v>3225</v>
      </c>
      <c r="C30" s="53">
        <v>2684886715</v>
      </c>
      <c r="D30" s="54">
        <v>2.0813075310077518</v>
      </c>
      <c r="F30" s="53">
        <v>400000</v>
      </c>
      <c r="G30" s="53">
        <v>3225</v>
      </c>
      <c r="H30" s="53">
        <v>2684886715</v>
      </c>
    </row>
    <row r="31" spans="1:11" x14ac:dyDescent="0.3">
      <c r="A31" s="51" t="s">
        <v>56</v>
      </c>
      <c r="B31" s="51" t="s">
        <v>186</v>
      </c>
      <c r="C31" s="51" t="s">
        <v>174</v>
      </c>
      <c r="D31" s="52" t="s">
        <v>59</v>
      </c>
      <c r="E31">
        <v>25240</v>
      </c>
    </row>
    <row r="32" spans="1:11" x14ac:dyDescent="0.3">
      <c r="A32" s="53">
        <v>25010</v>
      </c>
      <c r="B32" s="53">
        <v>68677</v>
      </c>
      <c r="C32" s="53">
        <v>1986406034</v>
      </c>
      <c r="D32" s="54">
        <v>3.1803843484845502</v>
      </c>
      <c r="F32" s="53">
        <v>25010</v>
      </c>
      <c r="G32" s="2">
        <v>462215.48208358156</v>
      </c>
      <c r="H32" s="2">
        <v>12749043083.777321</v>
      </c>
    </row>
    <row r="33" spans="1:8" x14ac:dyDescent="0.3">
      <c r="A33" s="53">
        <v>30010</v>
      </c>
      <c r="B33" s="53">
        <v>272059</v>
      </c>
      <c r="C33" s="53">
        <v>8895822476</v>
      </c>
      <c r="D33" s="54">
        <v>2.6801887646691998</v>
      </c>
      <c r="F33" s="53">
        <v>30010</v>
      </c>
      <c r="G33" s="55">
        <v>272059</v>
      </c>
      <c r="H33" s="55">
        <v>8895822476</v>
      </c>
    </row>
    <row r="34" spans="1:8" x14ac:dyDescent="0.3">
      <c r="A34" s="53">
        <v>35010</v>
      </c>
      <c r="B34" s="53">
        <v>327932</v>
      </c>
      <c r="C34" s="53">
        <v>12304801997</v>
      </c>
      <c r="D34" s="54">
        <v>2.3996223626979112</v>
      </c>
      <c r="F34" s="53">
        <v>35010</v>
      </c>
      <c r="G34" s="55">
        <v>327932</v>
      </c>
      <c r="H34" s="55">
        <v>12304801997</v>
      </c>
    </row>
    <row r="35" spans="1:8" x14ac:dyDescent="0.3">
      <c r="A35" s="53">
        <v>40010</v>
      </c>
      <c r="B35" s="53">
        <v>632140</v>
      </c>
      <c r="C35" s="53">
        <v>28401744215</v>
      </c>
      <c r="D35" s="54">
        <v>2.215162574803792</v>
      </c>
      <c r="F35" s="53">
        <v>40010</v>
      </c>
      <c r="G35" s="55">
        <v>632140</v>
      </c>
      <c r="H35" s="55">
        <v>28401744215</v>
      </c>
    </row>
    <row r="36" spans="1:8" x14ac:dyDescent="0.3">
      <c r="A36" s="53">
        <v>50010</v>
      </c>
      <c r="B36" s="53">
        <v>473091</v>
      </c>
      <c r="C36" s="53">
        <v>25845545569</v>
      </c>
      <c r="D36" s="54">
        <v>1.9791630636642317</v>
      </c>
      <c r="F36" s="53">
        <v>50010</v>
      </c>
      <c r="G36" s="55">
        <v>473091</v>
      </c>
      <c r="H36" s="55">
        <v>25845545569</v>
      </c>
    </row>
    <row r="37" spans="1:8" x14ac:dyDescent="0.3">
      <c r="A37" s="53">
        <v>60010</v>
      </c>
      <c r="B37" s="53">
        <v>502102</v>
      </c>
      <c r="C37" s="53">
        <v>32569567250</v>
      </c>
      <c r="D37" s="54">
        <v>1.808554673382865</v>
      </c>
      <c r="F37" s="53">
        <v>60010</v>
      </c>
      <c r="G37" s="55">
        <v>502102</v>
      </c>
      <c r="H37" s="55">
        <v>32569567250</v>
      </c>
    </row>
    <row r="38" spans="1:8" x14ac:dyDescent="0.3">
      <c r="A38" s="53">
        <v>70010</v>
      </c>
      <c r="B38" s="53">
        <v>400994</v>
      </c>
      <c r="C38" s="53">
        <v>29992045345</v>
      </c>
      <c r="D38" s="54">
        <v>1.7350930978693895</v>
      </c>
      <c r="F38" s="53">
        <v>70010</v>
      </c>
      <c r="G38" s="55">
        <v>400994</v>
      </c>
      <c r="H38" s="55">
        <v>29992045345</v>
      </c>
    </row>
    <row r="39" spans="1:8" x14ac:dyDescent="0.3">
      <c r="A39" s="53">
        <v>80010</v>
      </c>
      <c r="B39" s="53">
        <v>301157</v>
      </c>
      <c r="C39" s="53">
        <v>25524719657</v>
      </c>
      <c r="D39" s="54">
        <v>1.6991714188066942</v>
      </c>
      <c r="F39" s="53">
        <v>80010</v>
      </c>
      <c r="G39" s="55">
        <v>301157</v>
      </c>
      <c r="H39" s="55">
        <v>25524719657</v>
      </c>
    </row>
    <row r="40" spans="1:8" x14ac:dyDescent="0.3">
      <c r="A40" s="53">
        <v>90010</v>
      </c>
      <c r="B40" s="53">
        <v>223585</v>
      </c>
      <c r="C40" s="53">
        <v>21190445645</v>
      </c>
      <c r="D40" s="54">
        <v>1.6830976379648899</v>
      </c>
      <c r="F40" s="53">
        <v>90010</v>
      </c>
      <c r="G40" s="55">
        <v>223585</v>
      </c>
      <c r="H40" s="55">
        <v>21190445645</v>
      </c>
    </row>
    <row r="41" spans="1:8" x14ac:dyDescent="0.3">
      <c r="A41" s="53">
        <v>100010</v>
      </c>
      <c r="B41" s="53">
        <v>499097</v>
      </c>
      <c r="C41" s="53">
        <v>59446648641</v>
      </c>
      <c r="D41" s="54">
        <v>1.6798635869839027</v>
      </c>
      <c r="F41" s="53">
        <v>100010</v>
      </c>
      <c r="G41" s="55">
        <v>499097</v>
      </c>
      <c r="H41" s="55">
        <v>59446648641</v>
      </c>
    </row>
    <row r="42" spans="1:8" x14ac:dyDescent="0.3">
      <c r="A42" s="53">
        <v>150010</v>
      </c>
      <c r="B42" s="53">
        <v>139027</v>
      </c>
      <c r="C42" s="53">
        <v>23724754008</v>
      </c>
      <c r="D42" s="54">
        <v>1.7243801724803396</v>
      </c>
      <c r="F42" s="53">
        <v>150010</v>
      </c>
      <c r="G42" s="55">
        <v>139027</v>
      </c>
      <c r="H42" s="55">
        <v>23724754008</v>
      </c>
    </row>
    <row r="43" spans="1:8" x14ac:dyDescent="0.3">
      <c r="A43" s="53">
        <v>200010</v>
      </c>
      <c r="B43" s="53">
        <v>104979</v>
      </c>
      <c r="C43" s="53">
        <v>27530423940</v>
      </c>
      <c r="D43" s="54">
        <v>1.7635649129904298</v>
      </c>
      <c r="F43" s="53">
        <v>200010</v>
      </c>
      <c r="G43" s="55">
        <v>104979</v>
      </c>
      <c r="H43" s="55">
        <v>27530423940</v>
      </c>
    </row>
    <row r="44" spans="1:8" x14ac:dyDescent="0.3">
      <c r="A44" s="53">
        <v>400000</v>
      </c>
      <c r="B44" s="53">
        <v>25134</v>
      </c>
      <c r="C44" s="53">
        <v>18364414992</v>
      </c>
      <c r="D44" s="54">
        <v>1.8266506517068513</v>
      </c>
      <c r="F44" s="53">
        <v>400000</v>
      </c>
      <c r="G44" s="55">
        <v>25134</v>
      </c>
      <c r="H44" s="55">
        <v>18364414992</v>
      </c>
    </row>
    <row r="45" spans="1:8" x14ac:dyDescent="0.3">
      <c r="A45" s="51" t="s">
        <v>56</v>
      </c>
      <c r="B45" s="51" t="s">
        <v>187</v>
      </c>
      <c r="C45" s="51" t="s">
        <v>188</v>
      </c>
      <c r="D45" s="52" t="s">
        <v>59</v>
      </c>
      <c r="E45">
        <v>25240</v>
      </c>
      <c r="G45" s="2"/>
      <c r="H45" s="2"/>
    </row>
    <row r="46" spans="1:8" x14ac:dyDescent="0.3">
      <c r="A46" s="53">
        <v>25010</v>
      </c>
      <c r="B46" s="53">
        <v>19652</v>
      </c>
      <c r="C46" s="53">
        <v>573709100</v>
      </c>
      <c r="D46" s="54">
        <v>2.0459515723624273</v>
      </c>
      <c r="F46" s="53">
        <v>25010</v>
      </c>
      <c r="G46" s="2">
        <v>111622.91778023662</v>
      </c>
      <c r="H46" s="2">
        <v>3078835398.3777552</v>
      </c>
    </row>
    <row r="47" spans="1:8" x14ac:dyDescent="0.3">
      <c r="A47" s="53">
        <v>30010</v>
      </c>
      <c r="B47" s="53">
        <v>65701</v>
      </c>
      <c r="C47" s="53">
        <v>2137719895</v>
      </c>
      <c r="D47" s="54">
        <v>1.5976333529870925</v>
      </c>
      <c r="F47" s="53">
        <v>30010</v>
      </c>
      <c r="G47" s="55">
        <v>65701</v>
      </c>
      <c r="H47" s="55">
        <v>2137719895</v>
      </c>
    </row>
    <row r="48" spans="1:8" x14ac:dyDescent="0.3">
      <c r="A48" s="53">
        <v>35010</v>
      </c>
      <c r="B48" s="53">
        <v>61711</v>
      </c>
      <c r="C48" s="53">
        <v>2311613999</v>
      </c>
      <c r="D48" s="54">
        <v>1.4533666346629579</v>
      </c>
      <c r="F48" s="53">
        <v>35010</v>
      </c>
      <c r="G48" s="55">
        <v>61711</v>
      </c>
      <c r="H48" s="55">
        <v>2311613999</v>
      </c>
    </row>
    <row r="49" spans="1:8" x14ac:dyDescent="0.3">
      <c r="A49" s="53">
        <v>40010</v>
      </c>
      <c r="B49" s="53">
        <v>91300</v>
      </c>
      <c r="C49" s="53">
        <v>4076553843</v>
      </c>
      <c r="D49" s="54">
        <v>1.1671101697664592</v>
      </c>
      <c r="F49" s="53">
        <v>40010</v>
      </c>
      <c r="G49" s="55">
        <v>91300</v>
      </c>
      <c r="H49" s="55">
        <v>4076553843</v>
      </c>
    </row>
    <row r="50" spans="1:8" x14ac:dyDescent="0.3">
      <c r="A50" s="53">
        <v>50010</v>
      </c>
      <c r="B50" s="53">
        <v>53049</v>
      </c>
      <c r="C50" s="53">
        <v>2892804920</v>
      </c>
      <c r="D50" s="54">
        <v>1.1406949807978277</v>
      </c>
      <c r="F50" s="53">
        <v>50010</v>
      </c>
      <c r="G50" s="55">
        <v>53049</v>
      </c>
      <c r="H50" s="55">
        <v>2892804920</v>
      </c>
    </row>
    <row r="51" spans="1:8" x14ac:dyDescent="0.3">
      <c r="A51" s="53">
        <v>60010</v>
      </c>
      <c r="B51" s="53">
        <v>29387</v>
      </c>
      <c r="C51" s="53">
        <v>1896030887</v>
      </c>
      <c r="D51" s="54">
        <v>1.1879008034379723</v>
      </c>
      <c r="F51" s="53">
        <v>60010</v>
      </c>
      <c r="G51" s="55">
        <v>29387</v>
      </c>
      <c r="H51" s="55">
        <v>1896030887</v>
      </c>
    </row>
    <row r="52" spans="1:8" x14ac:dyDescent="0.3">
      <c r="A52" s="53">
        <v>70010</v>
      </c>
      <c r="B52" s="53">
        <v>16439</v>
      </c>
      <c r="C52" s="53">
        <v>1225672427</v>
      </c>
      <c r="D52" s="54">
        <v>1.2666187995133886</v>
      </c>
      <c r="F52" s="53">
        <v>70010</v>
      </c>
      <c r="G52" s="55">
        <v>16439</v>
      </c>
      <c r="H52" s="55">
        <v>1225672427</v>
      </c>
    </row>
    <row r="53" spans="1:8" x14ac:dyDescent="0.3">
      <c r="A53" s="53">
        <v>80010</v>
      </c>
      <c r="B53" s="53">
        <v>9441</v>
      </c>
      <c r="C53" s="53">
        <v>798747070</v>
      </c>
      <c r="D53" s="54">
        <v>1.3538525554863716</v>
      </c>
      <c r="F53" s="53">
        <v>80010</v>
      </c>
      <c r="G53" s="55">
        <v>9441</v>
      </c>
      <c r="H53" s="55">
        <v>798747070</v>
      </c>
    </row>
    <row r="54" spans="1:8" x14ac:dyDescent="0.3">
      <c r="A54" s="53">
        <v>90010</v>
      </c>
      <c r="B54" s="53">
        <v>5931</v>
      </c>
      <c r="C54" s="53">
        <v>561573340</v>
      </c>
      <c r="D54" s="54">
        <v>1.4159739976062715</v>
      </c>
      <c r="F54" s="53">
        <v>90010</v>
      </c>
      <c r="G54" s="55">
        <v>5931</v>
      </c>
      <c r="H54" s="55">
        <v>561573340</v>
      </c>
    </row>
    <row r="55" spans="1:8" x14ac:dyDescent="0.3">
      <c r="A55" s="53">
        <v>100010</v>
      </c>
      <c r="B55" s="53">
        <v>11700</v>
      </c>
      <c r="C55" s="53">
        <v>1388296394</v>
      </c>
      <c r="D55" s="54">
        <v>1.6903279988972266</v>
      </c>
      <c r="F55" s="53">
        <v>100010</v>
      </c>
      <c r="G55" s="55">
        <v>11700</v>
      </c>
      <c r="H55" s="55">
        <v>1388296394</v>
      </c>
    </row>
    <row r="56" spans="1:8" x14ac:dyDescent="0.3">
      <c r="A56" s="53">
        <v>150010</v>
      </c>
      <c r="B56" s="53">
        <v>3281</v>
      </c>
      <c r="C56" s="53">
        <v>560962783</v>
      </c>
      <c r="D56" s="54">
        <v>1.7342012510249627</v>
      </c>
      <c r="F56" s="53">
        <v>150010</v>
      </c>
      <c r="G56" s="55">
        <v>3281</v>
      </c>
      <c r="H56" s="55">
        <v>560962783</v>
      </c>
    </row>
    <row r="57" spans="1:8" x14ac:dyDescent="0.3">
      <c r="A57" s="53">
        <v>200010</v>
      </c>
      <c r="B57" s="53">
        <v>2567</v>
      </c>
      <c r="C57" s="53">
        <v>674392139</v>
      </c>
      <c r="D57" s="54">
        <v>1.7590972989739733</v>
      </c>
      <c r="F57" s="53">
        <v>200010</v>
      </c>
      <c r="G57" s="55">
        <v>2567</v>
      </c>
      <c r="H57" s="55">
        <v>674392139</v>
      </c>
    </row>
    <row r="58" spans="1:8" x14ac:dyDescent="0.3">
      <c r="A58" s="53">
        <v>400000</v>
      </c>
      <c r="B58" s="53">
        <v>624</v>
      </c>
      <c r="C58" s="53">
        <v>448319890</v>
      </c>
      <c r="D58" s="54">
        <v>1.7961534054487178</v>
      </c>
      <c r="F58" s="53">
        <v>400000</v>
      </c>
      <c r="G58" s="55">
        <v>624</v>
      </c>
      <c r="H58" s="55">
        <v>448319890</v>
      </c>
    </row>
    <row r="59" spans="1:8" x14ac:dyDescent="0.3">
      <c r="A59" s="51" t="s">
        <v>56</v>
      </c>
      <c r="B59" s="51" t="s">
        <v>177</v>
      </c>
      <c r="C59" s="51" t="s">
        <v>178</v>
      </c>
      <c r="D59" s="52" t="s">
        <v>59</v>
      </c>
      <c r="E59">
        <v>31550</v>
      </c>
      <c r="G59" s="2"/>
      <c r="H59" s="2"/>
    </row>
    <row r="60" spans="1:8" x14ac:dyDescent="0.3">
      <c r="A60" s="53">
        <v>25010</v>
      </c>
      <c r="B60" s="53">
        <v>561</v>
      </c>
      <c r="C60" s="53">
        <v>15447473</v>
      </c>
      <c r="D60" s="54">
        <v>3.391264019125388</v>
      </c>
      <c r="F60" s="53">
        <v>25010</v>
      </c>
      <c r="G60" s="2">
        <v>287030.49779364234</v>
      </c>
      <c r="H60" s="2">
        <v>7917009110.6283655</v>
      </c>
    </row>
    <row r="61" spans="1:8" x14ac:dyDescent="0.3">
      <c r="A61" s="53">
        <v>30010</v>
      </c>
      <c r="B61" s="53">
        <v>8323</v>
      </c>
      <c r="C61" s="53">
        <v>279621336</v>
      </c>
      <c r="D61" s="54">
        <v>2.8266227946487872</v>
      </c>
      <c r="F61" s="53">
        <v>30010</v>
      </c>
      <c r="G61" s="2">
        <v>168945.50967273704</v>
      </c>
      <c r="H61" s="2">
        <v>5524203434.4241858</v>
      </c>
    </row>
    <row r="62" spans="1:8" x14ac:dyDescent="0.3">
      <c r="A62" s="53">
        <v>35010</v>
      </c>
      <c r="B62" s="53">
        <v>203642</v>
      </c>
      <c r="C62" s="53">
        <v>7643242869</v>
      </c>
      <c r="D62" s="54">
        <v>2.4272824992389799</v>
      </c>
      <c r="F62" s="53">
        <v>35010</v>
      </c>
      <c r="G62" s="55">
        <v>203642</v>
      </c>
      <c r="H62" s="55">
        <v>7643242869</v>
      </c>
    </row>
    <row r="63" spans="1:8" x14ac:dyDescent="0.3">
      <c r="A63" s="53">
        <v>40010</v>
      </c>
      <c r="B63" s="53">
        <v>406437</v>
      </c>
      <c r="C63" s="53">
        <v>18281999344</v>
      </c>
      <c r="D63" s="54">
        <v>2.2169115768667589</v>
      </c>
      <c r="F63" s="53">
        <v>40010</v>
      </c>
      <c r="G63" s="55">
        <v>406437</v>
      </c>
      <c r="H63" s="55">
        <v>18281999344</v>
      </c>
    </row>
    <row r="64" spans="1:8" x14ac:dyDescent="0.3">
      <c r="A64" s="53">
        <v>50010</v>
      </c>
      <c r="B64" s="53">
        <v>376086</v>
      </c>
      <c r="C64" s="53">
        <v>20655263008</v>
      </c>
      <c r="D64" s="54">
        <v>1.9357602950605983</v>
      </c>
      <c r="F64" s="53">
        <v>50010</v>
      </c>
      <c r="G64" s="55">
        <v>376086</v>
      </c>
      <c r="H64" s="55">
        <v>20655263008</v>
      </c>
    </row>
    <row r="65" spans="1:8" x14ac:dyDescent="0.3">
      <c r="A65" s="53">
        <v>60010</v>
      </c>
      <c r="B65" s="53">
        <v>385274</v>
      </c>
      <c r="C65" s="53">
        <v>25018833659</v>
      </c>
      <c r="D65" s="54">
        <v>1.7578011852768052</v>
      </c>
      <c r="F65" s="53">
        <v>60010</v>
      </c>
      <c r="G65" s="55">
        <v>385274</v>
      </c>
      <c r="H65" s="55">
        <v>25018833659</v>
      </c>
    </row>
    <row r="66" spans="1:8" x14ac:dyDescent="0.3">
      <c r="A66" s="53">
        <v>70010</v>
      </c>
      <c r="B66" s="53">
        <v>335529</v>
      </c>
      <c r="C66" s="53">
        <v>25116329579</v>
      </c>
      <c r="D66" s="54">
        <v>1.6627749437207084</v>
      </c>
      <c r="F66" s="53">
        <v>70010</v>
      </c>
      <c r="G66" s="55">
        <v>335529</v>
      </c>
      <c r="H66" s="55">
        <v>25116329579</v>
      </c>
    </row>
    <row r="67" spans="1:8" x14ac:dyDescent="0.3">
      <c r="A67" s="53">
        <v>80010</v>
      </c>
      <c r="B67" s="53">
        <v>264053</v>
      </c>
      <c r="C67" s="53">
        <v>22385449203</v>
      </c>
      <c r="D67" s="54">
        <v>1.6141902198750686</v>
      </c>
      <c r="F67" s="53">
        <v>80010</v>
      </c>
      <c r="G67" s="55">
        <v>264053</v>
      </c>
      <c r="H67" s="55">
        <v>22385449203</v>
      </c>
    </row>
    <row r="68" spans="1:8" x14ac:dyDescent="0.3">
      <c r="A68" s="53">
        <v>90010</v>
      </c>
      <c r="B68" s="53">
        <v>197470</v>
      </c>
      <c r="C68" s="53">
        <v>18715898026</v>
      </c>
      <c r="D68" s="54">
        <v>1.5916358809504598</v>
      </c>
      <c r="F68" s="53">
        <v>90010</v>
      </c>
      <c r="G68" s="55">
        <v>197470</v>
      </c>
      <c r="H68" s="55">
        <v>18715898026</v>
      </c>
    </row>
    <row r="69" spans="1:8" x14ac:dyDescent="0.3">
      <c r="A69" s="53">
        <v>100010</v>
      </c>
      <c r="B69" s="53">
        <v>432105</v>
      </c>
      <c r="C69" s="53">
        <v>51423447599</v>
      </c>
      <c r="D69" s="54">
        <v>1.5837603495794808</v>
      </c>
      <c r="F69" s="53">
        <v>100010</v>
      </c>
      <c r="G69" s="55">
        <v>432105</v>
      </c>
      <c r="H69" s="55">
        <v>51423447599</v>
      </c>
    </row>
    <row r="70" spans="1:8" x14ac:dyDescent="0.3">
      <c r="A70" s="53">
        <v>150010</v>
      </c>
      <c r="B70" s="53">
        <v>108508</v>
      </c>
      <c r="C70" s="53">
        <v>18485137313</v>
      </c>
      <c r="D70" s="54">
        <v>1.621003620456124</v>
      </c>
      <c r="F70" s="53">
        <v>150010</v>
      </c>
      <c r="G70" s="55">
        <v>108508</v>
      </c>
      <c r="H70" s="55">
        <v>18485137313</v>
      </c>
    </row>
    <row r="71" spans="1:8" x14ac:dyDescent="0.3">
      <c r="A71" s="53">
        <v>200010</v>
      </c>
      <c r="B71" s="53">
        <v>77121</v>
      </c>
      <c r="C71" s="53">
        <v>20151360728</v>
      </c>
      <c r="D71" s="54">
        <v>1.6439993476090768</v>
      </c>
      <c r="F71" s="53">
        <v>200010</v>
      </c>
      <c r="G71" s="55">
        <v>77121</v>
      </c>
      <c r="H71" s="55">
        <v>20151360728</v>
      </c>
    </row>
    <row r="72" spans="1:8" x14ac:dyDescent="0.3">
      <c r="A72" s="53">
        <v>400000</v>
      </c>
      <c r="B72" s="53">
        <v>15120</v>
      </c>
      <c r="C72" s="53">
        <v>10178984478</v>
      </c>
      <c r="D72" s="54">
        <v>1.6830331478174605</v>
      </c>
      <c r="F72" s="53">
        <v>400000</v>
      </c>
      <c r="G72" s="55">
        <v>15120</v>
      </c>
      <c r="H72" s="55">
        <v>10178984478</v>
      </c>
    </row>
    <row r="73" spans="1:8" x14ac:dyDescent="0.3">
      <c r="A73" s="51" t="s">
        <v>56</v>
      </c>
      <c r="B73" s="51" t="s">
        <v>179</v>
      </c>
      <c r="C73" s="51" t="s">
        <v>71</v>
      </c>
      <c r="D73" s="52" t="s">
        <v>59</v>
      </c>
      <c r="E73">
        <v>37860</v>
      </c>
      <c r="G73" s="2"/>
      <c r="H73" s="2"/>
    </row>
    <row r="74" spans="1:8" x14ac:dyDescent="0.3">
      <c r="A74" s="53">
        <v>25010</v>
      </c>
      <c r="B74" s="53">
        <v>448</v>
      </c>
      <c r="C74" s="53">
        <v>12337028</v>
      </c>
      <c r="D74" s="54">
        <v>3.8547724470573912</v>
      </c>
      <c r="F74" s="53">
        <v>25010</v>
      </c>
      <c r="G74" s="2">
        <v>204178.46667774412</v>
      </c>
      <c r="H74" s="2">
        <v>5631745731.9256163</v>
      </c>
    </row>
    <row r="75" spans="1:8" x14ac:dyDescent="0.3">
      <c r="A75" s="53">
        <v>30010</v>
      </c>
      <c r="B75" s="53">
        <v>480</v>
      </c>
      <c r="C75" s="53">
        <v>15644032</v>
      </c>
      <c r="D75" s="54">
        <v>3.2129776916016084</v>
      </c>
      <c r="F75" s="53">
        <v>30010</v>
      </c>
      <c r="G75" s="2">
        <v>120178.98927893471</v>
      </c>
      <c r="H75" s="2">
        <v>3929629065.6457253</v>
      </c>
    </row>
    <row r="76" spans="1:8" x14ac:dyDescent="0.3">
      <c r="A76" s="53">
        <v>35010</v>
      </c>
      <c r="B76" s="53">
        <v>3410</v>
      </c>
      <c r="C76" s="53">
        <v>131854559</v>
      </c>
      <c r="D76" s="54">
        <v>2.7544978588895721</v>
      </c>
      <c r="F76" s="53">
        <v>35010</v>
      </c>
      <c r="G76" s="2">
        <v>144860.25572474947</v>
      </c>
      <c r="H76" s="2">
        <v>5437002762.5426369</v>
      </c>
    </row>
    <row r="77" spans="1:8" x14ac:dyDescent="0.3">
      <c r="A77" s="53">
        <v>40010</v>
      </c>
      <c r="B77" s="53">
        <v>289118</v>
      </c>
      <c r="C77" s="53">
        <v>13206151477</v>
      </c>
      <c r="D77" s="54">
        <v>2.4124458944076261</v>
      </c>
      <c r="F77" s="53">
        <v>40010</v>
      </c>
      <c r="G77" s="55">
        <v>289118</v>
      </c>
      <c r="H77" s="55">
        <v>13206151477</v>
      </c>
    </row>
    <row r="78" spans="1:8" x14ac:dyDescent="0.3">
      <c r="A78" s="53">
        <v>50010</v>
      </c>
      <c r="B78" s="53">
        <v>316218</v>
      </c>
      <c r="C78" s="53">
        <v>17376378068</v>
      </c>
      <c r="D78" s="54">
        <v>2.0788567902770771</v>
      </c>
      <c r="F78" s="53">
        <v>50010</v>
      </c>
      <c r="G78" s="55">
        <v>316218</v>
      </c>
      <c r="H78" s="55">
        <v>17376378068</v>
      </c>
    </row>
    <row r="79" spans="1:8" x14ac:dyDescent="0.3">
      <c r="A79" s="53">
        <v>60010</v>
      </c>
      <c r="B79" s="53">
        <v>305635</v>
      </c>
      <c r="C79" s="53">
        <v>19855100590</v>
      </c>
      <c r="D79" s="54">
        <v>1.8881018812512427</v>
      </c>
      <c r="F79" s="53">
        <v>60010</v>
      </c>
      <c r="G79" s="55">
        <v>305635</v>
      </c>
      <c r="H79" s="55">
        <v>19855100590</v>
      </c>
    </row>
    <row r="80" spans="1:8" x14ac:dyDescent="0.3">
      <c r="A80" s="53">
        <v>70010</v>
      </c>
      <c r="B80" s="53">
        <v>272763</v>
      </c>
      <c r="C80" s="53">
        <v>20423520877</v>
      </c>
      <c r="D80" s="54">
        <v>1.7743303049691268</v>
      </c>
      <c r="F80" s="53">
        <v>70010</v>
      </c>
      <c r="G80" s="55">
        <v>272763</v>
      </c>
      <c r="H80" s="55">
        <v>20423520877</v>
      </c>
    </row>
    <row r="81" spans="1:8" x14ac:dyDescent="0.3">
      <c r="A81" s="53">
        <v>80010</v>
      </c>
      <c r="B81" s="53">
        <v>225019</v>
      </c>
      <c r="C81" s="53">
        <v>19090616073</v>
      </c>
      <c r="D81" s="54">
        <v>1.708217217895919</v>
      </c>
      <c r="F81" s="53">
        <v>80010</v>
      </c>
      <c r="G81" s="55">
        <v>225019</v>
      </c>
      <c r="H81" s="55">
        <v>19090616073</v>
      </c>
    </row>
    <row r="82" spans="1:8" x14ac:dyDescent="0.3">
      <c r="A82" s="53">
        <v>90010</v>
      </c>
      <c r="B82" s="53">
        <v>179643</v>
      </c>
      <c r="C82" s="53">
        <v>17031877697</v>
      </c>
      <c r="D82" s="54">
        <v>1.669863984127347</v>
      </c>
      <c r="F82" s="53">
        <v>90010</v>
      </c>
      <c r="G82" s="55">
        <v>179643</v>
      </c>
      <c r="H82" s="55">
        <v>17031877697</v>
      </c>
    </row>
    <row r="83" spans="1:8" x14ac:dyDescent="0.3">
      <c r="A83" s="53">
        <v>100010</v>
      </c>
      <c r="B83" s="53">
        <v>436290</v>
      </c>
      <c r="C83" s="53">
        <v>52162732771</v>
      </c>
      <c r="D83" s="54">
        <v>1.6503327283944953</v>
      </c>
      <c r="F83" s="53">
        <v>100010</v>
      </c>
      <c r="G83" s="55">
        <v>436290</v>
      </c>
      <c r="H83" s="55">
        <v>52162732771</v>
      </c>
    </row>
    <row r="84" spans="1:8" x14ac:dyDescent="0.3">
      <c r="A84" s="53">
        <v>150010</v>
      </c>
      <c r="B84" s="53">
        <v>122749</v>
      </c>
      <c r="C84" s="53">
        <v>20936418445</v>
      </c>
      <c r="D84" s="54">
        <v>1.6519663511366038</v>
      </c>
      <c r="F84" s="53">
        <v>150010</v>
      </c>
      <c r="G84" s="55">
        <v>122749</v>
      </c>
      <c r="H84" s="55">
        <v>20936418445</v>
      </c>
    </row>
    <row r="85" spans="1:8" x14ac:dyDescent="0.3">
      <c r="A85" s="53">
        <v>200010</v>
      </c>
      <c r="B85" s="53">
        <v>96832</v>
      </c>
      <c r="C85" s="53">
        <v>25457572076</v>
      </c>
      <c r="D85" s="54">
        <v>1.6439962613343986</v>
      </c>
      <c r="F85" s="53">
        <v>200010</v>
      </c>
      <c r="G85" s="55">
        <v>96832</v>
      </c>
      <c r="H85" s="55">
        <v>25457572076</v>
      </c>
    </row>
    <row r="86" spans="1:8" x14ac:dyDescent="0.3">
      <c r="A86" s="53">
        <v>400000</v>
      </c>
      <c r="B86" s="53">
        <v>20226</v>
      </c>
      <c r="C86" s="53">
        <v>13032935225</v>
      </c>
      <c r="D86" s="54">
        <v>1.6109135796746763</v>
      </c>
      <c r="F86" s="53">
        <v>400000</v>
      </c>
      <c r="G86" s="55">
        <v>20226</v>
      </c>
      <c r="H86" s="55">
        <v>13032935225</v>
      </c>
    </row>
    <row r="87" spans="1:8" x14ac:dyDescent="0.3">
      <c r="A87" s="51" t="s">
        <v>56</v>
      </c>
      <c r="B87" s="51" t="s">
        <v>180</v>
      </c>
      <c r="C87" s="51" t="s">
        <v>73</v>
      </c>
      <c r="D87" s="52" t="s">
        <v>59</v>
      </c>
      <c r="E87">
        <v>44170</v>
      </c>
      <c r="G87" s="2"/>
      <c r="H87" s="2"/>
    </row>
    <row r="88" spans="1:8" x14ac:dyDescent="0.3">
      <c r="A88" s="53">
        <v>25010</v>
      </c>
      <c r="B88" s="53">
        <v>8</v>
      </c>
      <c r="C88" s="53">
        <v>222340</v>
      </c>
      <c r="D88" s="54">
        <v>3.6853217336625366</v>
      </c>
      <c r="F88" s="53">
        <v>25010</v>
      </c>
      <c r="G88" s="2">
        <v>9476.130950681405</v>
      </c>
      <c r="H88" s="2">
        <v>261375065.18205902</v>
      </c>
    </row>
    <row r="89" spans="1:8" x14ac:dyDescent="0.3">
      <c r="A89" s="53">
        <v>30010</v>
      </c>
      <c r="B89" s="53">
        <v>7</v>
      </c>
      <c r="C89" s="53">
        <v>224567</v>
      </c>
      <c r="D89" s="54">
        <v>3.0715612429565269</v>
      </c>
      <c r="F89" s="53">
        <v>30010</v>
      </c>
      <c r="G89" s="2">
        <v>5577.6295045115894</v>
      </c>
      <c r="H89" s="2">
        <v>182378094.12309441</v>
      </c>
    </row>
    <row r="90" spans="1:8" x14ac:dyDescent="0.3">
      <c r="A90" s="53">
        <v>35010</v>
      </c>
      <c r="B90" s="53">
        <v>7</v>
      </c>
      <c r="C90" s="53">
        <v>261745</v>
      </c>
      <c r="D90" s="54">
        <v>2.6330707619071161</v>
      </c>
      <c r="F90" s="53">
        <v>35010</v>
      </c>
      <c r="G90" s="2">
        <v>6723.1122612135405</v>
      </c>
      <c r="H90" s="2">
        <v>252336845.28735161</v>
      </c>
    </row>
    <row r="91" spans="1:8" x14ac:dyDescent="0.3">
      <c r="A91" s="53">
        <v>40010</v>
      </c>
      <c r="B91" s="53">
        <v>4797</v>
      </c>
      <c r="C91" s="53">
        <v>233530180</v>
      </c>
      <c r="D91" s="54">
        <v>2.3041617181091252</v>
      </c>
      <c r="F91" s="53">
        <v>40010</v>
      </c>
      <c r="G91" s="2">
        <v>13418.261351346224</v>
      </c>
      <c r="H91" s="2">
        <v>612910963.56454086</v>
      </c>
    </row>
    <row r="92" spans="1:8" x14ac:dyDescent="0.3">
      <c r="A92" s="53">
        <v>50010</v>
      </c>
      <c r="B92" s="53">
        <v>14676</v>
      </c>
      <c r="C92" s="53">
        <v>797647445</v>
      </c>
      <c r="D92" s="54">
        <v>1.910240136870794</v>
      </c>
      <c r="F92" s="53">
        <v>50010</v>
      </c>
      <c r="G92" s="55">
        <v>14676</v>
      </c>
      <c r="H92" s="55">
        <v>797647445</v>
      </c>
    </row>
    <row r="93" spans="1:8" x14ac:dyDescent="0.3">
      <c r="A93" s="53">
        <v>60010</v>
      </c>
      <c r="B93" s="53">
        <v>11654</v>
      </c>
      <c r="C93" s="53">
        <v>754822184</v>
      </c>
      <c r="D93" s="54">
        <v>1.8027006361225271</v>
      </c>
      <c r="F93" s="53">
        <v>60010</v>
      </c>
      <c r="G93" s="55">
        <v>11654</v>
      </c>
      <c r="H93" s="55">
        <v>754822184</v>
      </c>
    </row>
    <row r="94" spans="1:8" x14ac:dyDescent="0.3">
      <c r="A94" s="53">
        <v>70010</v>
      </c>
      <c r="B94" s="53">
        <v>8530</v>
      </c>
      <c r="C94" s="53">
        <v>637312274</v>
      </c>
      <c r="D94" s="54">
        <v>1.7452372432966705</v>
      </c>
      <c r="F94" s="53">
        <v>70010</v>
      </c>
      <c r="G94" s="55">
        <v>8530</v>
      </c>
      <c r="H94" s="55">
        <v>637312274</v>
      </c>
    </row>
    <row r="95" spans="1:8" x14ac:dyDescent="0.3">
      <c r="A95" s="53">
        <v>80010</v>
      </c>
      <c r="B95" s="53">
        <v>6365</v>
      </c>
      <c r="C95" s="53">
        <v>539621287</v>
      </c>
      <c r="D95" s="54">
        <v>1.7105001750125486</v>
      </c>
      <c r="F95" s="53">
        <v>80010</v>
      </c>
      <c r="G95" s="55">
        <v>6365</v>
      </c>
      <c r="H95" s="55">
        <v>539621287</v>
      </c>
    </row>
    <row r="96" spans="1:8" x14ac:dyDescent="0.3">
      <c r="A96" s="53">
        <v>90010</v>
      </c>
      <c r="B96" s="53">
        <v>4457</v>
      </c>
      <c r="C96" s="53">
        <v>422468088</v>
      </c>
      <c r="D96" s="54">
        <v>1.6939214317328586</v>
      </c>
      <c r="F96" s="53">
        <v>90010</v>
      </c>
      <c r="G96" s="55">
        <v>4457</v>
      </c>
      <c r="H96" s="55">
        <v>422468088</v>
      </c>
    </row>
    <row r="97" spans="1:8" x14ac:dyDescent="0.3">
      <c r="A97" s="53">
        <v>100010</v>
      </c>
      <c r="B97" s="53">
        <v>10568</v>
      </c>
      <c r="C97" s="53">
        <v>1262713637</v>
      </c>
      <c r="D97" s="54">
        <v>1.677797929638299</v>
      </c>
      <c r="F97" s="53">
        <v>100010</v>
      </c>
      <c r="G97" s="55">
        <v>10568</v>
      </c>
      <c r="H97" s="55">
        <v>1262713637</v>
      </c>
    </row>
    <row r="98" spans="1:8" x14ac:dyDescent="0.3">
      <c r="A98" s="53">
        <v>150010</v>
      </c>
      <c r="B98" s="53">
        <v>3231</v>
      </c>
      <c r="C98" s="53">
        <v>551622060</v>
      </c>
      <c r="D98" s="54">
        <v>1.6669917182231895</v>
      </c>
      <c r="F98" s="53">
        <v>150010</v>
      </c>
      <c r="G98" s="55">
        <v>3231</v>
      </c>
      <c r="H98" s="55">
        <v>551622060</v>
      </c>
    </row>
    <row r="99" spans="1:8" x14ac:dyDescent="0.3">
      <c r="A99" s="53">
        <v>200010</v>
      </c>
      <c r="B99" s="53">
        <v>2477</v>
      </c>
      <c r="C99" s="53">
        <v>645499018</v>
      </c>
      <c r="D99" s="54">
        <v>1.6810654996661931</v>
      </c>
      <c r="F99" s="53">
        <v>200010</v>
      </c>
      <c r="G99" s="55">
        <v>2477</v>
      </c>
      <c r="H99" s="55">
        <v>645499018</v>
      </c>
    </row>
    <row r="100" spans="1:8" x14ac:dyDescent="0.3">
      <c r="A100" s="53">
        <v>400000</v>
      </c>
      <c r="B100" s="53">
        <v>498</v>
      </c>
      <c r="C100" s="53">
        <v>354784966</v>
      </c>
      <c r="D100" s="54">
        <v>1.7810490261044176</v>
      </c>
      <c r="F100" s="53">
        <v>400000</v>
      </c>
      <c r="G100" s="55">
        <v>498</v>
      </c>
      <c r="H100" s="55">
        <v>354784966</v>
      </c>
    </row>
    <row r="101" spans="1:8" x14ac:dyDescent="0.3">
      <c r="A101" s="51" t="s">
        <v>56</v>
      </c>
      <c r="B101" s="51" t="s">
        <v>181</v>
      </c>
      <c r="C101" s="51" t="s">
        <v>75</v>
      </c>
      <c r="D101" s="52" t="s">
        <v>59</v>
      </c>
      <c r="E101">
        <v>50480</v>
      </c>
      <c r="G101" s="2"/>
      <c r="H101" s="2"/>
    </row>
    <row r="102" spans="1:8" x14ac:dyDescent="0.3">
      <c r="A102" s="53">
        <v>25010</v>
      </c>
      <c r="B102" s="53">
        <v>111</v>
      </c>
      <c r="C102" s="53">
        <v>3051205</v>
      </c>
      <c r="D102" s="54">
        <v>4.6212779897158898</v>
      </c>
      <c r="F102" s="53">
        <v>25010</v>
      </c>
      <c r="G102" s="2">
        <v>84121.600094623718</v>
      </c>
      <c r="H102" s="2">
        <v>2320281222.6196942</v>
      </c>
    </row>
    <row r="103" spans="1:8" x14ac:dyDescent="0.3">
      <c r="A103" s="53">
        <v>30010</v>
      </c>
      <c r="B103" s="53">
        <v>112</v>
      </c>
      <c r="C103" s="53">
        <v>3662477</v>
      </c>
      <c r="D103" s="54">
        <v>3.8518729126747537</v>
      </c>
      <c r="F103" s="53">
        <v>30010</v>
      </c>
      <c r="G103" s="2">
        <v>49513.785858009825</v>
      </c>
      <c r="H103" s="2">
        <v>1619008557.3626852</v>
      </c>
    </row>
    <row r="104" spans="1:8" x14ac:dyDescent="0.3">
      <c r="A104" s="53">
        <v>35010</v>
      </c>
      <c r="B104" s="53">
        <v>132</v>
      </c>
      <c r="C104" s="53">
        <v>4963512</v>
      </c>
      <c r="D104" s="54">
        <v>3.3022112862499564</v>
      </c>
      <c r="F104" s="53">
        <v>35010</v>
      </c>
      <c r="G104" s="2">
        <v>59682.476315758264</v>
      </c>
      <c r="H104" s="2">
        <v>2240047050.7296171</v>
      </c>
    </row>
    <row r="105" spans="1:8" x14ac:dyDescent="0.3">
      <c r="A105" s="53">
        <v>40010</v>
      </c>
      <c r="B105" s="53">
        <v>247</v>
      </c>
      <c r="C105" s="53">
        <v>11115804</v>
      </c>
      <c r="D105" s="54">
        <v>2.8899736610298246</v>
      </c>
      <c r="F105" s="53">
        <v>40010</v>
      </c>
      <c r="G105" s="2">
        <v>119116.71770237888</v>
      </c>
      <c r="H105" s="2">
        <v>5440939054.0217581</v>
      </c>
    </row>
    <row r="106" spans="1:8" x14ac:dyDescent="0.3">
      <c r="A106" s="53">
        <v>50010</v>
      </c>
      <c r="B106" s="53">
        <v>74288</v>
      </c>
      <c r="C106" s="53">
        <v>4230895668</v>
      </c>
      <c r="D106" s="54">
        <v>2.3126851651168296</v>
      </c>
      <c r="F106" s="53">
        <v>50010</v>
      </c>
      <c r="G106" s="2">
        <v>130281.92723528402</v>
      </c>
      <c r="H106" s="2">
        <v>7080883509.7370005</v>
      </c>
    </row>
    <row r="107" spans="1:8" x14ac:dyDescent="0.3">
      <c r="A107" s="53">
        <v>60010</v>
      </c>
      <c r="B107" s="53">
        <v>103455</v>
      </c>
      <c r="C107" s="53">
        <v>6702022063</v>
      </c>
      <c r="D107" s="54">
        <v>2.068067491762752</v>
      </c>
      <c r="F107" s="53">
        <v>60010</v>
      </c>
      <c r="G107" s="55">
        <v>103455</v>
      </c>
      <c r="H107" s="55">
        <v>6702022063</v>
      </c>
    </row>
    <row r="108" spans="1:8" x14ac:dyDescent="0.3">
      <c r="A108" s="53">
        <v>70010</v>
      </c>
      <c r="B108" s="53">
        <v>78516</v>
      </c>
      <c r="C108" s="53">
        <v>5870929405</v>
      </c>
      <c r="D108" s="54">
        <v>1.9850269041506654</v>
      </c>
      <c r="F108" s="53">
        <v>70010</v>
      </c>
      <c r="G108" s="55">
        <v>78516</v>
      </c>
      <c r="H108" s="55">
        <v>5870929405</v>
      </c>
    </row>
    <row r="109" spans="1:8" x14ac:dyDescent="0.3">
      <c r="A109" s="53">
        <v>80010</v>
      </c>
      <c r="B109" s="53">
        <v>60225</v>
      </c>
      <c r="C109" s="53">
        <v>5106709733</v>
      </c>
      <c r="D109" s="54">
        <v>1.9253849365277664</v>
      </c>
      <c r="F109" s="53">
        <v>80010</v>
      </c>
      <c r="G109" s="55">
        <v>60225</v>
      </c>
      <c r="H109" s="55">
        <v>5106709733</v>
      </c>
    </row>
    <row r="110" spans="1:8" x14ac:dyDescent="0.3">
      <c r="A110" s="53">
        <v>90010</v>
      </c>
      <c r="B110" s="53">
        <v>46809</v>
      </c>
      <c r="C110" s="53">
        <v>4438527368</v>
      </c>
      <c r="D110" s="54">
        <v>1.8805547537349827</v>
      </c>
      <c r="F110" s="53">
        <v>90010</v>
      </c>
      <c r="G110" s="55">
        <v>46809</v>
      </c>
      <c r="H110" s="55">
        <v>4438527368</v>
      </c>
    </row>
    <row r="111" spans="1:8" x14ac:dyDescent="0.3">
      <c r="A111" s="53">
        <v>100010</v>
      </c>
      <c r="B111" s="53">
        <v>124000</v>
      </c>
      <c r="C111" s="53">
        <v>14975832731</v>
      </c>
      <c r="D111" s="54">
        <v>1.8458420133371574</v>
      </c>
      <c r="F111" s="53">
        <v>100010</v>
      </c>
      <c r="G111" s="55">
        <v>124000</v>
      </c>
      <c r="H111" s="55">
        <v>14975832731</v>
      </c>
    </row>
    <row r="112" spans="1:8" x14ac:dyDescent="0.3">
      <c r="A112" s="53">
        <v>150010</v>
      </c>
      <c r="B112" s="53">
        <v>47431</v>
      </c>
      <c r="C112" s="53">
        <v>8132303669</v>
      </c>
      <c r="D112" s="54">
        <v>1.7415744093125498</v>
      </c>
      <c r="F112" s="53">
        <v>150010</v>
      </c>
      <c r="G112" s="55">
        <v>47431</v>
      </c>
      <c r="H112" s="55">
        <v>8132303669</v>
      </c>
    </row>
    <row r="113" spans="1:8" x14ac:dyDescent="0.3">
      <c r="A113" s="53">
        <v>200010</v>
      </c>
      <c r="B113" s="53">
        <v>45393</v>
      </c>
      <c r="C113" s="53">
        <v>12061172489</v>
      </c>
      <c r="D113" s="54">
        <v>1.6876421577108434</v>
      </c>
      <c r="F113" s="53">
        <v>200010</v>
      </c>
      <c r="G113" s="55">
        <v>45393</v>
      </c>
      <c r="H113" s="55">
        <v>12061172489</v>
      </c>
    </row>
    <row r="114" spans="1:8" x14ac:dyDescent="0.3">
      <c r="A114" s="53">
        <v>400000</v>
      </c>
      <c r="B114" s="53">
        <v>10435</v>
      </c>
      <c r="C114" s="53">
        <v>6783306964</v>
      </c>
      <c r="D114" s="54">
        <v>1.6251334365117394</v>
      </c>
      <c r="F114" s="53">
        <v>400000</v>
      </c>
      <c r="G114" s="55">
        <v>10435</v>
      </c>
      <c r="H114" s="55">
        <v>6783306964</v>
      </c>
    </row>
    <row r="115" spans="1:8" x14ac:dyDescent="0.3">
      <c r="A115" s="51" t="s">
        <v>56</v>
      </c>
      <c r="B115" s="51" t="s">
        <v>182</v>
      </c>
      <c r="C115" s="51" t="s">
        <v>77</v>
      </c>
      <c r="D115" s="52" t="s">
        <v>59</v>
      </c>
      <c r="E115">
        <v>56790</v>
      </c>
      <c r="G115" s="2"/>
      <c r="H115" s="2"/>
    </row>
    <row r="116" spans="1:8" x14ac:dyDescent="0.3">
      <c r="A116" s="53">
        <v>25010</v>
      </c>
      <c r="B116" s="53">
        <v>32</v>
      </c>
      <c r="C116" s="53">
        <v>884371</v>
      </c>
      <c r="D116" s="54">
        <v>5.1834986491147088</v>
      </c>
      <c r="F116" s="53">
        <v>25010</v>
      </c>
      <c r="G116" s="2">
        <v>19554.785758789869</v>
      </c>
      <c r="H116" s="2">
        <v>539369224.52062273</v>
      </c>
    </row>
    <row r="117" spans="1:8" x14ac:dyDescent="0.3">
      <c r="A117" s="53">
        <v>30010</v>
      </c>
      <c r="B117" s="53">
        <v>39</v>
      </c>
      <c r="C117" s="53">
        <v>1256585</v>
      </c>
      <c r="D117" s="54">
        <v>4.3208064275863247</v>
      </c>
      <c r="F117" s="53">
        <v>30010</v>
      </c>
      <c r="G117" s="2">
        <v>11509.90320525135</v>
      </c>
      <c r="H117" s="2">
        <v>376352392.78928256</v>
      </c>
    </row>
    <row r="118" spans="1:8" x14ac:dyDescent="0.3">
      <c r="A118" s="53">
        <v>35010</v>
      </c>
      <c r="B118" s="53">
        <v>33</v>
      </c>
      <c r="C118" s="53">
        <v>1228807</v>
      </c>
      <c r="D118" s="54">
        <v>3.7046594948911715</v>
      </c>
      <c r="F118" s="53">
        <v>35010</v>
      </c>
      <c r="G118" s="2">
        <v>13873.702314220391</v>
      </c>
      <c r="H118" s="2">
        <v>520718104.71216053</v>
      </c>
    </row>
    <row r="119" spans="1:8" x14ac:dyDescent="0.3">
      <c r="A119" s="53">
        <v>40010</v>
      </c>
      <c r="B119" s="53">
        <v>70</v>
      </c>
      <c r="C119" s="53">
        <v>3146344</v>
      </c>
      <c r="D119" s="54">
        <v>3.2423497384791187</v>
      </c>
      <c r="F119" s="53">
        <v>40010</v>
      </c>
      <c r="G119" s="2">
        <v>27689.700295051083</v>
      </c>
      <c r="H119" s="2">
        <v>1264792840.4636729</v>
      </c>
    </row>
    <row r="120" spans="1:8" x14ac:dyDescent="0.3">
      <c r="A120" s="53">
        <v>50010</v>
      </c>
      <c r="B120" s="53">
        <v>554</v>
      </c>
      <c r="C120" s="53">
        <v>32064370</v>
      </c>
      <c r="D120" s="54">
        <v>2.5950322772136114</v>
      </c>
      <c r="F120" s="53">
        <v>50010</v>
      </c>
      <c r="G120" s="2">
        <v>30285.148790114981</v>
      </c>
      <c r="H120" s="2">
        <v>1646011961.9705682</v>
      </c>
    </row>
    <row r="121" spans="1:8" x14ac:dyDescent="0.3">
      <c r="A121" s="53">
        <v>60010</v>
      </c>
      <c r="B121" s="53">
        <v>24049</v>
      </c>
      <c r="C121" s="53">
        <v>1566776107</v>
      </c>
      <c r="D121" s="54">
        <v>2.168347575235245</v>
      </c>
      <c r="F121" s="53">
        <v>60010</v>
      </c>
      <c r="G121" s="55">
        <v>24049</v>
      </c>
      <c r="H121" s="55">
        <v>1566776107</v>
      </c>
    </row>
    <row r="122" spans="1:8" x14ac:dyDescent="0.3">
      <c r="A122" s="53">
        <v>70010</v>
      </c>
      <c r="B122" s="53">
        <v>18197</v>
      </c>
      <c r="C122" s="53">
        <v>1359255838</v>
      </c>
      <c r="D122" s="54">
        <v>2.1027735798835177</v>
      </c>
      <c r="F122" s="53">
        <v>70010</v>
      </c>
      <c r="G122" s="55">
        <v>18197</v>
      </c>
      <c r="H122" s="55">
        <v>1359255838</v>
      </c>
    </row>
    <row r="123" spans="1:8" x14ac:dyDescent="0.3">
      <c r="A123" s="53">
        <v>80010</v>
      </c>
      <c r="B123" s="53">
        <v>12534</v>
      </c>
      <c r="C123" s="53">
        <v>1062304356</v>
      </c>
      <c r="D123" s="54">
        <v>2.0652178348778119</v>
      </c>
      <c r="F123" s="53">
        <v>80010</v>
      </c>
      <c r="G123" s="55">
        <v>12534</v>
      </c>
      <c r="H123" s="55">
        <v>1062304356</v>
      </c>
    </row>
    <row r="124" spans="1:8" x14ac:dyDescent="0.3">
      <c r="A124" s="53">
        <v>90010</v>
      </c>
      <c r="B124" s="53">
        <v>9286</v>
      </c>
      <c r="C124" s="53">
        <v>880344184</v>
      </c>
      <c r="D124" s="54">
        <v>2.0204583656661992</v>
      </c>
      <c r="F124" s="53">
        <v>90010</v>
      </c>
      <c r="G124" s="55">
        <v>9286</v>
      </c>
      <c r="H124" s="55">
        <v>880344184</v>
      </c>
    </row>
    <row r="125" spans="1:8" x14ac:dyDescent="0.3">
      <c r="A125" s="53">
        <v>100010</v>
      </c>
      <c r="B125" s="53">
        <v>25189</v>
      </c>
      <c r="C125" s="53">
        <v>3054261863</v>
      </c>
      <c r="D125" s="54">
        <v>1.9757004754397223</v>
      </c>
      <c r="F125" s="53">
        <v>100010</v>
      </c>
      <c r="G125" s="55">
        <v>25189</v>
      </c>
      <c r="H125" s="55">
        <v>3054261863</v>
      </c>
    </row>
    <row r="126" spans="1:8" x14ac:dyDescent="0.3">
      <c r="A126" s="53">
        <v>150010</v>
      </c>
      <c r="B126" s="53">
        <v>11183</v>
      </c>
      <c r="C126" s="53">
        <v>1924998827</v>
      </c>
      <c r="D126" s="54">
        <v>1.8062274167096735</v>
      </c>
      <c r="F126" s="53">
        <v>150010</v>
      </c>
      <c r="G126" s="55">
        <v>11183</v>
      </c>
      <c r="H126" s="55">
        <v>1924998827</v>
      </c>
    </row>
    <row r="127" spans="1:8" x14ac:dyDescent="0.3">
      <c r="A127" s="53">
        <v>200010</v>
      </c>
      <c r="B127" s="53">
        <v>12065</v>
      </c>
      <c r="C127" s="53">
        <v>3219213121</v>
      </c>
      <c r="D127" s="54">
        <v>1.722366025839255</v>
      </c>
      <c r="F127" s="53">
        <v>200010</v>
      </c>
      <c r="G127" s="55">
        <v>12065</v>
      </c>
      <c r="H127" s="55">
        <v>3219213121</v>
      </c>
    </row>
    <row r="128" spans="1:8" x14ac:dyDescent="0.3">
      <c r="A128" s="53">
        <v>400000</v>
      </c>
      <c r="B128" s="53">
        <v>2962</v>
      </c>
      <c r="C128" s="53">
        <v>1957444553</v>
      </c>
      <c r="D128" s="54">
        <v>1.6521307840985819</v>
      </c>
      <c r="F128" s="53">
        <v>400000</v>
      </c>
      <c r="G128" s="55">
        <v>2962</v>
      </c>
      <c r="H128" s="55">
        <v>1957444553</v>
      </c>
    </row>
    <row r="129" spans="1:8" x14ac:dyDescent="0.3">
      <c r="A129" s="51" t="s">
        <v>56</v>
      </c>
      <c r="B129" s="51" t="s">
        <v>183</v>
      </c>
      <c r="C129" s="51" t="s">
        <v>79</v>
      </c>
      <c r="D129" s="52" t="s">
        <v>59</v>
      </c>
      <c r="E129">
        <v>63100</v>
      </c>
      <c r="G129" s="2"/>
      <c r="H129" s="2"/>
    </row>
    <row r="130" spans="1:8" x14ac:dyDescent="0.3">
      <c r="A130" s="53">
        <v>25010</v>
      </c>
      <c r="B130" s="53">
        <v>5</v>
      </c>
      <c r="C130" s="53">
        <v>138685</v>
      </c>
      <c r="D130" s="54">
        <v>7.6315445424195367</v>
      </c>
      <c r="F130" s="53">
        <v>25010</v>
      </c>
      <c r="G130" s="2">
        <v>5241.9764209142713</v>
      </c>
      <c r="H130" s="2">
        <v>144586639.4027366</v>
      </c>
    </row>
    <row r="131" spans="1:8" x14ac:dyDescent="0.3">
      <c r="A131" s="53">
        <v>30010</v>
      </c>
      <c r="B131" s="53">
        <v>11</v>
      </c>
      <c r="C131" s="53">
        <v>355410</v>
      </c>
      <c r="D131" s="54">
        <v>6.3612006387591702</v>
      </c>
      <c r="F131" s="53">
        <v>30010</v>
      </c>
      <c r="G131" s="2">
        <v>3085.4156089034509</v>
      </c>
      <c r="H131" s="2">
        <v>100887342.53042375</v>
      </c>
    </row>
    <row r="132" spans="1:8" x14ac:dyDescent="0.3">
      <c r="A132" s="53">
        <v>35010</v>
      </c>
      <c r="B132" s="53">
        <v>6</v>
      </c>
      <c r="C132" s="53">
        <v>224373</v>
      </c>
      <c r="D132" s="54">
        <v>5.4548382385666416</v>
      </c>
      <c r="F132" s="53">
        <v>35010</v>
      </c>
      <c r="G132" s="2">
        <v>3719.0701702899969</v>
      </c>
      <c r="H132" s="2">
        <v>139586905.24734402</v>
      </c>
    </row>
    <row r="133" spans="1:8" x14ac:dyDescent="0.3">
      <c r="A133" s="53">
        <v>40010</v>
      </c>
      <c r="B133" s="53">
        <v>16</v>
      </c>
      <c r="C133" s="53">
        <v>729333</v>
      </c>
      <c r="D133" s="54">
        <v>4.7741344648510244</v>
      </c>
      <c r="F133" s="53">
        <v>40010</v>
      </c>
      <c r="G133" s="2">
        <v>7422.671761238621</v>
      </c>
      <c r="H133" s="2">
        <v>339048165.949431</v>
      </c>
    </row>
    <row r="134" spans="1:8" x14ac:dyDescent="0.3">
      <c r="A134" s="53">
        <v>50010</v>
      </c>
      <c r="B134" s="53">
        <v>16</v>
      </c>
      <c r="C134" s="53">
        <v>903936</v>
      </c>
      <c r="D134" s="54">
        <v>3.8214808702014866</v>
      </c>
      <c r="F134" s="53">
        <v>50010</v>
      </c>
      <c r="G134" s="2">
        <v>8118.4236851228707</v>
      </c>
      <c r="H134" s="2">
        <v>441240113.7820757</v>
      </c>
    </row>
    <row r="135" spans="1:8" x14ac:dyDescent="0.3">
      <c r="A135" s="53">
        <v>60010</v>
      </c>
      <c r="B135" s="53">
        <v>1974</v>
      </c>
      <c r="C135" s="53">
        <v>1346411958</v>
      </c>
      <c r="D135" s="54">
        <v>3.1862037624582644</v>
      </c>
      <c r="F135" s="53">
        <v>60010</v>
      </c>
      <c r="G135" s="2">
        <v>6446.72319613123</v>
      </c>
      <c r="H135" s="2">
        <v>419999662.02923554</v>
      </c>
    </row>
    <row r="136" spans="1:8" x14ac:dyDescent="0.3">
      <c r="A136" s="53">
        <v>70010</v>
      </c>
      <c r="B136" s="53">
        <v>4878</v>
      </c>
      <c r="C136" s="53">
        <v>364006883</v>
      </c>
      <c r="D136" s="54">
        <v>2.0867821126539603</v>
      </c>
      <c r="F136" s="53">
        <v>70010</v>
      </c>
      <c r="G136" s="55">
        <v>4878</v>
      </c>
      <c r="H136" s="55">
        <v>364006883</v>
      </c>
    </row>
    <row r="137" spans="1:8" x14ac:dyDescent="0.3">
      <c r="A137" s="53">
        <v>80010</v>
      </c>
      <c r="B137" s="53">
        <v>2999</v>
      </c>
      <c r="C137" s="53">
        <v>253864971</v>
      </c>
      <c r="D137" s="54">
        <v>2.0884224968475942</v>
      </c>
      <c r="F137" s="53">
        <v>80010</v>
      </c>
      <c r="G137" s="55">
        <v>2999</v>
      </c>
      <c r="H137" s="55">
        <v>253864971</v>
      </c>
    </row>
    <row r="138" spans="1:8" x14ac:dyDescent="0.3">
      <c r="A138" s="53">
        <v>90010</v>
      </c>
      <c r="B138" s="53">
        <v>2120</v>
      </c>
      <c r="C138" s="53">
        <v>200894994</v>
      </c>
      <c r="D138" s="54">
        <v>2.058322758642813</v>
      </c>
      <c r="F138" s="53">
        <v>90010</v>
      </c>
      <c r="G138" s="55">
        <v>2120</v>
      </c>
      <c r="H138" s="55">
        <v>200894994</v>
      </c>
    </row>
    <row r="139" spans="1:8" x14ac:dyDescent="0.3">
      <c r="A139" s="53">
        <v>100010</v>
      </c>
      <c r="B139" s="53">
        <v>5410</v>
      </c>
      <c r="C139" s="53">
        <v>655074740</v>
      </c>
      <c r="D139" s="54">
        <v>2.0195760578940365</v>
      </c>
      <c r="F139" s="53">
        <v>100010</v>
      </c>
      <c r="G139" s="55">
        <v>5410</v>
      </c>
      <c r="H139" s="55">
        <v>655074740</v>
      </c>
    </row>
    <row r="140" spans="1:8" x14ac:dyDescent="0.3">
      <c r="A140" s="53">
        <v>150010</v>
      </c>
      <c r="B140" s="53">
        <v>2527</v>
      </c>
      <c r="C140" s="53">
        <v>435722667</v>
      </c>
      <c r="D140" s="54">
        <v>1.8267230576681783</v>
      </c>
      <c r="F140" s="53">
        <v>150010</v>
      </c>
      <c r="G140" s="55">
        <v>2527</v>
      </c>
      <c r="H140" s="55">
        <v>435722667</v>
      </c>
    </row>
    <row r="141" spans="1:8" x14ac:dyDescent="0.3">
      <c r="A141" s="53">
        <v>200010</v>
      </c>
      <c r="B141" s="53">
        <v>2816</v>
      </c>
      <c r="C141" s="53">
        <v>751054254</v>
      </c>
      <c r="D141" s="54">
        <v>1.7319625504487393</v>
      </c>
      <c r="F141" s="53">
        <v>200010</v>
      </c>
      <c r="G141" s="55">
        <v>2816</v>
      </c>
      <c r="H141" s="55">
        <v>751054254</v>
      </c>
    </row>
    <row r="142" spans="1:8" x14ac:dyDescent="0.3">
      <c r="A142" s="53">
        <v>400000</v>
      </c>
      <c r="B142" s="53">
        <v>731</v>
      </c>
      <c r="C142" s="53">
        <v>477661412</v>
      </c>
      <c r="D142" s="54">
        <v>1.6335889603283176</v>
      </c>
      <c r="F142" s="53">
        <v>400000</v>
      </c>
      <c r="G142" s="55">
        <v>731</v>
      </c>
      <c r="H142" s="55">
        <v>477661412</v>
      </c>
    </row>
    <row r="143" spans="1:8" x14ac:dyDescent="0.3">
      <c r="A143" s="51" t="s">
        <v>56</v>
      </c>
      <c r="B143" s="51" t="s">
        <v>184</v>
      </c>
      <c r="C143" s="51" t="s">
        <v>81</v>
      </c>
      <c r="D143" s="52" t="s">
        <v>59</v>
      </c>
      <c r="E143">
        <v>69410</v>
      </c>
      <c r="G143" s="2"/>
      <c r="H143" s="2"/>
    </row>
    <row r="144" spans="1:8" x14ac:dyDescent="0.3">
      <c r="A144" s="53">
        <v>25010</v>
      </c>
      <c r="B144" s="53">
        <v>0</v>
      </c>
      <c r="C144" s="53">
        <v>0</v>
      </c>
      <c r="D144" s="54">
        <v>5.7724832498789533</v>
      </c>
      <c r="F144" s="53">
        <v>25010</v>
      </c>
      <c r="G144" s="2">
        <v>1021.9597327366693</v>
      </c>
      <c r="H144" s="2">
        <v>28188170.166462183</v>
      </c>
    </row>
    <row r="145" spans="1:8" x14ac:dyDescent="0.3">
      <c r="A145" s="53">
        <v>30010</v>
      </c>
      <c r="B145" s="53">
        <v>3</v>
      </c>
      <c r="C145" s="53">
        <v>96813</v>
      </c>
      <c r="D145" s="54">
        <v>4.8107232948841263</v>
      </c>
      <c r="F145" s="53">
        <v>30010</v>
      </c>
      <c r="G145" s="2">
        <v>601.52321526592493</v>
      </c>
      <c r="H145" s="2">
        <v>19668688.549904261</v>
      </c>
    </row>
    <row r="146" spans="1:8" x14ac:dyDescent="0.3">
      <c r="A146" s="53">
        <v>35010</v>
      </c>
      <c r="B146" s="53">
        <v>6</v>
      </c>
      <c r="C146" s="53">
        <v>220548</v>
      </c>
      <c r="D146" s="54">
        <v>4.1254333447523601</v>
      </c>
      <c r="F146" s="53">
        <v>35010</v>
      </c>
      <c r="G146" s="2">
        <v>725.05857563464281</v>
      </c>
      <c r="H146" s="2">
        <v>27213437.246868424</v>
      </c>
    </row>
    <row r="147" spans="1:8" x14ac:dyDescent="0.3">
      <c r="A147" s="53">
        <v>40010</v>
      </c>
      <c r="B147" s="53">
        <v>8</v>
      </c>
      <c r="C147" s="53">
        <v>362833</v>
      </c>
      <c r="D147" s="54">
        <v>3.6128447253557114</v>
      </c>
      <c r="F147" s="53">
        <v>40010</v>
      </c>
      <c r="G147" s="2">
        <v>1447.1014442267178</v>
      </c>
      <c r="H147" s="2">
        <v>66099796.190633237</v>
      </c>
    </row>
    <row r="148" spans="1:8" x14ac:dyDescent="0.3">
      <c r="A148" s="53">
        <v>50010</v>
      </c>
      <c r="B148" s="53">
        <v>10</v>
      </c>
      <c r="C148" s="53">
        <v>553123</v>
      </c>
      <c r="D148" s="54">
        <v>2.8933350618634535</v>
      </c>
      <c r="F148" s="53">
        <v>50010</v>
      </c>
      <c r="G148" s="2">
        <v>1582.7431169642989</v>
      </c>
      <c r="H148" s="2">
        <v>86022826.610650674</v>
      </c>
    </row>
    <row r="149" spans="1:8" x14ac:dyDescent="0.3">
      <c r="A149" s="53">
        <v>60010</v>
      </c>
      <c r="B149" s="53">
        <v>12</v>
      </c>
      <c r="C149" s="53">
        <v>819119</v>
      </c>
      <c r="D149" s="54">
        <v>2.413933937031842</v>
      </c>
      <c r="F149" s="53">
        <v>60010</v>
      </c>
      <c r="G149" s="2">
        <v>1256.8334890366543</v>
      </c>
      <c r="H149" s="2">
        <v>81881852.929438919</v>
      </c>
    </row>
    <row r="150" spans="1:8" x14ac:dyDescent="0.3">
      <c r="A150" s="53">
        <v>70010</v>
      </c>
      <c r="B150" s="53">
        <v>951</v>
      </c>
      <c r="C150" s="53">
        <v>72723334</v>
      </c>
      <c r="D150" s="54">
        <v>2.0715570300306472</v>
      </c>
      <c r="F150" s="53">
        <v>70010</v>
      </c>
      <c r="G150" s="55">
        <v>951</v>
      </c>
      <c r="H150" s="55">
        <v>72723334</v>
      </c>
    </row>
    <row r="151" spans="1:8" x14ac:dyDescent="0.3">
      <c r="A151" s="53">
        <v>80010</v>
      </c>
      <c r="B151" s="53">
        <v>1004</v>
      </c>
      <c r="C151" s="53">
        <v>85014918</v>
      </c>
      <c r="D151" s="54">
        <v>1.9949075952846536</v>
      </c>
      <c r="F151" s="53">
        <v>80010</v>
      </c>
      <c r="G151" s="55">
        <v>1004</v>
      </c>
      <c r="H151" s="55">
        <v>85014918</v>
      </c>
    </row>
    <row r="152" spans="1:8" x14ac:dyDescent="0.3">
      <c r="A152" s="53">
        <v>90010</v>
      </c>
      <c r="B152" s="53">
        <v>587</v>
      </c>
      <c r="C152" s="53">
        <v>55777891</v>
      </c>
      <c r="D152" s="54">
        <v>2.0143671598582436</v>
      </c>
      <c r="F152" s="53">
        <v>90010</v>
      </c>
      <c r="G152" s="55">
        <v>587</v>
      </c>
      <c r="H152" s="55">
        <v>55777891</v>
      </c>
    </row>
    <row r="153" spans="1:8" x14ac:dyDescent="0.3">
      <c r="A153" s="53">
        <v>100010</v>
      </c>
      <c r="B153" s="53">
        <v>1380</v>
      </c>
      <c r="C153" s="53">
        <v>166268009</v>
      </c>
      <c r="D153" s="54">
        <v>1.9888112994256131</v>
      </c>
      <c r="F153" s="53">
        <v>100010</v>
      </c>
      <c r="G153" s="55">
        <v>1380</v>
      </c>
      <c r="H153" s="55">
        <v>166268009</v>
      </c>
    </row>
    <row r="154" spans="1:8" x14ac:dyDescent="0.3">
      <c r="A154" s="53">
        <v>150010</v>
      </c>
      <c r="B154" s="53">
        <v>604</v>
      </c>
      <c r="C154" s="53">
        <v>104019271</v>
      </c>
      <c r="D154" s="54">
        <v>1.8068436459791568</v>
      </c>
      <c r="F154" s="53">
        <v>150010</v>
      </c>
      <c r="G154" s="55">
        <v>604</v>
      </c>
      <c r="H154" s="55">
        <v>104019271</v>
      </c>
    </row>
    <row r="155" spans="1:8" x14ac:dyDescent="0.3">
      <c r="A155" s="53">
        <v>200010</v>
      </c>
      <c r="B155" s="53">
        <v>726</v>
      </c>
      <c r="C155" s="53">
        <v>193096353</v>
      </c>
      <c r="D155" s="54">
        <v>1.6882395389159113</v>
      </c>
      <c r="F155" s="53">
        <v>200010</v>
      </c>
      <c r="G155" s="55">
        <v>726</v>
      </c>
      <c r="H155" s="55">
        <v>193096353</v>
      </c>
    </row>
    <row r="156" spans="1:8" x14ac:dyDescent="0.3">
      <c r="A156" s="53">
        <v>400000</v>
      </c>
      <c r="B156" s="53">
        <v>170</v>
      </c>
      <c r="C156" s="53">
        <v>109451299</v>
      </c>
      <c r="D156" s="54">
        <v>1.6095779264705881</v>
      </c>
      <c r="F156" s="53">
        <v>400000</v>
      </c>
      <c r="G156" s="55">
        <v>170</v>
      </c>
      <c r="H156" s="55">
        <v>109451299</v>
      </c>
    </row>
    <row r="157" spans="1:8" x14ac:dyDescent="0.3">
      <c r="A157" s="51" t="s">
        <v>56</v>
      </c>
      <c r="B157" s="51" t="s">
        <v>185</v>
      </c>
      <c r="C157" s="51" t="s">
        <v>83</v>
      </c>
      <c r="D157" s="52" t="s">
        <v>59</v>
      </c>
      <c r="E157">
        <v>75720</v>
      </c>
      <c r="G157" s="2"/>
      <c r="H157" s="2"/>
    </row>
    <row r="158" spans="1:8" x14ac:dyDescent="0.3">
      <c r="A158" s="53">
        <v>25010</v>
      </c>
      <c r="B158" s="53">
        <v>1</v>
      </c>
      <c r="C158" s="53">
        <v>28632</v>
      </c>
      <c r="D158" s="54">
        <v>6.4767391862338668</v>
      </c>
      <c r="F158" s="53">
        <v>25010</v>
      </c>
      <c r="G158" s="2">
        <v>383.74384386625923</v>
      </c>
      <c r="H158" s="2">
        <v>10584601.74577315</v>
      </c>
    </row>
    <row r="159" spans="1:8" x14ac:dyDescent="0.3">
      <c r="A159" s="53">
        <v>30010</v>
      </c>
      <c r="B159" s="53">
        <v>0</v>
      </c>
      <c r="C159" s="53">
        <v>0</v>
      </c>
      <c r="D159" s="54">
        <v>5.3997423354156053</v>
      </c>
      <c r="F159" s="53">
        <v>30010</v>
      </c>
      <c r="G159" s="2">
        <v>225.87076907893794</v>
      </c>
      <c r="H159" s="2">
        <v>7385553.3698345674</v>
      </c>
    </row>
    <row r="160" spans="1:8" x14ac:dyDescent="0.3">
      <c r="A160" s="53">
        <v>35010</v>
      </c>
      <c r="B160" s="53">
        <v>2</v>
      </c>
      <c r="C160" s="53">
        <v>75633</v>
      </c>
      <c r="D160" s="54">
        <v>4.6285709079069504</v>
      </c>
      <c r="F160" s="53">
        <v>35010</v>
      </c>
      <c r="G160" s="2">
        <v>272.25805081101629</v>
      </c>
      <c r="H160" s="2">
        <v>10218591.476164738</v>
      </c>
    </row>
    <row r="161" spans="1:8" x14ac:dyDescent="0.3">
      <c r="A161" s="53">
        <v>40010</v>
      </c>
      <c r="B161" s="53">
        <v>3</v>
      </c>
      <c r="C161" s="53">
        <v>128659</v>
      </c>
      <c r="D161" s="54">
        <v>4.0530816799111484</v>
      </c>
      <c r="F161" s="53">
        <v>40010</v>
      </c>
      <c r="G161" s="2">
        <v>543.38370963493287</v>
      </c>
      <c r="H161" s="2">
        <v>24820341.796682</v>
      </c>
    </row>
    <row r="162" spans="1:8" x14ac:dyDescent="0.3">
      <c r="A162" s="53">
        <v>50010</v>
      </c>
      <c r="B162" s="53">
        <v>3</v>
      </c>
      <c r="C162" s="53">
        <v>161094</v>
      </c>
      <c r="D162" s="54">
        <v>3.246016926411023</v>
      </c>
      <c r="F162" s="53">
        <v>50010</v>
      </c>
      <c r="G162" s="2">
        <v>594.31688754535924</v>
      </c>
      <c r="H162" s="2">
        <v>32301400.032086957</v>
      </c>
    </row>
    <row r="163" spans="1:8" x14ac:dyDescent="0.3">
      <c r="A163" s="53">
        <v>60010</v>
      </c>
      <c r="B163" s="53">
        <v>2</v>
      </c>
      <c r="C163" s="53">
        <v>129388</v>
      </c>
      <c r="D163" s="54">
        <v>2.7076805668378485</v>
      </c>
      <c r="F163" s="53">
        <v>60010</v>
      </c>
      <c r="G163" s="2">
        <v>471.93847148089509</v>
      </c>
      <c r="H163" s="2">
        <v>30746472.663743496</v>
      </c>
    </row>
    <row r="164" spans="1:8" x14ac:dyDescent="0.3">
      <c r="A164" s="53">
        <v>70010</v>
      </c>
      <c r="B164" s="53">
        <v>15</v>
      </c>
      <c r="C164" s="53">
        <v>1159053</v>
      </c>
      <c r="D164" s="54">
        <v>2.3222508573934562</v>
      </c>
      <c r="F164" s="53">
        <v>70010</v>
      </c>
      <c r="G164" s="2">
        <v>357.09860557768923</v>
      </c>
      <c r="H164" s="2">
        <v>27307467.049800798</v>
      </c>
    </row>
    <row r="165" spans="1:8" x14ac:dyDescent="0.3">
      <c r="A165" s="53">
        <v>80010</v>
      </c>
      <c r="B165" s="53">
        <v>377</v>
      </c>
      <c r="C165" s="53">
        <v>32049568</v>
      </c>
      <c r="D165" s="54">
        <v>2.039654625907295</v>
      </c>
      <c r="F165" s="53">
        <v>80010</v>
      </c>
      <c r="G165" s="55">
        <v>377</v>
      </c>
      <c r="H165" s="55">
        <v>32049568</v>
      </c>
    </row>
    <row r="166" spans="1:8" x14ac:dyDescent="0.3">
      <c r="A166" s="53">
        <v>90010</v>
      </c>
      <c r="B166" s="53">
        <v>373</v>
      </c>
      <c r="C166" s="53">
        <v>35341978</v>
      </c>
      <c r="D166" s="54">
        <v>2.004097995334889</v>
      </c>
      <c r="F166" s="53">
        <v>90010</v>
      </c>
      <c r="G166" s="55">
        <v>373</v>
      </c>
      <c r="H166" s="55">
        <v>35341978</v>
      </c>
    </row>
    <row r="167" spans="1:8" x14ac:dyDescent="0.3">
      <c r="A167" s="53">
        <v>100010</v>
      </c>
      <c r="B167" s="53">
        <v>710</v>
      </c>
      <c r="C167" s="53">
        <v>85050358</v>
      </c>
      <c r="D167" s="54">
        <v>2.0418877500765955</v>
      </c>
      <c r="F167" s="53">
        <v>100010</v>
      </c>
      <c r="G167" s="55">
        <v>710</v>
      </c>
      <c r="H167" s="55">
        <v>85050358</v>
      </c>
    </row>
    <row r="168" spans="1:8" x14ac:dyDescent="0.3">
      <c r="A168" s="53">
        <v>150010</v>
      </c>
      <c r="B168" s="53">
        <v>255</v>
      </c>
      <c r="C168" s="53">
        <v>44152221</v>
      </c>
      <c r="D168" s="54">
        <v>1.9945228268458806</v>
      </c>
      <c r="F168" s="53">
        <v>150010</v>
      </c>
      <c r="G168" s="55">
        <v>255</v>
      </c>
      <c r="H168" s="55">
        <v>44152221</v>
      </c>
    </row>
    <row r="169" spans="1:8" x14ac:dyDescent="0.3">
      <c r="A169" s="53">
        <v>200010</v>
      </c>
      <c r="B169" s="53">
        <v>292</v>
      </c>
      <c r="C169" s="53">
        <v>79645667</v>
      </c>
      <c r="D169" s="54">
        <v>1.9233340194692392</v>
      </c>
      <c r="F169" s="53">
        <v>200010</v>
      </c>
      <c r="G169" s="55">
        <v>292</v>
      </c>
      <c r="H169" s="55">
        <v>79645667</v>
      </c>
    </row>
    <row r="170" spans="1:8" x14ac:dyDescent="0.3">
      <c r="A170" s="53">
        <v>400000</v>
      </c>
      <c r="B170" s="53">
        <v>84</v>
      </c>
      <c r="C170" s="53">
        <v>64996283</v>
      </c>
      <c r="D170" s="54">
        <v>1.9344131845238095</v>
      </c>
      <c r="F170" s="53">
        <v>400000</v>
      </c>
      <c r="G170" s="55">
        <v>84</v>
      </c>
      <c r="H170" s="55">
        <v>64996283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B61" workbookViewId="0">
      <selection activeCell="J16" sqref="J16"/>
    </sheetView>
  </sheetViews>
  <sheetFormatPr baseColWidth="10" defaultRowHeight="15.6" x14ac:dyDescent="0.3"/>
  <cols>
    <col min="12" max="12" width="13.296875" bestFit="1" customWidth="1"/>
  </cols>
  <sheetData>
    <row r="1" spans="1:15" x14ac:dyDescent="0.3">
      <c r="A1" s="79" t="s">
        <v>245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5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5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13770</v>
      </c>
      <c r="M3" t="s">
        <v>247</v>
      </c>
      <c r="N3" t="s">
        <v>7</v>
      </c>
      <c r="O3" t="s">
        <v>14</v>
      </c>
    </row>
    <row r="4" spans="1:15" x14ac:dyDescent="0.3">
      <c r="A4" s="53">
        <v>70010</v>
      </c>
      <c r="B4" s="53">
        <v>167361</v>
      </c>
      <c r="C4" s="53">
        <v>12481847070</v>
      </c>
      <c r="D4" s="54">
        <v>1.5222077693329699</v>
      </c>
      <c r="F4" s="53">
        <v>70010</v>
      </c>
      <c r="G4" s="53">
        <v>167361</v>
      </c>
      <c r="H4" s="53">
        <v>12481847070</v>
      </c>
      <c r="I4">
        <f>A4/6.55957</f>
        <v>10672.955696791101</v>
      </c>
      <c r="J4" s="53">
        <v>70010</v>
      </c>
      <c r="K4" s="2">
        <f>G4+G13+G22+G31+G40+G49+G58+G67+G76+G85+G94+G103</f>
        <v>1369118.0279688837</v>
      </c>
      <c r="L4" s="2">
        <f>H4+H13+H22+H31+H40+H49+H58+H67+H76+H85+H94+H103</f>
        <v>101523099018.01123</v>
      </c>
      <c r="M4">
        <f>1-SUM(K4:$K$11)/$K$13</f>
        <v>0.71272648189355481</v>
      </c>
      <c r="N4">
        <f>SUM(L4:$L$11)/(J4*SUM(K4:$K$11))</f>
        <v>1.7830590739190313</v>
      </c>
      <c r="O4">
        <f>(G4+G13+G31)/K4</f>
        <v>0.20279624862722959</v>
      </c>
    </row>
    <row r="5" spans="1:15" x14ac:dyDescent="0.3">
      <c r="A5" s="53">
        <v>80010</v>
      </c>
      <c r="B5" s="53">
        <v>97534</v>
      </c>
      <c r="C5" s="53">
        <v>8250188631</v>
      </c>
      <c r="D5" s="54">
        <v>1.5425234284586848</v>
      </c>
      <c r="F5" s="53">
        <v>80010</v>
      </c>
      <c r="G5" s="53">
        <v>97534</v>
      </c>
      <c r="H5" s="53">
        <v>8250188631</v>
      </c>
      <c r="J5" s="53">
        <v>80010</v>
      </c>
      <c r="K5" s="2">
        <f t="shared" ref="K5:L11" si="0">G5+G14+G23+G32+G41+G50+G59+G68+G77+G86+G95+G104</f>
        <v>1146602.7022900763</v>
      </c>
      <c r="L5" s="2">
        <f t="shared" si="0"/>
        <v>97288862529.889313</v>
      </c>
      <c r="M5">
        <f>1-SUM(K5:$K$11)/$K$13</f>
        <v>0.76910832138872698</v>
      </c>
      <c r="N5">
        <f>SUM(L5:$L$11)/(J5*SUM(K5:$K$11))</f>
        <v>1.7148799939596238</v>
      </c>
      <c r="O5">
        <f t="shared" ref="O5:O11" si="1">(G5+G14+G32)/K5</f>
        <v>0.14888679370721689</v>
      </c>
    </row>
    <row r="6" spans="1:15" x14ac:dyDescent="0.3">
      <c r="A6" s="53">
        <v>90010</v>
      </c>
      <c r="B6" s="53">
        <v>61205</v>
      </c>
      <c r="C6" s="53">
        <v>5796541514</v>
      </c>
      <c r="D6" s="54">
        <v>1.5621902850489355</v>
      </c>
      <c r="F6" s="53">
        <v>90010</v>
      </c>
      <c r="G6" s="53">
        <v>61205</v>
      </c>
      <c r="H6" s="53">
        <v>5796541514</v>
      </c>
      <c r="J6" s="53">
        <v>90010</v>
      </c>
      <c r="K6" s="2">
        <f t="shared" si="0"/>
        <v>916628</v>
      </c>
      <c r="L6" s="2">
        <f t="shared" si="0"/>
        <v>86910551517</v>
      </c>
      <c r="M6">
        <f>1-SUM(K6:$K$11)/$K$13</f>
        <v>0.81632672637982617</v>
      </c>
      <c r="N6">
        <f>SUM(L6:$L$11)/(J6*SUM(K6:$K$11))</f>
        <v>1.6738986783426033</v>
      </c>
      <c r="O6">
        <f t="shared" si="1"/>
        <v>0.11749913814546359</v>
      </c>
    </row>
    <row r="7" spans="1:15" x14ac:dyDescent="0.3">
      <c r="A7" s="53">
        <v>100010</v>
      </c>
      <c r="B7" s="53">
        <v>77238</v>
      </c>
      <c r="C7" s="53">
        <v>8538712450</v>
      </c>
      <c r="D7" s="54">
        <v>1.5826341622780986</v>
      </c>
      <c r="F7" s="53">
        <v>100010</v>
      </c>
      <c r="G7" s="53">
        <v>77238</v>
      </c>
      <c r="H7" s="53">
        <v>8538712450</v>
      </c>
      <c r="J7" s="53">
        <v>100010</v>
      </c>
      <c r="K7" s="2">
        <f t="shared" si="0"/>
        <v>1496516</v>
      </c>
      <c r="L7" s="2">
        <f t="shared" si="0"/>
        <v>166398387442</v>
      </c>
      <c r="M7">
        <f>1-SUM(K7:$K$11)/$K$13</f>
        <v>0.85407451124352474</v>
      </c>
      <c r="N7">
        <f>SUM(L7:$L$11)/(J7*SUM(K7:$K$11))</f>
        <v>1.6509884949501998</v>
      </c>
      <c r="O7">
        <f t="shared" si="1"/>
        <v>9.186737729499718E-2</v>
      </c>
    </row>
    <row r="8" spans="1:15" x14ac:dyDescent="0.3">
      <c r="A8" s="53">
        <v>125010</v>
      </c>
      <c r="B8" s="53">
        <v>32680</v>
      </c>
      <c r="C8" s="53">
        <v>4445085547</v>
      </c>
      <c r="D8" s="54">
        <v>1.6266333572105445</v>
      </c>
      <c r="F8" s="53">
        <v>125010</v>
      </c>
      <c r="G8" s="53">
        <v>32680</v>
      </c>
      <c r="H8" s="53">
        <v>4445085547</v>
      </c>
      <c r="J8" s="53">
        <v>125010</v>
      </c>
      <c r="K8" s="2">
        <f t="shared" si="0"/>
        <v>785530</v>
      </c>
      <c r="L8" s="2">
        <f t="shared" si="0"/>
        <v>106969690418</v>
      </c>
      <c r="M8">
        <f>1-SUM(K8:$K$11)/$K$13</f>
        <v>0.91570274430326404</v>
      </c>
      <c r="N8">
        <f>SUM(L8:$L$11)/(J8*SUM(K8:$K$11))</f>
        <v>1.6361799717367309</v>
      </c>
      <c r="O8">
        <f t="shared" si="1"/>
        <v>7.627970924089468E-2</v>
      </c>
    </row>
    <row r="9" spans="1:15" x14ac:dyDescent="0.3">
      <c r="A9" s="53">
        <v>150010</v>
      </c>
      <c r="B9" s="53">
        <v>26271</v>
      </c>
      <c r="C9" s="53">
        <v>4478751411</v>
      </c>
      <c r="D9" s="54">
        <v>1.6541413965791396</v>
      </c>
      <c r="F9" s="53">
        <v>150010</v>
      </c>
      <c r="G9" s="53">
        <v>26271</v>
      </c>
      <c r="H9" s="53">
        <v>4478751411</v>
      </c>
      <c r="J9" s="53">
        <v>150010</v>
      </c>
      <c r="K9" s="2">
        <f t="shared" si="0"/>
        <v>665226</v>
      </c>
      <c r="L9" s="2">
        <f t="shared" si="0"/>
        <v>113450500222</v>
      </c>
      <c r="M9">
        <f>1-SUM(K9:$K$11)/$K$13</f>
        <v>0.94805176423717519</v>
      </c>
      <c r="N9">
        <f>SUM(L9:$L$11)/(J9*SUM(K9:$K$11))</f>
        <v>1.6472904669658135</v>
      </c>
      <c r="O9">
        <f t="shared" si="1"/>
        <v>7.5102296061789531E-2</v>
      </c>
    </row>
    <row r="10" spans="1:15" x14ac:dyDescent="0.3">
      <c r="A10" s="53">
        <v>200010</v>
      </c>
      <c r="B10" s="53">
        <v>18894</v>
      </c>
      <c r="C10" s="53">
        <v>4945321636</v>
      </c>
      <c r="D10" s="54">
        <v>1.6870104089981497</v>
      </c>
      <c r="F10" s="53">
        <v>200010</v>
      </c>
      <c r="G10" s="53">
        <v>18894</v>
      </c>
      <c r="H10" s="53">
        <v>4945321636</v>
      </c>
      <c r="J10" s="53">
        <v>200010</v>
      </c>
      <c r="K10" s="2">
        <f t="shared" si="0"/>
        <v>492632</v>
      </c>
      <c r="L10" s="2">
        <f t="shared" si="0"/>
        <v>129125864019</v>
      </c>
      <c r="M10">
        <f>1-SUM(K10:$K$11)/$K$13</f>
        <v>0.97544652845312618</v>
      </c>
      <c r="N10">
        <f>SUM(L10:$L$11)/(J10*SUM(K10:$K$11))</f>
        <v>1.6625962111411881</v>
      </c>
      <c r="O10">
        <f t="shared" si="1"/>
        <v>7.5825362542425181E-2</v>
      </c>
    </row>
    <row r="11" spans="1:15" x14ac:dyDescent="0.3">
      <c r="A11" s="53">
        <v>400000</v>
      </c>
      <c r="B11" s="53">
        <v>3956</v>
      </c>
      <c r="C11" s="53">
        <v>2764701415</v>
      </c>
      <c r="D11" s="54">
        <v>1.7471571126137513</v>
      </c>
      <c r="F11" s="53">
        <v>400000</v>
      </c>
      <c r="G11" s="53">
        <v>3956</v>
      </c>
      <c r="H11" s="53">
        <v>2764701415</v>
      </c>
      <c r="J11" s="53">
        <v>400000</v>
      </c>
      <c r="K11" s="2">
        <f t="shared" si="0"/>
        <v>103599</v>
      </c>
      <c r="L11" s="2">
        <f>H11+H20+H29+H38+H47+H56+H65+H74+H83+H92+H101+H110</f>
        <v>69142329208</v>
      </c>
      <c r="M11">
        <f>1-SUM(K11:$K$11)/$K$13</f>
        <v>0.99573367520510581</v>
      </c>
      <c r="N11">
        <f>SUM(L11:$L$11)/(J11*SUM(K11:$K$11))</f>
        <v>1.6685086054884699</v>
      </c>
      <c r="O11">
        <f t="shared" si="1"/>
        <v>8.4614716358266007E-2</v>
      </c>
    </row>
    <row r="12" spans="1:15" x14ac:dyDescent="0.3">
      <c r="A12" s="51" t="s">
        <v>56</v>
      </c>
      <c r="B12" s="51" t="s">
        <v>87</v>
      </c>
      <c r="C12" s="51" t="s">
        <v>61</v>
      </c>
      <c r="D12" s="52" t="s">
        <v>59</v>
      </c>
      <c r="K12" s="2"/>
      <c r="L12" s="2"/>
    </row>
    <row r="13" spans="1:15" x14ac:dyDescent="0.3">
      <c r="A13" s="53">
        <v>70010</v>
      </c>
      <c r="B13" s="53">
        <v>81821</v>
      </c>
      <c r="C13" s="53">
        <v>6112087096</v>
      </c>
      <c r="D13" s="54">
        <v>1.6583062914282811</v>
      </c>
      <c r="F13" s="53">
        <v>70010</v>
      </c>
      <c r="G13" s="53">
        <v>81821</v>
      </c>
      <c r="H13" s="53">
        <v>6112087096</v>
      </c>
      <c r="K13" s="5">
        <v>24282961.326334845</v>
      </c>
      <c r="L13" s="2"/>
    </row>
    <row r="14" spans="1:15" x14ac:dyDescent="0.3">
      <c r="A14" s="53">
        <v>80010</v>
      </c>
      <c r="B14" s="53">
        <v>56311</v>
      </c>
      <c r="C14" s="53">
        <v>4765860444</v>
      </c>
      <c r="D14" s="54">
        <v>1.6673874731398735</v>
      </c>
      <c r="F14" s="53">
        <v>80010</v>
      </c>
      <c r="G14" s="53">
        <v>56311</v>
      </c>
      <c r="H14" s="53">
        <v>4765860444</v>
      </c>
      <c r="K14" s="2"/>
      <c r="L14" s="2"/>
    </row>
    <row r="15" spans="1:15" x14ac:dyDescent="0.3">
      <c r="A15" s="53">
        <v>90010</v>
      </c>
      <c r="B15" s="53">
        <v>35762</v>
      </c>
      <c r="C15" s="53">
        <v>3385730111</v>
      </c>
      <c r="D15" s="54">
        <v>1.7010767004219483</v>
      </c>
      <c r="F15" s="53">
        <v>90010</v>
      </c>
      <c r="G15" s="53">
        <v>35762</v>
      </c>
      <c r="H15" s="53">
        <v>3385730111</v>
      </c>
      <c r="K15" s="2"/>
      <c r="L15" s="2"/>
    </row>
    <row r="16" spans="1:15" x14ac:dyDescent="0.3">
      <c r="A16" s="53">
        <v>100010</v>
      </c>
      <c r="B16" s="53">
        <v>46196</v>
      </c>
      <c r="C16" s="53">
        <v>5114520308</v>
      </c>
      <c r="D16" s="54">
        <v>1.7326809570606523</v>
      </c>
      <c r="F16" s="53">
        <v>100010</v>
      </c>
      <c r="G16" s="53">
        <v>46196</v>
      </c>
      <c r="H16" s="53">
        <v>5114520308</v>
      </c>
      <c r="K16" s="2"/>
      <c r="L16" s="2"/>
    </row>
    <row r="17" spans="1:8" x14ac:dyDescent="0.3">
      <c r="A17" s="53">
        <v>125010</v>
      </c>
      <c r="B17" s="53">
        <v>20948</v>
      </c>
      <c r="C17" s="53">
        <v>2853224466</v>
      </c>
      <c r="D17" s="54">
        <v>1.7889233876269344</v>
      </c>
      <c r="F17" s="53">
        <v>125010</v>
      </c>
      <c r="G17" s="53">
        <v>20948</v>
      </c>
      <c r="H17" s="53">
        <v>2853224466</v>
      </c>
    </row>
    <row r="18" spans="1:8" x14ac:dyDescent="0.3">
      <c r="A18" s="53">
        <v>150010</v>
      </c>
      <c r="B18" s="53">
        <v>18314</v>
      </c>
      <c r="C18" s="53">
        <v>3126886549</v>
      </c>
      <c r="D18" s="54">
        <v>1.825608013802444</v>
      </c>
      <c r="F18" s="53">
        <v>150010</v>
      </c>
      <c r="G18" s="53">
        <v>18314</v>
      </c>
      <c r="H18" s="53">
        <v>3126886549</v>
      </c>
    </row>
    <row r="19" spans="1:8" x14ac:dyDescent="0.3">
      <c r="A19" s="53">
        <v>200010</v>
      </c>
      <c r="B19" s="53">
        <v>14264</v>
      </c>
      <c r="C19" s="53">
        <v>3738006485</v>
      </c>
      <c r="D19" s="54">
        <v>1.889471568570332</v>
      </c>
      <c r="F19" s="53">
        <v>200010</v>
      </c>
      <c r="G19" s="53">
        <v>14264</v>
      </c>
      <c r="H19" s="53">
        <v>3738006485</v>
      </c>
    </row>
    <row r="20" spans="1:8" x14ac:dyDescent="0.3">
      <c r="A20" s="53">
        <v>400000</v>
      </c>
      <c r="B20" s="53">
        <v>3886</v>
      </c>
      <c r="C20" s="53">
        <v>3121118248</v>
      </c>
      <c r="D20" s="54">
        <v>2.0079247606793618</v>
      </c>
      <c r="F20" s="53">
        <v>400000</v>
      </c>
      <c r="G20" s="53">
        <v>3886</v>
      </c>
      <c r="H20" s="53">
        <v>3121118248</v>
      </c>
    </row>
    <row r="21" spans="1:8" x14ac:dyDescent="0.3">
      <c r="A21" s="51" t="s">
        <v>56</v>
      </c>
      <c r="B21" s="51" t="s">
        <v>186</v>
      </c>
      <c r="C21" s="51" t="s">
        <v>174</v>
      </c>
      <c r="D21" s="52" t="s">
        <v>59</v>
      </c>
    </row>
    <row r="22" spans="1:8" x14ac:dyDescent="0.3">
      <c r="A22" s="53">
        <v>70010</v>
      </c>
      <c r="B22" s="53">
        <v>419980</v>
      </c>
      <c r="C22" s="53">
        <v>31448705558</v>
      </c>
      <c r="D22" s="54">
        <v>1.7661948496943347</v>
      </c>
      <c r="F22" s="53">
        <v>70010</v>
      </c>
      <c r="G22" s="53">
        <v>419980</v>
      </c>
      <c r="H22" s="53">
        <v>31448705558</v>
      </c>
    </row>
    <row r="23" spans="1:8" x14ac:dyDescent="0.3">
      <c r="A23" s="53">
        <v>80010</v>
      </c>
      <c r="B23" s="53">
        <v>346120</v>
      </c>
      <c r="C23" s="53">
        <v>29362086925</v>
      </c>
      <c r="D23" s="54">
        <v>1.7037216036439145</v>
      </c>
      <c r="F23" s="53">
        <v>80010</v>
      </c>
      <c r="G23" s="53">
        <v>346120</v>
      </c>
      <c r="H23" s="53">
        <v>29362086925</v>
      </c>
    </row>
    <row r="24" spans="1:8" x14ac:dyDescent="0.3">
      <c r="A24" s="53">
        <v>90010</v>
      </c>
      <c r="B24" s="53">
        <v>271227</v>
      </c>
      <c r="C24" s="53">
        <v>25708973668</v>
      </c>
      <c r="D24" s="54">
        <v>1.6701596447134917</v>
      </c>
      <c r="F24" s="53">
        <v>90010</v>
      </c>
      <c r="G24" s="53">
        <v>271227</v>
      </c>
      <c r="H24" s="53">
        <v>25708973668</v>
      </c>
    </row>
    <row r="25" spans="1:8" x14ac:dyDescent="0.3">
      <c r="A25" s="53">
        <v>100010</v>
      </c>
      <c r="B25" s="53">
        <v>434595</v>
      </c>
      <c r="C25" s="53">
        <v>48301110703</v>
      </c>
      <c r="D25" s="54">
        <v>1.6537803239087325</v>
      </c>
      <c r="F25" s="53">
        <v>100010</v>
      </c>
      <c r="G25" s="53">
        <v>434595</v>
      </c>
      <c r="H25" s="53">
        <v>48301110703</v>
      </c>
    </row>
    <row r="26" spans="1:8" x14ac:dyDescent="0.3">
      <c r="A26" s="53">
        <v>125010</v>
      </c>
      <c r="B26" s="53">
        <v>218361</v>
      </c>
      <c r="C26" s="53">
        <v>29728823571</v>
      </c>
      <c r="D26" s="54">
        <v>1.6565866774032389</v>
      </c>
      <c r="F26" s="53">
        <v>125010</v>
      </c>
      <c r="G26" s="53">
        <v>218361</v>
      </c>
      <c r="H26" s="53">
        <v>29728823571</v>
      </c>
    </row>
    <row r="27" spans="1:8" x14ac:dyDescent="0.3">
      <c r="A27" s="53">
        <v>150010</v>
      </c>
      <c r="B27" s="53">
        <v>184009</v>
      </c>
      <c r="C27" s="53">
        <v>31390784074</v>
      </c>
      <c r="D27" s="54">
        <v>1.6779996620310678</v>
      </c>
      <c r="F27" s="53">
        <v>150010</v>
      </c>
      <c r="G27" s="53">
        <v>184009</v>
      </c>
      <c r="H27" s="53">
        <v>31390784074</v>
      </c>
    </row>
    <row r="28" spans="1:8" x14ac:dyDescent="0.3">
      <c r="A28" s="53">
        <v>200010</v>
      </c>
      <c r="B28" s="53">
        <v>133380</v>
      </c>
      <c r="C28" s="53">
        <v>34871632548</v>
      </c>
      <c r="D28" s="54">
        <v>1.7160386280184539</v>
      </c>
      <c r="F28" s="53">
        <v>200010</v>
      </c>
      <c r="G28" s="53">
        <v>133380</v>
      </c>
      <c r="H28" s="53">
        <v>34871632548</v>
      </c>
    </row>
    <row r="29" spans="1:8" x14ac:dyDescent="0.3">
      <c r="A29" s="53">
        <v>400000</v>
      </c>
      <c r="B29" s="53">
        <v>29746</v>
      </c>
      <c r="C29" s="53">
        <v>21117270204</v>
      </c>
      <c r="D29" s="54">
        <v>1.774799149801654</v>
      </c>
      <c r="F29" s="53">
        <v>400000</v>
      </c>
      <c r="G29" s="53">
        <v>29746</v>
      </c>
      <c r="H29" s="53">
        <v>21117270204</v>
      </c>
    </row>
    <row r="30" spans="1:8" x14ac:dyDescent="0.3">
      <c r="A30" s="51" t="s">
        <v>56</v>
      </c>
      <c r="B30" s="51" t="s">
        <v>187</v>
      </c>
      <c r="C30" s="51" t="s">
        <v>188</v>
      </c>
      <c r="D30" s="52" t="s">
        <v>59</v>
      </c>
    </row>
    <row r="31" spans="1:8" x14ac:dyDescent="0.3">
      <c r="A31" s="53">
        <v>70010</v>
      </c>
      <c r="B31" s="53">
        <v>28470</v>
      </c>
      <c r="C31" s="53">
        <v>2123297485</v>
      </c>
      <c r="D31" s="54">
        <v>1.5860730515780224</v>
      </c>
      <c r="F31" s="53">
        <v>70010</v>
      </c>
      <c r="G31" s="53">
        <v>28470</v>
      </c>
      <c r="H31" s="53">
        <v>2123297485</v>
      </c>
    </row>
    <row r="32" spans="1:8" x14ac:dyDescent="0.3">
      <c r="A32" s="53">
        <v>80010</v>
      </c>
      <c r="B32" s="53">
        <v>16869</v>
      </c>
      <c r="C32" s="53">
        <v>1427292906</v>
      </c>
      <c r="D32" s="54">
        <v>1.6098456887262711</v>
      </c>
      <c r="F32" s="53">
        <v>80010</v>
      </c>
      <c r="G32" s="53">
        <v>16869</v>
      </c>
      <c r="H32" s="53">
        <v>1427292906</v>
      </c>
    </row>
    <row r="33" spans="1:8" x14ac:dyDescent="0.3">
      <c r="A33" s="53">
        <v>90010</v>
      </c>
      <c r="B33" s="53">
        <v>10736</v>
      </c>
      <c r="C33" s="53">
        <v>1016516254</v>
      </c>
      <c r="D33" s="54">
        <v>1.6302333306616534</v>
      </c>
      <c r="F33" s="53">
        <v>90010</v>
      </c>
      <c r="G33" s="53">
        <v>10736</v>
      </c>
      <c r="H33" s="53">
        <v>1016516254</v>
      </c>
    </row>
    <row r="34" spans="1:8" x14ac:dyDescent="0.3">
      <c r="A34" s="53">
        <v>100010</v>
      </c>
      <c r="B34" s="53">
        <v>14047</v>
      </c>
      <c r="C34" s="53">
        <v>1553985064</v>
      </c>
      <c r="D34" s="54">
        <v>1.6484546635172377</v>
      </c>
      <c r="F34" s="53">
        <v>100010</v>
      </c>
      <c r="G34" s="53">
        <v>14047</v>
      </c>
      <c r="H34" s="53">
        <v>1553985064</v>
      </c>
    </row>
    <row r="35" spans="1:8" x14ac:dyDescent="0.3">
      <c r="A35" s="53">
        <v>125010</v>
      </c>
      <c r="B35" s="53">
        <v>6292</v>
      </c>
      <c r="C35" s="53">
        <v>856257940</v>
      </c>
      <c r="D35" s="54">
        <v>1.6818185515552513</v>
      </c>
      <c r="F35" s="53">
        <v>125010</v>
      </c>
      <c r="G35" s="53">
        <v>6292</v>
      </c>
      <c r="H35" s="53">
        <v>856257940</v>
      </c>
    </row>
    <row r="36" spans="1:8" x14ac:dyDescent="0.3">
      <c r="A36" s="53">
        <v>150010</v>
      </c>
      <c r="B36" s="53">
        <v>5375</v>
      </c>
      <c r="C36" s="53">
        <v>919147499</v>
      </c>
      <c r="D36" s="54">
        <v>1.6979083338226872</v>
      </c>
      <c r="F36" s="53">
        <v>150010</v>
      </c>
      <c r="G36" s="53">
        <v>5375</v>
      </c>
      <c r="H36" s="53">
        <v>919147499</v>
      </c>
    </row>
    <row r="37" spans="1:8" x14ac:dyDescent="0.3">
      <c r="A37" s="53">
        <v>200010</v>
      </c>
      <c r="B37" s="53">
        <v>4196</v>
      </c>
      <c r="C37" s="53">
        <v>1102507555</v>
      </c>
      <c r="D37" s="54">
        <v>1.7127687473048221</v>
      </c>
      <c r="F37" s="53">
        <v>200010</v>
      </c>
      <c r="G37" s="53">
        <v>4196</v>
      </c>
      <c r="H37" s="53">
        <v>1102507555</v>
      </c>
    </row>
    <row r="38" spans="1:8" x14ac:dyDescent="0.3">
      <c r="A38" s="53">
        <v>400000</v>
      </c>
      <c r="B38" s="53">
        <v>924</v>
      </c>
      <c r="C38" s="53">
        <v>651455336</v>
      </c>
      <c r="D38" s="54">
        <v>1.7625956060606061</v>
      </c>
      <c r="F38" s="53">
        <v>400000</v>
      </c>
      <c r="G38" s="53">
        <v>924</v>
      </c>
      <c r="H38" s="53">
        <v>651455336</v>
      </c>
    </row>
    <row r="39" spans="1:8" x14ac:dyDescent="0.3">
      <c r="A39" s="51" t="s">
        <v>56</v>
      </c>
      <c r="B39" s="51" t="s">
        <v>177</v>
      </c>
      <c r="C39" s="51" t="s">
        <v>178</v>
      </c>
      <c r="D39" s="52" t="s">
        <v>59</v>
      </c>
    </row>
    <row r="40" spans="1:8" x14ac:dyDescent="0.3">
      <c r="A40" s="53">
        <v>70010</v>
      </c>
      <c r="B40" s="53">
        <v>328492</v>
      </c>
      <c r="C40" s="53">
        <v>24623850224</v>
      </c>
      <c r="D40" s="54">
        <v>1.7255580392276881</v>
      </c>
      <c r="F40" s="53">
        <v>70010</v>
      </c>
      <c r="G40" s="53">
        <v>328492</v>
      </c>
      <c r="H40" s="53">
        <v>24623850224</v>
      </c>
    </row>
    <row r="41" spans="1:8" x14ac:dyDescent="0.3">
      <c r="A41" s="53">
        <v>80010</v>
      </c>
      <c r="B41" s="53">
        <v>294908</v>
      </c>
      <c r="C41" s="53">
        <v>25037627308</v>
      </c>
      <c r="D41" s="54">
        <v>1.641336118456308</v>
      </c>
      <c r="F41" s="53">
        <v>80010</v>
      </c>
      <c r="G41" s="53">
        <v>294908</v>
      </c>
      <c r="H41" s="53">
        <v>25037627308</v>
      </c>
    </row>
    <row r="42" spans="1:8" x14ac:dyDescent="0.3">
      <c r="A42" s="53">
        <v>90010</v>
      </c>
      <c r="B42" s="53">
        <v>244542</v>
      </c>
      <c r="C42" s="53">
        <v>23189984403</v>
      </c>
      <c r="D42" s="54">
        <v>1.5927523142342253</v>
      </c>
      <c r="F42" s="53">
        <v>90010</v>
      </c>
      <c r="G42" s="53">
        <v>244542</v>
      </c>
      <c r="H42" s="53">
        <v>23189984403</v>
      </c>
    </row>
    <row r="43" spans="1:8" x14ac:dyDescent="0.3">
      <c r="A43" s="53">
        <v>100010</v>
      </c>
      <c r="B43" s="53">
        <v>400868</v>
      </c>
      <c r="C43" s="53">
        <v>44558159779</v>
      </c>
      <c r="D43" s="54">
        <v>1.5664557727863526</v>
      </c>
      <c r="F43" s="53">
        <v>100010</v>
      </c>
      <c r="G43" s="53">
        <v>400868</v>
      </c>
      <c r="H43" s="53">
        <v>44558159779</v>
      </c>
    </row>
    <row r="44" spans="1:8" x14ac:dyDescent="0.3">
      <c r="A44" s="53">
        <v>125010</v>
      </c>
      <c r="B44" s="53">
        <v>205775</v>
      </c>
      <c r="C44" s="53">
        <v>27998055577</v>
      </c>
      <c r="D44" s="54">
        <v>1.5499959431464749</v>
      </c>
      <c r="F44" s="53">
        <v>125010</v>
      </c>
      <c r="G44" s="53">
        <v>205775</v>
      </c>
      <c r="H44" s="53">
        <v>27998055577</v>
      </c>
    </row>
    <row r="45" spans="1:8" x14ac:dyDescent="0.3">
      <c r="A45" s="53">
        <v>150010</v>
      </c>
      <c r="B45" s="53">
        <v>161554</v>
      </c>
      <c r="C45" s="53">
        <v>27480290483</v>
      </c>
      <c r="D45" s="54">
        <v>1.5685580131891419</v>
      </c>
      <c r="F45" s="53">
        <v>150010</v>
      </c>
      <c r="G45" s="53">
        <v>161554</v>
      </c>
      <c r="H45" s="53">
        <v>27480290483</v>
      </c>
    </row>
    <row r="46" spans="1:8" x14ac:dyDescent="0.3">
      <c r="A46" s="53">
        <v>200010</v>
      </c>
      <c r="B46" s="53">
        <v>105217</v>
      </c>
      <c r="C46" s="53">
        <v>27340779608</v>
      </c>
      <c r="D46" s="54">
        <v>1.6000249240723086</v>
      </c>
      <c r="F46" s="53">
        <v>200010</v>
      </c>
      <c r="G46" s="53">
        <v>105217</v>
      </c>
      <c r="H46" s="53">
        <v>27340779608</v>
      </c>
    </row>
    <row r="47" spans="1:8" x14ac:dyDescent="0.3">
      <c r="A47" s="53">
        <v>400000</v>
      </c>
      <c r="B47" s="53">
        <v>19111</v>
      </c>
      <c r="C47" s="53">
        <v>12446789423</v>
      </c>
      <c r="D47" s="54">
        <v>1.6282231990738318</v>
      </c>
      <c r="F47" s="53">
        <v>400000</v>
      </c>
      <c r="G47" s="53">
        <v>19111</v>
      </c>
      <c r="H47" s="53">
        <v>12446789423</v>
      </c>
    </row>
    <row r="48" spans="1:8" x14ac:dyDescent="0.3">
      <c r="A48" s="51" t="s">
        <v>56</v>
      </c>
      <c r="B48" s="51" t="s">
        <v>179</v>
      </c>
      <c r="C48" s="51" t="s">
        <v>71</v>
      </c>
      <c r="D48" s="52" t="s">
        <v>59</v>
      </c>
    </row>
    <row r="49" spans="1:8" x14ac:dyDescent="0.3">
      <c r="A49" s="53">
        <v>70010</v>
      </c>
      <c r="B49" s="53">
        <v>263282</v>
      </c>
      <c r="C49" s="53">
        <v>18748922919</v>
      </c>
      <c r="D49" s="54">
        <v>1.8424593422317175</v>
      </c>
      <c r="F49" s="53">
        <v>70010</v>
      </c>
      <c r="G49" s="53">
        <v>263282</v>
      </c>
      <c r="H49" s="53">
        <v>18748922919</v>
      </c>
    </row>
    <row r="50" spans="1:8" x14ac:dyDescent="0.3">
      <c r="A50" s="53">
        <v>80010</v>
      </c>
      <c r="B50" s="53">
        <v>246938</v>
      </c>
      <c r="C50" s="53">
        <v>20973729343</v>
      </c>
      <c r="D50" s="54">
        <v>1.7460748399719621</v>
      </c>
      <c r="F50" s="53">
        <v>80010</v>
      </c>
      <c r="G50" s="53">
        <v>246938</v>
      </c>
      <c r="H50" s="53">
        <v>20973729343</v>
      </c>
    </row>
    <row r="51" spans="1:8" x14ac:dyDescent="0.3">
      <c r="A51" s="53">
        <v>90010</v>
      </c>
      <c r="B51" s="53">
        <v>216966</v>
      </c>
      <c r="C51" s="53">
        <v>20586568708</v>
      </c>
      <c r="D51" s="54">
        <v>1.6801781248297167</v>
      </c>
      <c r="F51" s="53">
        <v>90010</v>
      </c>
      <c r="G51" s="53">
        <v>216966</v>
      </c>
      <c r="H51" s="53">
        <v>20586568708</v>
      </c>
    </row>
    <row r="52" spans="1:8" x14ac:dyDescent="0.3">
      <c r="A52" s="53">
        <v>100010</v>
      </c>
      <c r="B52" s="53">
        <v>390136</v>
      </c>
      <c r="C52" s="53">
        <v>43467001159</v>
      </c>
      <c r="D52" s="54">
        <v>1.6400403154938399</v>
      </c>
      <c r="F52" s="53">
        <v>100010</v>
      </c>
      <c r="G52" s="53">
        <v>390136</v>
      </c>
      <c r="H52" s="53">
        <v>43467001159</v>
      </c>
    </row>
    <row r="53" spans="1:8" x14ac:dyDescent="0.3">
      <c r="A53" s="53">
        <v>125010</v>
      </c>
      <c r="B53" s="53">
        <v>220477</v>
      </c>
      <c r="C53" s="53">
        <v>30030363500</v>
      </c>
      <c r="D53" s="54">
        <v>1.6021517509178205</v>
      </c>
      <c r="F53" s="53">
        <v>125010</v>
      </c>
      <c r="G53" s="53">
        <v>220477</v>
      </c>
      <c r="H53" s="53">
        <v>30030363500</v>
      </c>
    </row>
    <row r="54" spans="1:8" x14ac:dyDescent="0.3">
      <c r="A54" s="53">
        <v>150010</v>
      </c>
      <c r="B54" s="53">
        <v>184852</v>
      </c>
      <c r="C54" s="53">
        <v>31492152097</v>
      </c>
      <c r="D54" s="54">
        <v>1.6077688374108103</v>
      </c>
      <c r="F54" s="53">
        <v>150010</v>
      </c>
      <c r="G54" s="53">
        <v>184852</v>
      </c>
      <c r="H54" s="53">
        <v>31492152097</v>
      </c>
    </row>
    <row r="55" spans="1:8" x14ac:dyDescent="0.3">
      <c r="A55" s="53">
        <v>200010</v>
      </c>
      <c r="B55" s="53">
        <v>134093</v>
      </c>
      <c r="C55" s="53">
        <v>35157041459</v>
      </c>
      <c r="D55" s="54">
        <v>1.6133751689282718</v>
      </c>
      <c r="F55" s="53">
        <v>200010</v>
      </c>
      <c r="G55" s="53">
        <v>134093</v>
      </c>
      <c r="H55" s="53">
        <v>35157041459</v>
      </c>
    </row>
    <row r="56" spans="1:8" x14ac:dyDescent="0.3">
      <c r="A56" s="53">
        <v>400000</v>
      </c>
      <c r="B56" s="53">
        <v>26510</v>
      </c>
      <c r="C56" s="53">
        <v>16668128121</v>
      </c>
      <c r="D56" s="54">
        <v>1.5718717579215389</v>
      </c>
      <c r="F56" s="53">
        <v>400000</v>
      </c>
      <c r="G56" s="53">
        <v>26510</v>
      </c>
      <c r="H56" s="53">
        <v>16668128121</v>
      </c>
    </row>
    <row r="57" spans="1:8" x14ac:dyDescent="0.3">
      <c r="A57" s="51" t="s">
        <v>56</v>
      </c>
      <c r="B57" s="51" t="s">
        <v>180</v>
      </c>
      <c r="C57" s="51" t="s">
        <v>73</v>
      </c>
      <c r="D57" s="52" t="s">
        <v>59</v>
      </c>
    </row>
    <row r="58" spans="1:8" x14ac:dyDescent="0.3">
      <c r="A58" s="53">
        <v>70010</v>
      </c>
      <c r="B58" s="53">
        <v>9407</v>
      </c>
      <c r="C58" s="53">
        <v>705057985</v>
      </c>
      <c r="D58" s="54">
        <v>1.7755925274689122</v>
      </c>
      <c r="F58" s="53">
        <v>70010</v>
      </c>
      <c r="G58" s="53">
        <v>9407</v>
      </c>
      <c r="H58" s="53">
        <v>705057985</v>
      </c>
    </row>
    <row r="59" spans="1:8" x14ac:dyDescent="0.3">
      <c r="A59" s="53">
        <v>80010</v>
      </c>
      <c r="B59" s="53">
        <v>7620</v>
      </c>
      <c r="C59" s="53">
        <v>646621821</v>
      </c>
      <c r="D59" s="54">
        <v>1.7103848118469407</v>
      </c>
      <c r="F59" s="53">
        <v>80010</v>
      </c>
      <c r="G59" s="53">
        <v>7620</v>
      </c>
      <c r="H59" s="53">
        <v>646621821</v>
      </c>
    </row>
    <row r="60" spans="1:8" x14ac:dyDescent="0.3">
      <c r="A60" s="53">
        <v>90010</v>
      </c>
      <c r="B60" s="53">
        <v>5980</v>
      </c>
      <c r="C60" s="53">
        <v>566577199</v>
      </c>
      <c r="D60" s="54">
        <v>1.6700105335501751</v>
      </c>
      <c r="F60" s="53">
        <v>90010</v>
      </c>
      <c r="G60" s="53">
        <v>5980</v>
      </c>
      <c r="H60" s="53">
        <v>566577199</v>
      </c>
    </row>
    <row r="61" spans="1:8" x14ac:dyDescent="0.3">
      <c r="A61" s="53">
        <v>100010</v>
      </c>
      <c r="B61" s="53">
        <v>9660</v>
      </c>
      <c r="C61" s="53">
        <v>1073694302</v>
      </c>
      <c r="D61" s="54">
        <v>1.6448421949661975</v>
      </c>
      <c r="F61" s="53">
        <v>100010</v>
      </c>
      <c r="G61" s="53">
        <v>9660</v>
      </c>
      <c r="H61" s="53">
        <v>1073694302</v>
      </c>
    </row>
    <row r="62" spans="1:8" x14ac:dyDescent="0.3">
      <c r="A62" s="53">
        <v>125010</v>
      </c>
      <c r="B62" s="53">
        <v>5028</v>
      </c>
      <c r="C62" s="53">
        <v>685159163</v>
      </c>
      <c r="D62" s="54">
        <v>1.6152775590021637</v>
      </c>
      <c r="F62" s="53">
        <v>125010</v>
      </c>
      <c r="G62" s="53">
        <v>5028</v>
      </c>
      <c r="H62" s="53">
        <v>685159163</v>
      </c>
    </row>
    <row r="63" spans="1:8" x14ac:dyDescent="0.3">
      <c r="A63" s="53">
        <v>150010</v>
      </c>
      <c r="B63" s="53">
        <v>4718</v>
      </c>
      <c r="C63" s="53">
        <v>805596191</v>
      </c>
      <c r="D63" s="54">
        <v>1.597790224713602</v>
      </c>
      <c r="F63" s="53">
        <v>150010</v>
      </c>
      <c r="G63" s="53">
        <v>4718</v>
      </c>
      <c r="H63" s="53">
        <v>805596191</v>
      </c>
    </row>
    <row r="64" spans="1:8" x14ac:dyDescent="0.3">
      <c r="A64" s="53">
        <v>200010</v>
      </c>
      <c r="B64" s="53">
        <v>3409</v>
      </c>
      <c r="C64" s="53">
        <v>881132394</v>
      </c>
      <c r="D64" s="54">
        <v>1.6023614893789473</v>
      </c>
      <c r="F64" s="53">
        <v>200010</v>
      </c>
      <c r="G64" s="53">
        <v>3409</v>
      </c>
      <c r="H64" s="53">
        <v>881132394</v>
      </c>
    </row>
    <row r="65" spans="1:8" x14ac:dyDescent="0.3">
      <c r="A65" s="53">
        <v>400000</v>
      </c>
      <c r="B65" s="53">
        <v>616</v>
      </c>
      <c r="C65" s="53">
        <v>408833100</v>
      </c>
      <c r="D65" s="54">
        <v>1.6592252435064936</v>
      </c>
      <c r="F65" s="53">
        <v>400000</v>
      </c>
      <c r="G65" s="53">
        <v>616</v>
      </c>
      <c r="H65" s="53">
        <v>408833100</v>
      </c>
    </row>
    <row r="66" spans="1:8" x14ac:dyDescent="0.3">
      <c r="A66" s="51" t="s">
        <v>56</v>
      </c>
      <c r="B66" s="51" t="s">
        <v>181</v>
      </c>
      <c r="C66" s="51" t="s">
        <v>75</v>
      </c>
      <c r="D66" s="52" t="s">
        <v>59</v>
      </c>
    </row>
    <row r="67" spans="1:8" x14ac:dyDescent="0.3">
      <c r="A67" s="53">
        <v>70010</v>
      </c>
      <c r="B67" s="53">
        <v>56666</v>
      </c>
      <c r="C67" s="53">
        <v>4252299490</v>
      </c>
      <c r="D67" s="54">
        <v>2.0985672127363477</v>
      </c>
      <c r="F67" s="53">
        <v>70010</v>
      </c>
      <c r="G67" s="53">
        <v>56666</v>
      </c>
      <c r="H67" s="53">
        <v>4252299490</v>
      </c>
    </row>
    <row r="68" spans="1:8" x14ac:dyDescent="0.3">
      <c r="A68" s="53">
        <v>80010</v>
      </c>
      <c r="B68" s="53">
        <v>66670</v>
      </c>
      <c r="C68" s="53">
        <v>5667818842</v>
      </c>
      <c r="D68" s="54">
        <v>1.9569690173162833</v>
      </c>
      <c r="F68" s="53">
        <v>80010</v>
      </c>
      <c r="G68" s="53">
        <v>66670</v>
      </c>
      <c r="H68" s="53">
        <v>5667818842</v>
      </c>
    </row>
    <row r="69" spans="1:8" x14ac:dyDescent="0.3">
      <c r="A69" s="53">
        <v>90010</v>
      </c>
      <c r="B69" s="53">
        <v>56908</v>
      </c>
      <c r="C69" s="53">
        <v>5397002102</v>
      </c>
      <c r="D69" s="54">
        <v>1.888811818419613</v>
      </c>
      <c r="F69" s="53">
        <v>90010</v>
      </c>
      <c r="G69" s="53">
        <v>56908</v>
      </c>
      <c r="H69" s="53">
        <v>5397002102</v>
      </c>
    </row>
    <row r="70" spans="1:8" x14ac:dyDescent="0.3">
      <c r="A70" s="53">
        <v>100010</v>
      </c>
      <c r="B70" s="53">
        <v>100246</v>
      </c>
      <c r="C70" s="53">
        <v>11169537035</v>
      </c>
      <c r="D70" s="54">
        <v>1.8433847125169252</v>
      </c>
      <c r="F70" s="53">
        <v>100010</v>
      </c>
      <c r="G70" s="53">
        <v>100246</v>
      </c>
      <c r="H70" s="53">
        <v>11169537035</v>
      </c>
    </row>
    <row r="71" spans="1:8" x14ac:dyDescent="0.3">
      <c r="A71" s="53">
        <v>125010</v>
      </c>
      <c r="B71" s="53">
        <v>61286</v>
      </c>
      <c r="C71" s="53">
        <v>8367258604</v>
      </c>
      <c r="D71" s="54">
        <v>1.7701578254990233</v>
      </c>
      <c r="F71" s="53">
        <v>125010</v>
      </c>
      <c r="G71" s="53">
        <v>61286</v>
      </c>
      <c r="H71" s="53">
        <v>8367258604</v>
      </c>
    </row>
    <row r="72" spans="1:8" x14ac:dyDescent="0.3">
      <c r="A72" s="53">
        <v>150010</v>
      </c>
      <c r="B72" s="53">
        <v>63048</v>
      </c>
      <c r="C72" s="53">
        <v>10813897306</v>
      </c>
      <c r="D72" s="54">
        <v>1.7284769395746324</v>
      </c>
      <c r="F72" s="53">
        <v>150010</v>
      </c>
      <c r="G72" s="53">
        <v>63048</v>
      </c>
      <c r="H72" s="53">
        <v>10813897306</v>
      </c>
    </row>
    <row r="73" spans="1:8" x14ac:dyDescent="0.3">
      <c r="A73" s="53">
        <v>200010</v>
      </c>
      <c r="B73" s="53">
        <v>59723</v>
      </c>
      <c r="C73" s="53">
        <v>15879239840</v>
      </c>
      <c r="D73" s="54">
        <v>1.6720594485850211</v>
      </c>
      <c r="F73" s="53">
        <v>200010</v>
      </c>
      <c r="G73" s="53">
        <v>59723</v>
      </c>
      <c r="H73" s="53">
        <v>15879239840</v>
      </c>
    </row>
    <row r="74" spans="1:8" x14ac:dyDescent="0.3">
      <c r="A74" s="53">
        <v>400000</v>
      </c>
      <c r="B74" s="53">
        <v>13923</v>
      </c>
      <c r="C74" s="53">
        <v>8750089595</v>
      </c>
      <c r="D74" s="54">
        <v>1.5711573646125117</v>
      </c>
      <c r="F74" s="53">
        <v>400000</v>
      </c>
      <c r="G74" s="53">
        <v>13923</v>
      </c>
      <c r="H74" s="53">
        <v>8750089595</v>
      </c>
    </row>
    <row r="75" spans="1:8" x14ac:dyDescent="0.3">
      <c r="A75" s="51" t="s">
        <v>56</v>
      </c>
      <c r="B75" s="51" t="s">
        <v>182</v>
      </c>
      <c r="C75" s="51" t="s">
        <v>77</v>
      </c>
      <c r="D75" s="52" t="s">
        <v>59</v>
      </c>
    </row>
    <row r="76" spans="1:8" x14ac:dyDescent="0.3">
      <c r="A76" s="53">
        <v>70010</v>
      </c>
      <c r="B76" s="53">
        <v>11275</v>
      </c>
      <c r="C76" s="53">
        <v>845999676</v>
      </c>
      <c r="D76" s="54">
        <v>2.287454537051818</v>
      </c>
      <c r="F76" s="53">
        <v>70010</v>
      </c>
      <c r="G76" s="53">
        <v>11275</v>
      </c>
      <c r="H76" s="53">
        <v>845999676</v>
      </c>
    </row>
    <row r="77" spans="1:8" x14ac:dyDescent="0.3">
      <c r="A77" s="53">
        <v>80010</v>
      </c>
      <c r="B77" s="53">
        <v>10492</v>
      </c>
      <c r="C77" s="53">
        <v>890846506</v>
      </c>
      <c r="D77" s="54">
        <v>2.1458633039636212</v>
      </c>
      <c r="F77" s="53">
        <v>80010</v>
      </c>
      <c r="G77" s="53">
        <v>10492</v>
      </c>
      <c r="H77" s="53">
        <v>890846506</v>
      </c>
    </row>
    <row r="78" spans="1:8" x14ac:dyDescent="0.3">
      <c r="A78" s="53">
        <v>90010</v>
      </c>
      <c r="B78" s="53">
        <v>10687</v>
      </c>
      <c r="C78" s="53">
        <v>1014468689</v>
      </c>
      <c r="D78" s="54">
        <v>2.0467536141936615</v>
      </c>
      <c r="F78" s="53">
        <v>90010</v>
      </c>
      <c r="G78" s="53">
        <v>10687</v>
      </c>
      <c r="H78" s="53">
        <v>1014468689</v>
      </c>
    </row>
    <row r="79" spans="1:8" x14ac:dyDescent="0.3">
      <c r="A79" s="53">
        <v>100010</v>
      </c>
      <c r="B79" s="53">
        <v>18402</v>
      </c>
      <c r="C79" s="53">
        <v>2050123716</v>
      </c>
      <c r="D79" s="54">
        <v>1.9961744816218456</v>
      </c>
      <c r="F79" s="53">
        <v>100010</v>
      </c>
      <c r="G79" s="53">
        <v>18402</v>
      </c>
      <c r="H79" s="53">
        <v>2050123716</v>
      </c>
    </row>
    <row r="80" spans="1:8" x14ac:dyDescent="0.3">
      <c r="A80" s="53">
        <v>125010</v>
      </c>
      <c r="B80" s="53">
        <v>11499</v>
      </c>
      <c r="C80" s="53">
        <v>1570595334</v>
      </c>
      <c r="D80" s="54">
        <v>1.8953082740838811</v>
      </c>
      <c r="F80" s="53">
        <v>125010</v>
      </c>
      <c r="G80" s="53">
        <v>11499</v>
      </c>
      <c r="H80" s="53">
        <v>1570595334</v>
      </c>
    </row>
    <row r="81" spans="1:8" x14ac:dyDescent="0.3">
      <c r="A81" s="53">
        <v>150010</v>
      </c>
      <c r="B81" s="53">
        <v>13335</v>
      </c>
      <c r="C81" s="53">
        <v>2295494108</v>
      </c>
      <c r="D81" s="54">
        <v>1.8195599966609584</v>
      </c>
      <c r="F81" s="53">
        <v>150010</v>
      </c>
      <c r="G81" s="53">
        <v>13335</v>
      </c>
      <c r="H81" s="53">
        <v>2295494108</v>
      </c>
    </row>
    <row r="82" spans="1:8" x14ac:dyDescent="0.3">
      <c r="A82" s="53">
        <v>200010</v>
      </c>
      <c r="B82" s="53">
        <v>14920</v>
      </c>
      <c r="C82" s="53">
        <v>3989157743</v>
      </c>
      <c r="D82" s="54">
        <v>1.7241195325260477</v>
      </c>
      <c r="F82" s="53">
        <v>200010</v>
      </c>
      <c r="G82" s="53">
        <v>14920</v>
      </c>
      <c r="H82" s="53">
        <v>3989157743</v>
      </c>
    </row>
    <row r="83" spans="1:8" x14ac:dyDescent="0.3">
      <c r="A83" s="53">
        <v>400000</v>
      </c>
      <c r="B83" s="53">
        <v>3780</v>
      </c>
      <c r="C83" s="53">
        <v>2459371719</v>
      </c>
      <c r="D83" s="54">
        <v>1.6265685972222224</v>
      </c>
      <c r="F83" s="53">
        <v>400000</v>
      </c>
      <c r="G83" s="53">
        <v>3780</v>
      </c>
      <c r="H83" s="53">
        <v>2459371719</v>
      </c>
    </row>
    <row r="84" spans="1:8" x14ac:dyDescent="0.3">
      <c r="A84" s="51" t="s">
        <v>56</v>
      </c>
      <c r="B84" s="51" t="s">
        <v>183</v>
      </c>
      <c r="C84" s="51" t="s">
        <v>79</v>
      </c>
      <c r="D84" s="52" t="s">
        <v>59</v>
      </c>
      <c r="E84">
        <v>68850</v>
      </c>
    </row>
    <row r="85" spans="1:8" x14ac:dyDescent="0.3">
      <c r="A85" s="53">
        <v>70010</v>
      </c>
      <c r="B85" s="53">
        <v>1738</v>
      </c>
      <c r="C85" s="53">
        <v>133091815</v>
      </c>
      <c r="D85" s="54">
        <v>2.3994395080161905</v>
      </c>
      <c r="F85" s="53">
        <v>70010</v>
      </c>
      <c r="G85" s="53">
        <v>1738</v>
      </c>
      <c r="H85" s="53">
        <v>133091815</v>
      </c>
    </row>
    <row r="86" spans="1:8" x14ac:dyDescent="0.3">
      <c r="A86" s="53">
        <v>80010</v>
      </c>
      <c r="B86" s="53">
        <v>2309</v>
      </c>
      <c r="C86" s="53">
        <v>196281553</v>
      </c>
      <c r="D86" s="54">
        <v>2.2133595647213822</v>
      </c>
      <c r="F86" s="53">
        <v>80010</v>
      </c>
      <c r="G86" s="53">
        <v>2309</v>
      </c>
      <c r="H86" s="53">
        <v>196281553</v>
      </c>
    </row>
    <row r="87" spans="1:8" x14ac:dyDescent="0.3">
      <c r="A87" s="53">
        <v>90010</v>
      </c>
      <c r="B87" s="53">
        <v>1861</v>
      </c>
      <c r="C87" s="53">
        <v>176712533</v>
      </c>
      <c r="D87" s="54">
        <v>2.1235125343401942</v>
      </c>
      <c r="F87" s="53">
        <v>90010</v>
      </c>
      <c r="G87" s="53">
        <v>1861</v>
      </c>
      <c r="H87" s="53">
        <v>176712533</v>
      </c>
    </row>
    <row r="88" spans="1:8" x14ac:dyDescent="0.3">
      <c r="A88" s="53">
        <v>100010</v>
      </c>
      <c r="B88" s="53">
        <v>3850</v>
      </c>
      <c r="C88" s="53">
        <v>428381058</v>
      </c>
      <c r="D88" s="54">
        <v>2.0459943565751892</v>
      </c>
      <c r="F88" s="53">
        <v>100010</v>
      </c>
      <c r="G88" s="53">
        <v>3850</v>
      </c>
      <c r="H88" s="53">
        <v>428381058</v>
      </c>
    </row>
    <row r="89" spans="1:8" x14ac:dyDescent="0.3">
      <c r="A89" s="53">
        <v>125010</v>
      </c>
      <c r="B89" s="53">
        <v>2368</v>
      </c>
      <c r="C89" s="53">
        <v>323403344</v>
      </c>
      <c r="D89" s="54">
        <v>1.9418371639541063</v>
      </c>
      <c r="F89" s="53">
        <v>125010</v>
      </c>
      <c r="G89" s="53">
        <v>2368</v>
      </c>
      <c r="H89" s="53">
        <v>323403344</v>
      </c>
    </row>
    <row r="90" spans="1:8" x14ac:dyDescent="0.3">
      <c r="A90" s="53">
        <v>150010</v>
      </c>
      <c r="B90" s="53">
        <v>2794</v>
      </c>
      <c r="C90" s="53">
        <v>482497566</v>
      </c>
      <c r="D90" s="54">
        <v>1.8556893902359848</v>
      </c>
      <c r="F90" s="53">
        <v>150010</v>
      </c>
      <c r="G90" s="53">
        <v>2794</v>
      </c>
      <c r="H90" s="53">
        <v>482497566</v>
      </c>
    </row>
    <row r="91" spans="1:8" x14ac:dyDescent="0.3">
      <c r="A91" s="53">
        <v>200010</v>
      </c>
      <c r="B91" s="53">
        <v>3407</v>
      </c>
      <c r="C91" s="53">
        <v>916304624</v>
      </c>
      <c r="D91" s="54">
        <v>1.7380132001842685</v>
      </c>
      <c r="F91" s="53">
        <v>200010</v>
      </c>
      <c r="G91" s="53">
        <v>3407</v>
      </c>
      <c r="H91" s="53">
        <v>916304624</v>
      </c>
    </row>
    <row r="92" spans="1:8" x14ac:dyDescent="0.3">
      <c r="A92" s="53">
        <v>400000</v>
      </c>
      <c r="B92" s="53">
        <v>857</v>
      </c>
      <c r="C92" s="53">
        <v>565947142</v>
      </c>
      <c r="D92" s="54">
        <v>1.6509543232205368</v>
      </c>
      <c r="F92" s="53">
        <v>400000</v>
      </c>
      <c r="G92" s="53">
        <v>857</v>
      </c>
      <c r="H92" s="53">
        <v>565947142</v>
      </c>
    </row>
    <row r="93" spans="1:8" x14ac:dyDescent="0.3">
      <c r="A93" s="51" t="s">
        <v>56</v>
      </c>
      <c r="B93" s="51" t="s">
        <v>184</v>
      </c>
      <c r="C93" s="51" t="s">
        <v>81</v>
      </c>
      <c r="D93" s="52" t="s">
        <v>59</v>
      </c>
      <c r="E93">
        <v>75735</v>
      </c>
    </row>
    <row r="94" spans="1:8" x14ac:dyDescent="0.3">
      <c r="A94" s="53">
        <v>70010</v>
      </c>
      <c r="B94" s="53">
        <v>15</v>
      </c>
      <c r="C94" s="53">
        <v>1141491</v>
      </c>
      <c r="D94" s="54">
        <v>2.475062916302214</v>
      </c>
      <c r="F94" s="53">
        <v>70010</v>
      </c>
      <c r="G94" s="2">
        <v>435.06453009961024</v>
      </c>
      <c r="H94" s="2">
        <v>33316184.092680812</v>
      </c>
    </row>
    <row r="95" spans="1:8" x14ac:dyDescent="0.3">
      <c r="A95" s="53">
        <v>80010</v>
      </c>
      <c r="B95" s="53">
        <v>578</v>
      </c>
      <c r="C95" s="53">
        <v>49000429</v>
      </c>
      <c r="D95" s="54">
        <v>2.1700257946480095</v>
      </c>
      <c r="F95" s="53">
        <v>80010</v>
      </c>
      <c r="G95" s="55">
        <v>578</v>
      </c>
      <c r="H95" s="55">
        <v>49000429</v>
      </c>
    </row>
    <row r="96" spans="1:8" x14ac:dyDescent="0.3">
      <c r="A96" s="53">
        <v>90010</v>
      </c>
      <c r="B96" s="53">
        <v>524</v>
      </c>
      <c r="C96" s="53">
        <v>49608663</v>
      </c>
      <c r="D96" s="54">
        <v>2.0851647249125174</v>
      </c>
      <c r="F96" s="53">
        <v>90010</v>
      </c>
      <c r="G96" s="55">
        <v>524</v>
      </c>
      <c r="H96" s="55">
        <v>49608663</v>
      </c>
    </row>
    <row r="97" spans="1:8" x14ac:dyDescent="0.3">
      <c r="A97" s="53">
        <v>100010</v>
      </c>
      <c r="B97" s="53">
        <v>876</v>
      </c>
      <c r="C97" s="53">
        <v>98039460</v>
      </c>
      <c r="D97" s="54">
        <v>2.0324675620673229</v>
      </c>
      <c r="F97" s="53">
        <v>100010</v>
      </c>
      <c r="G97" s="55">
        <v>876</v>
      </c>
      <c r="H97" s="55">
        <v>98039460</v>
      </c>
    </row>
    <row r="98" spans="1:8" x14ac:dyDescent="0.3">
      <c r="A98" s="53">
        <v>125010</v>
      </c>
      <c r="B98" s="53">
        <v>563</v>
      </c>
      <c r="C98" s="53">
        <v>76875188</v>
      </c>
      <c r="D98" s="54">
        <v>1.9102555951829359</v>
      </c>
      <c r="F98" s="53">
        <v>125010</v>
      </c>
      <c r="G98" s="55">
        <v>563</v>
      </c>
      <c r="H98" s="55">
        <v>76875188</v>
      </c>
    </row>
    <row r="99" spans="1:8" x14ac:dyDescent="0.3">
      <c r="A99" s="53">
        <v>150010</v>
      </c>
      <c r="B99" s="53">
        <v>703</v>
      </c>
      <c r="C99" s="53">
        <v>121228788</v>
      </c>
      <c r="D99" s="54">
        <v>1.8191200160368233</v>
      </c>
      <c r="F99" s="53">
        <v>150010</v>
      </c>
      <c r="G99" s="55">
        <v>703</v>
      </c>
      <c r="H99" s="55">
        <v>121228788</v>
      </c>
    </row>
    <row r="100" spans="1:8" x14ac:dyDescent="0.3">
      <c r="A100" s="53">
        <v>200010</v>
      </c>
      <c r="B100" s="53">
        <v>782</v>
      </c>
      <c r="C100" s="53">
        <v>210111805</v>
      </c>
      <c r="D100" s="54">
        <v>1.7224087730704742</v>
      </c>
      <c r="F100" s="53">
        <v>200010</v>
      </c>
      <c r="G100" s="55">
        <v>782</v>
      </c>
      <c r="H100" s="55">
        <v>210111805</v>
      </c>
    </row>
    <row r="101" spans="1:8" x14ac:dyDescent="0.3">
      <c r="A101" s="53">
        <v>400000</v>
      </c>
      <c r="B101" s="53">
        <v>204</v>
      </c>
      <c r="C101" s="53">
        <v>129564188</v>
      </c>
      <c r="D101" s="54">
        <v>1.5877964215686273</v>
      </c>
      <c r="F101" s="53">
        <v>400000</v>
      </c>
      <c r="G101" s="55">
        <v>204</v>
      </c>
      <c r="H101" s="55">
        <v>129564188</v>
      </c>
    </row>
    <row r="102" spans="1:8" x14ac:dyDescent="0.3">
      <c r="A102" s="51" t="s">
        <v>56</v>
      </c>
      <c r="B102" s="51" t="s">
        <v>185</v>
      </c>
      <c r="C102" s="51" t="s">
        <v>83</v>
      </c>
      <c r="D102" s="52" t="s">
        <v>59</v>
      </c>
      <c r="E102">
        <v>82620</v>
      </c>
      <c r="G102" s="2"/>
      <c r="H102" s="2"/>
    </row>
    <row r="103" spans="1:8" x14ac:dyDescent="0.3">
      <c r="A103" s="53">
        <v>70010</v>
      </c>
      <c r="B103" s="53">
        <v>1</v>
      </c>
      <c r="C103" s="53">
        <v>74604</v>
      </c>
      <c r="D103" s="54">
        <v>2.6747327894956805</v>
      </c>
      <c r="F103" s="53">
        <v>70010</v>
      </c>
      <c r="G103" s="2">
        <v>190.96343878418008</v>
      </c>
      <c r="H103" s="2">
        <v>14623515.918543106</v>
      </c>
    </row>
    <row r="104" spans="1:8" x14ac:dyDescent="0.3">
      <c r="A104" s="53">
        <v>80010</v>
      </c>
      <c r="B104" s="53">
        <v>48</v>
      </c>
      <c r="C104" s="53">
        <v>4241971</v>
      </c>
      <c r="D104" s="54">
        <v>2.3413026506337729</v>
      </c>
      <c r="F104" s="53">
        <v>80010</v>
      </c>
      <c r="G104" s="2">
        <v>253.70229007633588</v>
      </c>
      <c r="H104" s="2">
        <v>21507821.889312979</v>
      </c>
    </row>
    <row r="105" spans="1:8" x14ac:dyDescent="0.3">
      <c r="A105" s="53">
        <v>90010</v>
      </c>
      <c r="B105" s="53">
        <v>230</v>
      </c>
      <c r="C105" s="53">
        <v>21867673</v>
      </c>
      <c r="D105" s="54">
        <v>2.1147763693559476</v>
      </c>
      <c r="F105" s="53">
        <v>90010</v>
      </c>
      <c r="G105" s="53">
        <v>230</v>
      </c>
      <c r="H105" s="53">
        <v>21867673</v>
      </c>
    </row>
    <row r="106" spans="1:8" x14ac:dyDescent="0.3">
      <c r="A106" s="53">
        <v>100010</v>
      </c>
      <c r="B106" s="53">
        <v>402</v>
      </c>
      <c r="C106" s="53">
        <v>45122408</v>
      </c>
      <c r="D106" s="54">
        <v>2.0667119044993338</v>
      </c>
      <c r="F106" s="53">
        <v>100010</v>
      </c>
      <c r="G106" s="53">
        <v>402</v>
      </c>
      <c r="H106" s="53">
        <v>45122408</v>
      </c>
    </row>
    <row r="107" spans="1:8" x14ac:dyDescent="0.3">
      <c r="A107" s="53">
        <v>125010</v>
      </c>
      <c r="B107" s="53">
        <v>253</v>
      </c>
      <c r="C107" s="53">
        <v>34588184</v>
      </c>
      <c r="D107" s="54">
        <v>1.9768503546340361</v>
      </c>
      <c r="F107" s="53">
        <v>125010</v>
      </c>
      <c r="G107" s="53">
        <v>253</v>
      </c>
      <c r="H107" s="53">
        <v>34588184</v>
      </c>
    </row>
    <row r="108" spans="1:8" x14ac:dyDescent="0.3">
      <c r="A108" s="53">
        <v>150010</v>
      </c>
      <c r="B108" s="53">
        <v>253</v>
      </c>
      <c r="C108" s="53">
        <v>43774150</v>
      </c>
      <c r="D108" s="54">
        <v>1.9188535050044282</v>
      </c>
      <c r="F108" s="53">
        <v>150010</v>
      </c>
      <c r="G108" s="53">
        <v>253</v>
      </c>
      <c r="H108" s="53">
        <v>43774150</v>
      </c>
    </row>
    <row r="109" spans="1:8" x14ac:dyDescent="0.3">
      <c r="A109" s="53">
        <v>200010</v>
      </c>
      <c r="B109" s="53">
        <v>347</v>
      </c>
      <c r="C109" s="53">
        <v>94628322</v>
      </c>
      <c r="D109" s="54">
        <v>1.774611488825097</v>
      </c>
      <c r="F109" s="53">
        <v>200010</v>
      </c>
      <c r="G109" s="53">
        <v>347</v>
      </c>
      <c r="H109" s="53">
        <v>94628322</v>
      </c>
    </row>
    <row r="110" spans="1:8" x14ac:dyDescent="0.3">
      <c r="A110" s="53">
        <v>400000</v>
      </c>
      <c r="B110" s="53">
        <v>86</v>
      </c>
      <c r="C110" s="53">
        <v>59060717</v>
      </c>
      <c r="D110" s="54">
        <v>1.7168813081395349</v>
      </c>
      <c r="F110" s="53">
        <v>400000</v>
      </c>
      <c r="G110" s="53">
        <v>86</v>
      </c>
      <c r="H110" s="53">
        <v>59060717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topLeftCell="C1" workbookViewId="0">
      <selection activeCell="O4" sqref="O4:O13"/>
    </sheetView>
  </sheetViews>
  <sheetFormatPr baseColWidth="10" defaultRowHeight="15.6" x14ac:dyDescent="0.3"/>
  <cols>
    <col min="8" max="8" width="11.796875" bestFit="1" customWidth="1"/>
    <col min="12" max="12" width="13.296875" bestFit="1" customWidth="1"/>
  </cols>
  <sheetData>
    <row r="1" spans="1:16" x14ac:dyDescent="0.3">
      <c r="A1" s="79" t="s">
        <v>246</v>
      </c>
      <c r="B1" s="79"/>
      <c r="C1" s="79"/>
      <c r="D1" s="79"/>
      <c r="E1" s="3" t="s">
        <v>205</v>
      </c>
      <c r="F1" s="3"/>
      <c r="G1" s="3"/>
      <c r="H1" s="3"/>
      <c r="I1" s="3"/>
      <c r="J1" s="3"/>
    </row>
    <row r="2" spans="1:16" x14ac:dyDescent="0.3">
      <c r="A2" s="79" t="s">
        <v>206</v>
      </c>
      <c r="B2" s="79"/>
      <c r="C2" s="79"/>
      <c r="D2" s="79"/>
      <c r="E2" s="3"/>
      <c r="F2" s="79" t="s">
        <v>207</v>
      </c>
      <c r="G2" s="79"/>
      <c r="H2" s="79"/>
      <c r="I2" s="3"/>
      <c r="J2" s="3" t="s">
        <v>2</v>
      </c>
    </row>
    <row r="3" spans="1:16" x14ac:dyDescent="0.3">
      <c r="A3" s="51" t="s">
        <v>56</v>
      </c>
      <c r="B3" s="51" t="s">
        <v>57</v>
      </c>
      <c r="C3" s="51" t="s">
        <v>58</v>
      </c>
      <c r="D3" s="52" t="s">
        <v>59</v>
      </c>
      <c r="E3">
        <v>14820</v>
      </c>
      <c r="M3" t="s">
        <v>7</v>
      </c>
      <c r="N3" t="s">
        <v>8</v>
      </c>
      <c r="O3" t="s">
        <v>14</v>
      </c>
    </row>
    <row r="4" spans="1:16" x14ac:dyDescent="0.3">
      <c r="A4" s="51">
        <v>60010</v>
      </c>
      <c r="B4" s="51">
        <v>351183</v>
      </c>
      <c r="C4" s="51">
        <v>22620552909</v>
      </c>
      <c r="D4" s="52"/>
      <c r="F4" s="56">
        <f>A$4</f>
        <v>60010</v>
      </c>
      <c r="G4" s="56">
        <f>B4</f>
        <v>351183</v>
      </c>
      <c r="H4">
        <f>B4*C$4/B$4</f>
        <v>22620552909</v>
      </c>
      <c r="I4">
        <f>F4/6.55973</f>
        <v>9148.2423819273045</v>
      </c>
      <c r="J4" s="51">
        <v>60010</v>
      </c>
      <c r="K4" s="2">
        <f t="shared" ref="K4:L4" si="0">G4+G15+G26+G37+G48+G59+G70+G81+G92+G103+G114+G125</f>
        <v>1410643.2959547942</v>
      </c>
      <c r="L4" s="2">
        <f t="shared" si="0"/>
        <v>90862972615.051346</v>
      </c>
      <c r="M4">
        <f>1-SUM(K4:$K$13)/$K$14</f>
        <v>0.63424465283963416</v>
      </c>
      <c r="N4">
        <f>SUM(L4:$L$13)/(J4*SUM(K4:$K$13))</f>
        <v>1.9786075518127482</v>
      </c>
      <c r="O4">
        <f t="shared" ref="O4:O5" si="1">(G4+G15+G37)/K4</f>
        <v>0.37667353718953756</v>
      </c>
      <c r="P4">
        <f>L4/K4</f>
        <v>64412.437131068436</v>
      </c>
    </row>
    <row r="5" spans="1:16" x14ac:dyDescent="0.3">
      <c r="A5" s="51">
        <v>70010</v>
      </c>
      <c r="B5" s="51">
        <v>209764</v>
      </c>
      <c r="C5" s="51">
        <v>15647318601</v>
      </c>
      <c r="D5" s="52"/>
      <c r="F5" s="56">
        <f>A$5</f>
        <v>70010</v>
      </c>
      <c r="G5" s="56">
        <f>B5</f>
        <v>209764</v>
      </c>
      <c r="H5">
        <f>B5*C$5/B$5</f>
        <v>15647318601</v>
      </c>
      <c r="I5">
        <f t="shared" ref="I5:I13" si="2">F5/6.55973</f>
        <v>10672.695370083829</v>
      </c>
      <c r="J5" s="51">
        <v>70010</v>
      </c>
      <c r="K5" s="2">
        <f t="shared" ref="K5:L5" si="3">G5+G16+G27+G38+G49+G60+G71+G82+G93+G104+G115+G126</f>
        <v>1267099.9717192997</v>
      </c>
      <c r="L5" s="2">
        <f t="shared" si="3"/>
        <v>94495658650.821732</v>
      </c>
      <c r="M5">
        <f>1-SUM(K5:$K$13)/$K$14</f>
        <v>0.69165263960305623</v>
      </c>
      <c r="N5">
        <f>SUM(L5:$L$13)/(J5*SUM(K5:$K$13))</f>
        <v>1.8404545445572951</v>
      </c>
      <c r="O5">
        <f t="shared" si="1"/>
        <v>0.27338647915047043</v>
      </c>
      <c r="P5">
        <f t="shared" ref="P5:P13" si="4">L5/K5</f>
        <v>74576.32448890571</v>
      </c>
    </row>
    <row r="6" spans="1:16" x14ac:dyDescent="0.3">
      <c r="A6" s="53">
        <v>80010</v>
      </c>
      <c r="B6" s="53">
        <v>127829</v>
      </c>
      <c r="C6" s="53">
        <v>10818077119</v>
      </c>
      <c r="D6" s="54">
        <v>1.5309772876415777</v>
      </c>
      <c r="F6" s="53">
        <v>80010</v>
      </c>
      <c r="G6" s="53">
        <v>127829</v>
      </c>
      <c r="H6" s="53">
        <v>10818077119</v>
      </c>
      <c r="I6">
        <f t="shared" si="2"/>
        <v>12197.148358240354</v>
      </c>
      <c r="J6" s="53">
        <v>80010</v>
      </c>
      <c r="K6" s="2">
        <f t="shared" ref="K6:L13" si="5">G6+G17+G28+G39+G50+G61+G72+G83+G94+G105+G116+G127</f>
        <v>1197546.8811940299</v>
      </c>
      <c r="L6" s="2">
        <f t="shared" si="5"/>
        <v>101659621777.40802</v>
      </c>
      <c r="M6">
        <f>1-SUM(K6:$K$13)/$K$14</f>
        <v>0.74321894173839431</v>
      </c>
      <c r="N6">
        <f>SUM(L6:$L$13)/(J6*SUM(K6:$K$13))</f>
        <v>1.7466492633282771</v>
      </c>
      <c r="O6">
        <f t="shared" ref="O6:O13" si="6">(G6+G17+G39)/K6</f>
        <v>0.18260495971728824</v>
      </c>
      <c r="P6">
        <f t="shared" si="4"/>
        <v>84889.888967058185</v>
      </c>
    </row>
    <row r="7" spans="1:16" x14ac:dyDescent="0.3">
      <c r="A7" s="53">
        <v>90010</v>
      </c>
      <c r="B7" s="53">
        <v>78291</v>
      </c>
      <c r="C7" s="53">
        <v>7411793851</v>
      </c>
      <c r="D7" s="54">
        <v>1.5508492634832698</v>
      </c>
      <c r="F7" s="53">
        <v>90010</v>
      </c>
      <c r="G7" s="53">
        <v>78291</v>
      </c>
      <c r="H7" s="53">
        <v>7411793851</v>
      </c>
      <c r="I7">
        <f t="shared" si="2"/>
        <v>13721.601346396879</v>
      </c>
      <c r="J7" s="53">
        <v>90010</v>
      </c>
      <c r="K7" s="2">
        <f t="shared" si="5"/>
        <v>991872</v>
      </c>
      <c r="L7" s="2">
        <f t="shared" si="5"/>
        <v>94070286815</v>
      </c>
      <c r="M7">
        <f>1-SUM(K7:$K$13)/$K$14</f>
        <v>0.79195468925253221</v>
      </c>
      <c r="N7">
        <f>SUM(L7:$L$13)/(J7*SUM(K7:$K$13))</f>
        <v>1.6953732771294341</v>
      </c>
      <c r="O7">
        <f t="shared" si="6"/>
        <v>0.1417461124016002</v>
      </c>
      <c r="P7">
        <f t="shared" si="4"/>
        <v>94841.155728763391</v>
      </c>
    </row>
    <row r="8" spans="1:16" x14ac:dyDescent="0.3">
      <c r="A8" s="53">
        <v>100010</v>
      </c>
      <c r="B8" s="53">
        <v>101146</v>
      </c>
      <c r="C8" s="53">
        <v>11181794781</v>
      </c>
      <c r="D8" s="54">
        <v>1.567504550671974</v>
      </c>
      <c r="F8" s="53">
        <v>100010</v>
      </c>
      <c r="G8" s="53">
        <v>101146</v>
      </c>
      <c r="H8" s="53">
        <v>11181794781</v>
      </c>
      <c r="I8">
        <f t="shared" si="2"/>
        <v>15246.054334553404</v>
      </c>
      <c r="J8" s="53">
        <v>100010</v>
      </c>
      <c r="K8" s="2">
        <f t="shared" si="5"/>
        <v>1679359</v>
      </c>
      <c r="L8" s="2">
        <f t="shared" si="5"/>
        <v>186890143822</v>
      </c>
      <c r="M8">
        <f>1-SUM(K8:$K$13)/$K$14</f>
        <v>0.83232022660013527</v>
      </c>
      <c r="N8">
        <f>SUM(L8:$L$13)/(J8*SUM(K8:$K$13))</f>
        <v>1.6648831351115614</v>
      </c>
      <c r="O8">
        <f t="shared" si="6"/>
        <v>0.10789890666617441</v>
      </c>
      <c r="P8">
        <f t="shared" si="4"/>
        <v>111286.59436249187</v>
      </c>
    </row>
    <row r="9" spans="1:16" x14ac:dyDescent="0.3">
      <c r="A9" s="53">
        <v>125010</v>
      </c>
      <c r="B9" s="53">
        <v>42226</v>
      </c>
      <c r="C9" s="53">
        <v>5741621675</v>
      </c>
      <c r="D9" s="54">
        <v>1.6148306088387359</v>
      </c>
      <c r="F9" s="53">
        <v>125010</v>
      </c>
      <c r="G9" s="53">
        <v>42226</v>
      </c>
      <c r="H9" s="53">
        <v>5741621675</v>
      </c>
      <c r="I9">
        <f t="shared" si="2"/>
        <v>19057.186804944715</v>
      </c>
      <c r="J9" s="53">
        <v>125010</v>
      </c>
      <c r="K9" s="2">
        <f t="shared" si="5"/>
        <v>923864</v>
      </c>
      <c r="L9" s="2">
        <f t="shared" si="5"/>
        <v>125908360460</v>
      </c>
      <c r="M9">
        <f>1-SUM(K9:$K$13)/$K$14</f>
        <v>0.90066395284155865</v>
      </c>
      <c r="N9">
        <f>SUM(L9:$L$13)/(J9*SUM(K9:$K$13))</f>
        <v>1.6358330676708863</v>
      </c>
      <c r="O9">
        <f t="shared" si="6"/>
        <v>8.4153078808136259E-2</v>
      </c>
      <c r="P9">
        <f t="shared" si="4"/>
        <v>136284.51856550315</v>
      </c>
    </row>
    <row r="10" spans="1:16" x14ac:dyDescent="0.3">
      <c r="A10" s="53">
        <v>150010</v>
      </c>
      <c r="B10" s="53">
        <v>33242</v>
      </c>
      <c r="C10" s="53">
        <v>5665455767</v>
      </c>
      <c r="D10" s="54">
        <v>1.6477525364437264</v>
      </c>
      <c r="F10" s="53">
        <v>150010</v>
      </c>
      <c r="G10" s="53">
        <v>33242</v>
      </c>
      <c r="H10" s="53">
        <v>5665455767</v>
      </c>
      <c r="I10">
        <f t="shared" si="2"/>
        <v>22868.319275336027</v>
      </c>
      <c r="J10" s="53">
        <v>150010</v>
      </c>
      <c r="K10" s="2">
        <f t="shared" si="5"/>
        <v>807412</v>
      </c>
      <c r="L10" s="2">
        <f t="shared" si="5"/>
        <v>137692317021</v>
      </c>
      <c r="M10">
        <f>1-SUM(K10:$K$13)/$K$14</f>
        <v>0.93826181506179052</v>
      </c>
      <c r="N10">
        <f>SUM(L10:$L$13)/(J10*SUM(K10:$K$13))</f>
        <v>1.6401253881882005</v>
      </c>
      <c r="O10">
        <f t="shared" si="6"/>
        <v>7.7748410972341253E-2</v>
      </c>
      <c r="P10">
        <f t="shared" si="4"/>
        <v>170535.38592564885</v>
      </c>
    </row>
    <row r="11" spans="1:16" x14ac:dyDescent="0.3">
      <c r="A11" s="53">
        <v>200010</v>
      </c>
      <c r="B11" s="53">
        <v>12301</v>
      </c>
      <c r="C11" s="53">
        <v>2725991140</v>
      </c>
      <c r="D11" s="54">
        <v>1.6886487883628538</v>
      </c>
      <c r="F11" s="53">
        <v>200010</v>
      </c>
      <c r="G11" s="53">
        <v>12301</v>
      </c>
      <c r="H11" s="53">
        <v>2725991140</v>
      </c>
      <c r="I11">
        <f t="shared" si="2"/>
        <v>30490.584216118652</v>
      </c>
      <c r="J11" s="53">
        <v>200010</v>
      </c>
      <c r="K11" s="2">
        <f t="shared" si="5"/>
        <v>306695</v>
      </c>
      <c r="L11" s="2">
        <f t="shared" si="5"/>
        <v>67962442099</v>
      </c>
      <c r="M11">
        <f>1-SUM(K11:$K$13)/$K$14</f>
        <v>0.97112050977330855</v>
      </c>
      <c r="N11">
        <f>SUM(L11:$L$13)/(J11*SUM(K11:$K$13))</f>
        <v>1.6596064749658799</v>
      </c>
      <c r="O11">
        <f t="shared" si="6"/>
        <v>7.8305808702456833E-2</v>
      </c>
      <c r="P11">
        <f t="shared" si="4"/>
        <v>221596.1854578653</v>
      </c>
    </row>
    <row r="12" spans="1:16" x14ac:dyDescent="0.3">
      <c r="A12" s="53">
        <v>250010</v>
      </c>
      <c r="B12" s="53">
        <v>12983</v>
      </c>
      <c r="C12" s="53">
        <v>4250969972</v>
      </c>
      <c r="D12" s="54">
        <v>1.7110240855977961</v>
      </c>
      <c r="F12" s="53">
        <v>250010</v>
      </c>
      <c r="G12" s="53">
        <v>12983</v>
      </c>
      <c r="H12" s="53">
        <v>4250969972</v>
      </c>
      <c r="I12">
        <f t="shared" si="2"/>
        <v>38112.849156901277</v>
      </c>
      <c r="J12" s="53">
        <v>250010</v>
      </c>
      <c r="K12" s="2">
        <f t="shared" si="5"/>
        <v>333631</v>
      </c>
      <c r="L12" s="2">
        <f t="shared" si="5"/>
        <v>109281032540</v>
      </c>
      <c r="M12">
        <f>1-SUM(K12:$K$13)/$K$14</f>
        <v>0.98360186671938943</v>
      </c>
      <c r="N12">
        <f>SUM(L12:$L$13)/(J12*SUM(K12:$K$13))</f>
        <v>1.6636291634543696</v>
      </c>
      <c r="O12">
        <f t="shared" si="6"/>
        <v>7.8014333200451993E-2</v>
      </c>
      <c r="P12">
        <f t="shared" si="4"/>
        <v>327550.5949387197</v>
      </c>
    </row>
    <row r="13" spans="1:16" x14ac:dyDescent="0.3">
      <c r="A13" s="53">
        <v>500010</v>
      </c>
      <c r="B13" s="53">
        <v>2886</v>
      </c>
      <c r="C13" s="53">
        <v>2537361854</v>
      </c>
      <c r="D13" s="54">
        <v>1.7583583560484022</v>
      </c>
      <c r="F13" s="53">
        <v>500010</v>
      </c>
      <c r="G13" s="53">
        <v>2886</v>
      </c>
      <c r="H13" s="53">
        <v>2537361854</v>
      </c>
      <c r="I13">
        <f t="shared" si="2"/>
        <v>76224.173860814393</v>
      </c>
      <c r="J13" s="53">
        <v>500010</v>
      </c>
      <c r="K13" s="2">
        <f t="shared" si="5"/>
        <v>69308</v>
      </c>
      <c r="L13" s="2">
        <f t="shared" si="5"/>
        <v>58310938744</v>
      </c>
      <c r="M13">
        <f>1-SUM(K13:$K$13)/$K$14</f>
        <v>0.99717941966051293</v>
      </c>
      <c r="N13">
        <f>SUM(L13:$L$13)/(J13*SUM(K13:$K$13))</f>
        <v>1.6826274758627873</v>
      </c>
      <c r="O13">
        <f t="shared" si="6"/>
        <v>9.0206036821146182E-2</v>
      </c>
      <c r="P13">
        <f t="shared" si="4"/>
        <v>841330.56420615222</v>
      </c>
    </row>
    <row r="14" spans="1:16" x14ac:dyDescent="0.3">
      <c r="A14" s="51" t="s">
        <v>56</v>
      </c>
      <c r="B14" s="51" t="s">
        <v>87</v>
      </c>
      <c r="C14" s="51" t="s">
        <v>61</v>
      </c>
      <c r="D14" s="52" t="s">
        <v>59</v>
      </c>
      <c r="K14" s="61">
        <v>24572248.139758773</v>
      </c>
    </row>
    <row r="15" spans="1:16" x14ac:dyDescent="0.3">
      <c r="A15" s="51"/>
      <c r="B15" s="51">
        <v>120009</v>
      </c>
      <c r="C15" s="51"/>
      <c r="D15" s="52"/>
      <c r="F15" s="56">
        <f>A$4</f>
        <v>60010</v>
      </c>
      <c r="G15" s="56">
        <f>B15</f>
        <v>120009</v>
      </c>
      <c r="H15">
        <f>B15*C$4/B$4</f>
        <v>7730072167.6623898</v>
      </c>
      <c r="I15">
        <f>H15/G15</f>
        <v>64412.437131068415</v>
      </c>
      <c r="K15" s="61"/>
    </row>
    <row r="16" spans="1:16" x14ac:dyDescent="0.3">
      <c r="A16" s="51"/>
      <c r="B16" s="51">
        <v>98598</v>
      </c>
      <c r="C16" s="51"/>
      <c r="D16" s="52"/>
      <c r="F16" s="56">
        <f>A$5</f>
        <v>70010</v>
      </c>
      <c r="G16" s="56">
        <f>B16</f>
        <v>98598</v>
      </c>
      <c r="H16">
        <f>B16*C$5/B$5</f>
        <v>7354905128.7227459</v>
      </c>
      <c r="I16">
        <f t="shared" ref="I16:I24" si="7">H16/G16</f>
        <v>74594.871384031576</v>
      </c>
      <c r="K16" s="61"/>
    </row>
    <row r="17" spans="1:9" x14ac:dyDescent="0.3">
      <c r="A17" s="53">
        <v>80010</v>
      </c>
      <c r="B17" s="53">
        <v>67358</v>
      </c>
      <c r="C17" s="53">
        <v>5707983874</v>
      </c>
      <c r="D17" s="54">
        <v>1.6483301600214555</v>
      </c>
      <c r="F17" s="53">
        <v>80010</v>
      </c>
      <c r="G17" s="53">
        <v>67358</v>
      </c>
      <c r="H17" s="53">
        <v>5707983874</v>
      </c>
      <c r="I17">
        <f t="shared" si="7"/>
        <v>84740.994002197214</v>
      </c>
    </row>
    <row r="18" spans="1:9" x14ac:dyDescent="0.3">
      <c r="A18" s="53">
        <v>90010</v>
      </c>
      <c r="B18" s="53">
        <v>47571</v>
      </c>
      <c r="C18" s="53">
        <v>4502895695</v>
      </c>
      <c r="D18" s="54">
        <v>1.6620837418339949</v>
      </c>
      <c r="F18" s="53">
        <v>90010</v>
      </c>
      <c r="G18" s="53">
        <v>47571</v>
      </c>
      <c r="H18" s="53">
        <v>4502895695</v>
      </c>
      <c r="I18">
        <f t="shared" si="7"/>
        <v>94656.317819680058</v>
      </c>
    </row>
    <row r="19" spans="1:9" x14ac:dyDescent="0.3">
      <c r="A19" s="53">
        <v>100010</v>
      </c>
      <c r="B19" s="53">
        <v>60727</v>
      </c>
      <c r="C19" s="53">
        <v>6717060679</v>
      </c>
      <c r="D19" s="54">
        <v>1.6944774199924364</v>
      </c>
      <c r="F19" s="53">
        <v>100010</v>
      </c>
      <c r="G19" s="53">
        <v>60727</v>
      </c>
      <c r="H19" s="53">
        <v>6717060679</v>
      </c>
      <c r="I19">
        <f t="shared" si="7"/>
        <v>110610.77739720388</v>
      </c>
    </row>
    <row r="20" spans="1:9" x14ac:dyDescent="0.3">
      <c r="A20" s="53">
        <v>125010</v>
      </c>
      <c r="B20" s="53">
        <v>26891</v>
      </c>
      <c r="C20" s="53">
        <v>3661128215</v>
      </c>
      <c r="D20" s="54">
        <v>1.7589253608226585</v>
      </c>
      <c r="F20" s="53">
        <v>125010</v>
      </c>
      <c r="G20" s="53">
        <v>26891</v>
      </c>
      <c r="H20" s="53">
        <v>3661128215</v>
      </c>
      <c r="I20">
        <f t="shared" si="7"/>
        <v>136146.97166338179</v>
      </c>
    </row>
    <row r="21" spans="1:9" x14ac:dyDescent="0.3">
      <c r="A21" s="53">
        <v>150010</v>
      </c>
      <c r="B21" s="53">
        <v>22524</v>
      </c>
      <c r="C21" s="53">
        <v>3848521145</v>
      </c>
      <c r="D21" s="54">
        <v>1.8069735725834177</v>
      </c>
      <c r="F21" s="53">
        <v>150010</v>
      </c>
      <c r="G21" s="53">
        <v>22524</v>
      </c>
      <c r="H21" s="53">
        <v>3848521145</v>
      </c>
      <c r="I21">
        <f t="shared" si="7"/>
        <v>170863.1302166578</v>
      </c>
    </row>
    <row r="22" spans="1:9" x14ac:dyDescent="0.3">
      <c r="A22" s="53">
        <v>200010</v>
      </c>
      <c r="B22" s="53">
        <v>8877</v>
      </c>
      <c r="C22" s="53">
        <v>1968752660</v>
      </c>
      <c r="D22" s="54">
        <v>1.8807776186265204</v>
      </c>
      <c r="F22" s="53">
        <v>200010</v>
      </c>
      <c r="G22" s="53">
        <v>8877</v>
      </c>
      <c r="H22" s="53">
        <v>1968752660</v>
      </c>
      <c r="I22">
        <f t="shared" si="7"/>
        <v>221781.30674777515</v>
      </c>
    </row>
    <row r="23" spans="1:9" x14ac:dyDescent="0.3">
      <c r="A23" s="53">
        <v>250010</v>
      </c>
      <c r="B23" s="53">
        <v>9887</v>
      </c>
      <c r="C23" s="53">
        <v>3250999800</v>
      </c>
      <c r="D23" s="54">
        <v>1.9398867033806144</v>
      </c>
      <c r="F23" s="53">
        <v>250010</v>
      </c>
      <c r="G23" s="53">
        <v>9887</v>
      </c>
      <c r="H23" s="53">
        <v>3250999800</v>
      </c>
      <c r="I23">
        <f t="shared" si="7"/>
        <v>328815.59623748355</v>
      </c>
    </row>
    <row r="24" spans="1:9" x14ac:dyDescent="0.3">
      <c r="A24" s="53">
        <v>500010</v>
      </c>
      <c r="B24" s="53">
        <v>2708</v>
      </c>
      <c r="C24" s="53">
        <v>2857462786</v>
      </c>
      <c r="D24" s="54">
        <v>2.1103438979964859</v>
      </c>
      <c r="F24" s="53">
        <v>500010</v>
      </c>
      <c r="G24" s="53">
        <v>2708</v>
      </c>
      <c r="H24" s="53">
        <v>2857462786</v>
      </c>
      <c r="I24">
        <f t="shared" si="7"/>
        <v>1055193.052437223</v>
      </c>
    </row>
    <row r="25" spans="1:9" x14ac:dyDescent="0.3">
      <c r="A25" s="51" t="s">
        <v>56</v>
      </c>
      <c r="B25" s="51" t="s">
        <v>186</v>
      </c>
      <c r="C25" s="51" t="s">
        <v>174</v>
      </c>
      <c r="D25" s="52" t="s">
        <v>59</v>
      </c>
    </row>
    <row r="26" spans="1:9" x14ac:dyDescent="0.3">
      <c r="A26" s="51"/>
      <c r="B26" s="51">
        <v>366563</v>
      </c>
      <c r="C26" s="51"/>
      <c r="D26" s="52"/>
      <c r="F26" s="56">
        <f>A$4</f>
        <v>60010</v>
      </c>
      <c r="G26" s="56">
        <f>B26</f>
        <v>366563</v>
      </c>
      <c r="H26">
        <f>B26*C$4/B$4</f>
        <v>23611216192.075832</v>
      </c>
      <c r="I26">
        <f>H26/G26</f>
        <v>64412.437131068415</v>
      </c>
    </row>
    <row r="27" spans="1:9" x14ac:dyDescent="0.3">
      <c r="A27" s="51"/>
      <c r="B27" s="51">
        <v>298505</v>
      </c>
      <c r="C27" s="51"/>
      <c r="D27" s="52"/>
      <c r="F27" s="56">
        <f>A$5</f>
        <v>70010</v>
      </c>
      <c r="G27" s="56">
        <f>B27</f>
        <v>298505</v>
      </c>
      <c r="H27">
        <f>B27*C$5/B$5</f>
        <v>22266942082.490345</v>
      </c>
      <c r="I27">
        <f t="shared" ref="I27:I35" si="8">H27/G27</f>
        <v>74594.871384031576</v>
      </c>
    </row>
    <row r="28" spans="1:9" x14ac:dyDescent="0.3">
      <c r="A28" s="53">
        <v>80010</v>
      </c>
      <c r="B28" s="53">
        <v>366210</v>
      </c>
      <c r="C28" s="53">
        <v>31080231205</v>
      </c>
      <c r="D28" s="54">
        <v>1.7314956575553704</v>
      </c>
      <c r="F28" s="53">
        <v>80010</v>
      </c>
      <c r="G28" s="53">
        <v>366210</v>
      </c>
      <c r="H28" s="53">
        <v>31080231205</v>
      </c>
      <c r="I28">
        <f t="shared" si="8"/>
        <v>84869.968610906304</v>
      </c>
    </row>
    <row r="29" spans="1:9" x14ac:dyDescent="0.3">
      <c r="A29" s="53">
        <v>90010</v>
      </c>
      <c r="B29" s="53">
        <v>298505</v>
      </c>
      <c r="C29" s="53">
        <v>28305410809</v>
      </c>
      <c r="D29" s="54">
        <v>1.6872686938248784</v>
      </c>
      <c r="F29" s="53">
        <v>90010</v>
      </c>
      <c r="G29" s="53">
        <v>298505</v>
      </c>
      <c r="H29" s="53">
        <v>28305410809</v>
      </c>
      <c r="I29">
        <f t="shared" si="8"/>
        <v>94823.908507395186</v>
      </c>
    </row>
    <row r="30" spans="1:9" x14ac:dyDescent="0.3">
      <c r="A30" s="53">
        <v>100010</v>
      </c>
      <c r="B30" s="53">
        <v>492326</v>
      </c>
      <c r="C30" s="53">
        <v>54766073047</v>
      </c>
      <c r="D30" s="54">
        <v>1.6634193727458673</v>
      </c>
      <c r="F30" s="53">
        <v>100010</v>
      </c>
      <c r="G30" s="53">
        <v>492326</v>
      </c>
      <c r="H30" s="53">
        <v>54766073047</v>
      </c>
      <c r="I30">
        <f t="shared" si="8"/>
        <v>111239.44915970313</v>
      </c>
    </row>
    <row r="31" spans="1:9" x14ac:dyDescent="0.3">
      <c r="A31" s="53">
        <v>125010</v>
      </c>
      <c r="B31" s="53">
        <v>263250</v>
      </c>
      <c r="C31" s="53">
        <v>35848234232</v>
      </c>
      <c r="D31" s="54">
        <v>1.6485463706228687</v>
      </c>
      <c r="F31" s="53">
        <v>125010</v>
      </c>
      <c r="G31" s="53">
        <v>263250</v>
      </c>
      <c r="H31" s="53">
        <v>35848234232</v>
      </c>
      <c r="I31">
        <f t="shared" si="8"/>
        <v>136175.62861158594</v>
      </c>
    </row>
    <row r="32" spans="1:9" x14ac:dyDescent="0.3">
      <c r="A32" s="53">
        <v>150010</v>
      </c>
      <c r="B32" s="53">
        <v>224276</v>
      </c>
      <c r="C32" s="53">
        <v>38248693377</v>
      </c>
      <c r="D32" s="54">
        <v>1.6660191937724984</v>
      </c>
      <c r="F32" s="53">
        <v>150010</v>
      </c>
      <c r="G32" s="53">
        <v>224276</v>
      </c>
      <c r="H32" s="53">
        <v>38248693377</v>
      </c>
      <c r="I32">
        <f t="shared" si="8"/>
        <v>170542.96214039845</v>
      </c>
    </row>
    <row r="33" spans="1:9" x14ac:dyDescent="0.3">
      <c r="A33" s="53">
        <v>200010</v>
      </c>
      <c r="B33" s="53">
        <v>84799</v>
      </c>
      <c r="C33" s="53">
        <v>18783116840</v>
      </c>
      <c r="D33" s="54">
        <v>1.704664260175345</v>
      </c>
      <c r="F33" s="53">
        <v>200010</v>
      </c>
      <c r="G33" s="53">
        <v>84799</v>
      </c>
      <c r="H33" s="53">
        <v>18783116840</v>
      </c>
      <c r="I33">
        <f t="shared" si="8"/>
        <v>221501.63138716258</v>
      </c>
    </row>
    <row r="34" spans="1:9" x14ac:dyDescent="0.3">
      <c r="A34" s="53">
        <v>250010</v>
      </c>
      <c r="B34" s="53">
        <v>90356</v>
      </c>
      <c r="C34" s="53">
        <v>29573933850</v>
      </c>
      <c r="D34" s="54">
        <v>1.7295172101390219</v>
      </c>
      <c r="F34" s="53">
        <v>250010</v>
      </c>
      <c r="G34" s="53">
        <v>90356</v>
      </c>
      <c r="H34" s="53">
        <v>29573933850</v>
      </c>
      <c r="I34">
        <f t="shared" si="8"/>
        <v>327304.59349683474</v>
      </c>
    </row>
    <row r="35" spans="1:9" x14ac:dyDescent="0.3">
      <c r="A35" s="53">
        <v>500010</v>
      </c>
      <c r="B35" s="53">
        <v>20409</v>
      </c>
      <c r="C35" s="53">
        <v>18320475295</v>
      </c>
      <c r="D35" s="54">
        <v>1.795297064316933</v>
      </c>
      <c r="F35" s="53">
        <v>500010</v>
      </c>
      <c r="G35" s="53">
        <v>20409</v>
      </c>
      <c r="H35" s="53">
        <v>18320475295</v>
      </c>
      <c r="I35">
        <f t="shared" si="8"/>
        <v>897666.4851291097</v>
      </c>
    </row>
    <row r="36" spans="1:9" x14ac:dyDescent="0.3">
      <c r="A36" s="51" t="s">
        <v>56</v>
      </c>
      <c r="B36" s="51" t="s">
        <v>187</v>
      </c>
      <c r="C36" s="51" t="s">
        <v>188</v>
      </c>
      <c r="D36" s="52" t="s">
        <v>59</v>
      </c>
    </row>
    <row r="37" spans="1:9" x14ac:dyDescent="0.3">
      <c r="A37" s="51"/>
      <c r="B37" s="51">
        <v>60160</v>
      </c>
      <c r="C37" s="51"/>
      <c r="D37" s="52"/>
      <c r="F37" s="56">
        <f>A$4</f>
        <v>60010</v>
      </c>
      <c r="G37" s="56">
        <f>B37</f>
        <v>60160</v>
      </c>
      <c r="H37">
        <f>B37*C$4/B$4</f>
        <v>3875052217.8050761</v>
      </c>
      <c r="I37">
        <f>H37/G37</f>
        <v>64412.437131068422</v>
      </c>
    </row>
    <row r="38" spans="1:9" x14ac:dyDescent="0.3">
      <c r="A38" s="51"/>
      <c r="B38" s="51">
        <v>38046</v>
      </c>
      <c r="C38" s="51"/>
      <c r="D38" s="52"/>
      <c r="F38" s="56">
        <f>A$5</f>
        <v>70010</v>
      </c>
      <c r="G38" s="56">
        <f>B38</f>
        <v>38046</v>
      </c>
      <c r="H38">
        <f>B38*C$5/B$5</f>
        <v>2838036476.6768656</v>
      </c>
      <c r="I38">
        <f t="shared" ref="I38:I46" si="9">H38/G38</f>
        <v>74594.871384031576</v>
      </c>
    </row>
    <row r="39" spans="1:9" x14ac:dyDescent="0.3">
      <c r="A39" s="53">
        <v>80010</v>
      </c>
      <c r="B39" s="53">
        <v>23491</v>
      </c>
      <c r="C39" s="53">
        <v>1988599395</v>
      </c>
      <c r="D39" s="54">
        <v>1.5829662275144605</v>
      </c>
      <c r="F39" s="53">
        <v>80010</v>
      </c>
      <c r="G39" s="53">
        <v>23491</v>
      </c>
      <c r="H39" s="53">
        <v>1988599395</v>
      </c>
      <c r="I39">
        <f t="shared" si="9"/>
        <v>84653.671406070411</v>
      </c>
    </row>
    <row r="40" spans="1:9" x14ac:dyDescent="0.3">
      <c r="A40" s="53">
        <v>90010</v>
      </c>
      <c r="B40" s="53">
        <v>14732</v>
      </c>
      <c r="C40" s="53">
        <v>1394623151</v>
      </c>
      <c r="D40" s="54">
        <v>1.6016120403067713</v>
      </c>
      <c r="F40" s="53">
        <v>90010</v>
      </c>
      <c r="G40" s="53">
        <v>14732</v>
      </c>
      <c r="H40" s="53">
        <v>1394623151</v>
      </c>
      <c r="I40">
        <f t="shared" si="9"/>
        <v>94666.247013304368</v>
      </c>
    </row>
    <row r="41" spans="1:9" x14ac:dyDescent="0.3">
      <c r="A41" s="53">
        <v>100010</v>
      </c>
      <c r="B41" s="53">
        <v>19328</v>
      </c>
      <c r="C41" s="53">
        <v>2139735151</v>
      </c>
      <c r="D41" s="54">
        <v>1.6166435115258295</v>
      </c>
      <c r="F41" s="53">
        <v>100010</v>
      </c>
      <c r="G41" s="53">
        <v>19328</v>
      </c>
      <c r="H41" s="53">
        <v>2139735151</v>
      </c>
      <c r="I41">
        <f t="shared" si="9"/>
        <v>110706.49580918874</v>
      </c>
    </row>
    <row r="42" spans="1:9" x14ac:dyDescent="0.3">
      <c r="A42" s="53">
        <v>125010</v>
      </c>
      <c r="B42" s="53">
        <v>8629</v>
      </c>
      <c r="C42" s="53">
        <v>1174152424</v>
      </c>
      <c r="D42" s="54">
        <v>1.6468834981986655</v>
      </c>
      <c r="F42" s="53">
        <v>125010</v>
      </c>
      <c r="G42" s="53">
        <v>8629</v>
      </c>
      <c r="H42" s="53">
        <v>1174152424</v>
      </c>
      <c r="I42">
        <f t="shared" si="9"/>
        <v>136070.50921311855</v>
      </c>
    </row>
    <row r="43" spans="1:9" x14ac:dyDescent="0.3">
      <c r="A43" s="53">
        <v>150010</v>
      </c>
      <c r="B43" s="53">
        <v>7009</v>
      </c>
      <c r="C43" s="53">
        <v>1197837942</v>
      </c>
      <c r="D43" s="54">
        <v>1.6663143274895387</v>
      </c>
      <c r="F43" s="53">
        <v>150010</v>
      </c>
      <c r="G43" s="53">
        <v>7009</v>
      </c>
      <c r="H43" s="53">
        <v>1197837942</v>
      </c>
      <c r="I43">
        <f t="shared" si="9"/>
        <v>170899.97745755457</v>
      </c>
    </row>
    <row r="44" spans="1:9" x14ac:dyDescent="0.3">
      <c r="A44" s="53">
        <v>200010</v>
      </c>
      <c r="B44" s="53">
        <v>2838</v>
      </c>
      <c r="C44" s="53">
        <v>629439918</v>
      </c>
      <c r="D44" s="54">
        <v>1.6661457466651766</v>
      </c>
      <c r="F44" s="53">
        <v>200010</v>
      </c>
      <c r="G44" s="53">
        <v>2838</v>
      </c>
      <c r="H44" s="53">
        <v>629439918</v>
      </c>
      <c r="I44">
        <f t="shared" si="9"/>
        <v>221789.96405919662</v>
      </c>
    </row>
    <row r="45" spans="1:9" x14ac:dyDescent="0.3">
      <c r="A45" s="53">
        <v>250010</v>
      </c>
      <c r="B45" s="53">
        <v>3158</v>
      </c>
      <c r="C45" s="53">
        <v>1036970583</v>
      </c>
      <c r="D45" s="54">
        <v>1.6644802834720993</v>
      </c>
      <c r="F45" s="53">
        <v>250010</v>
      </c>
      <c r="G45" s="53">
        <v>3158</v>
      </c>
      <c r="H45" s="53">
        <v>1036970583</v>
      </c>
      <c r="I45">
        <f t="shared" si="9"/>
        <v>328363.07251424954</v>
      </c>
    </row>
    <row r="46" spans="1:9" x14ac:dyDescent="0.3">
      <c r="A46" s="53">
        <v>500010</v>
      </c>
      <c r="B46" s="53">
        <v>658</v>
      </c>
      <c r="C46" s="53">
        <v>551007124</v>
      </c>
      <c r="D46" s="54">
        <v>1.6747601947657096</v>
      </c>
      <c r="F46" s="53">
        <v>500010</v>
      </c>
      <c r="G46" s="53">
        <v>658</v>
      </c>
      <c r="H46" s="53">
        <v>551007124</v>
      </c>
      <c r="I46">
        <f t="shared" si="9"/>
        <v>837396.84498480242</v>
      </c>
    </row>
    <row r="47" spans="1:9" x14ac:dyDescent="0.3">
      <c r="A47" s="51" t="s">
        <v>56</v>
      </c>
      <c r="B47" s="51" t="s">
        <v>177</v>
      </c>
      <c r="C47" s="51" t="s">
        <v>178</v>
      </c>
      <c r="D47" s="52" t="s">
        <v>59</v>
      </c>
    </row>
    <row r="48" spans="1:9" x14ac:dyDescent="0.3">
      <c r="A48" s="51"/>
      <c r="B48" s="51">
        <v>284598</v>
      </c>
      <c r="C48" s="51"/>
      <c r="D48" s="52"/>
      <c r="F48" s="56">
        <f>A$4</f>
        <v>60010</v>
      </c>
      <c r="G48" s="56">
        <f>B48</f>
        <v>284598</v>
      </c>
      <c r="H48">
        <f>B48*C$4/B$4</f>
        <v>18331650782.627808</v>
      </c>
      <c r="I48">
        <f>H48/G48</f>
        <v>64412.437131068407</v>
      </c>
    </row>
    <row r="49" spans="1:9" x14ac:dyDescent="0.3">
      <c r="A49" s="51"/>
      <c r="B49" s="51">
        <v>310880</v>
      </c>
      <c r="C49" s="51"/>
      <c r="D49" s="52"/>
      <c r="F49" s="56">
        <f>A$5</f>
        <v>70010</v>
      </c>
      <c r="G49" s="56">
        <f>B49</f>
        <v>310880</v>
      </c>
      <c r="H49">
        <f>B49*C$5/B$5</f>
        <v>23190053615.867737</v>
      </c>
      <c r="I49">
        <f t="shared" ref="I49:I57" si="10">H49/G49</f>
        <v>74594.871384031576</v>
      </c>
    </row>
    <row r="50" spans="1:9" x14ac:dyDescent="0.3">
      <c r="A50" s="53">
        <v>80010</v>
      </c>
      <c r="B50" s="53">
        <v>292647</v>
      </c>
      <c r="C50" s="53">
        <v>24854241275</v>
      </c>
      <c r="D50" s="54">
        <v>1.6825842523499721</v>
      </c>
      <c r="F50" s="53">
        <v>80010</v>
      </c>
      <c r="G50" s="53">
        <v>292647</v>
      </c>
      <c r="H50" s="53">
        <v>24854241275</v>
      </c>
      <c r="I50">
        <f t="shared" si="10"/>
        <v>84929.082734488999</v>
      </c>
    </row>
    <row r="51" spans="1:9" x14ac:dyDescent="0.3">
      <c r="A51" s="53">
        <v>90010</v>
      </c>
      <c r="B51" s="53">
        <v>253315</v>
      </c>
      <c r="C51" s="53">
        <v>24029611078</v>
      </c>
      <c r="D51" s="54">
        <v>1.621707531428118</v>
      </c>
      <c r="F51" s="53">
        <v>90010</v>
      </c>
      <c r="G51" s="53">
        <v>253315</v>
      </c>
      <c r="H51" s="53">
        <v>24029611078</v>
      </c>
      <c r="I51">
        <f t="shared" si="10"/>
        <v>94860.592850798406</v>
      </c>
    </row>
    <row r="52" spans="1:9" x14ac:dyDescent="0.3">
      <c r="A52" s="53">
        <v>100010</v>
      </c>
      <c r="B52" s="53">
        <v>441449</v>
      </c>
      <c r="C52" s="53">
        <v>49135145559</v>
      </c>
      <c r="D52" s="54">
        <v>1.5854306376471536</v>
      </c>
      <c r="F52" s="53">
        <v>100010</v>
      </c>
      <c r="G52" s="53">
        <v>441449</v>
      </c>
      <c r="H52" s="53">
        <v>49135145559</v>
      </c>
      <c r="I52">
        <f t="shared" si="10"/>
        <v>111304.2402610494</v>
      </c>
    </row>
    <row r="53" spans="1:9" x14ac:dyDescent="0.3">
      <c r="A53" s="53">
        <v>125010</v>
      </c>
      <c r="B53" s="53">
        <v>239440</v>
      </c>
      <c r="C53" s="53">
        <v>32624845816</v>
      </c>
      <c r="D53" s="54">
        <v>1.5526633573127142</v>
      </c>
      <c r="F53" s="53">
        <v>125010</v>
      </c>
      <c r="G53" s="53">
        <v>239440</v>
      </c>
      <c r="H53" s="53">
        <v>32624845816</v>
      </c>
      <c r="I53">
        <f t="shared" si="10"/>
        <v>136254.78539926495</v>
      </c>
    </row>
    <row r="54" spans="1:9" x14ac:dyDescent="0.3">
      <c r="A54" s="53">
        <v>150010</v>
      </c>
      <c r="B54" s="53">
        <v>198651</v>
      </c>
      <c r="C54" s="53">
        <v>33786271682</v>
      </c>
      <c r="D54" s="54">
        <v>1.5595741140663144</v>
      </c>
      <c r="F54" s="53">
        <v>150010</v>
      </c>
      <c r="G54" s="53">
        <v>198651</v>
      </c>
      <c r="H54" s="53">
        <v>33786271682</v>
      </c>
      <c r="I54">
        <f t="shared" si="10"/>
        <v>170078.53814982055</v>
      </c>
    </row>
    <row r="55" spans="1:9" x14ac:dyDescent="0.3">
      <c r="A55" s="53">
        <v>200010</v>
      </c>
      <c r="B55" s="53">
        <v>68469</v>
      </c>
      <c r="C55" s="53">
        <v>15153321966</v>
      </c>
      <c r="D55" s="54">
        <v>1.5958209998766835</v>
      </c>
      <c r="F55" s="53">
        <v>200010</v>
      </c>
      <c r="G55" s="53">
        <v>68469</v>
      </c>
      <c r="H55" s="53">
        <v>15153321966</v>
      </c>
      <c r="I55">
        <f t="shared" si="10"/>
        <v>221316.53691451607</v>
      </c>
    </row>
    <row r="56" spans="1:9" x14ac:dyDescent="0.3">
      <c r="A56" s="53">
        <v>250010</v>
      </c>
      <c r="B56" s="53">
        <v>67939</v>
      </c>
      <c r="C56" s="53">
        <v>22080432205</v>
      </c>
      <c r="D56" s="54">
        <v>1.6099916036191515</v>
      </c>
      <c r="F56" s="53">
        <v>250010</v>
      </c>
      <c r="G56" s="53">
        <v>67939</v>
      </c>
      <c r="H56" s="53">
        <v>22080432205</v>
      </c>
      <c r="I56">
        <f t="shared" si="10"/>
        <v>325003.78582257614</v>
      </c>
    </row>
    <row r="57" spans="1:9" x14ac:dyDescent="0.3">
      <c r="A57" s="53">
        <v>500010</v>
      </c>
      <c r="B57" s="53">
        <v>12468</v>
      </c>
      <c r="C57" s="53">
        <v>10284511059</v>
      </c>
      <c r="D57" s="54">
        <v>1.6497121226969107</v>
      </c>
      <c r="F57" s="53">
        <v>500010</v>
      </c>
      <c r="G57" s="53">
        <v>12468</v>
      </c>
      <c r="H57" s="53">
        <v>10284511059</v>
      </c>
      <c r="I57">
        <f t="shared" si="10"/>
        <v>824872.55846968235</v>
      </c>
    </row>
    <row r="58" spans="1:9" x14ac:dyDescent="0.3">
      <c r="A58" s="51" t="s">
        <v>56</v>
      </c>
      <c r="B58" s="51" t="s">
        <v>179</v>
      </c>
      <c r="C58" s="51" t="s">
        <v>71</v>
      </c>
      <c r="D58" s="52" t="s">
        <v>59</v>
      </c>
    </row>
    <row r="59" spans="1:9" x14ac:dyDescent="0.3">
      <c r="A59" s="51"/>
      <c r="B59" s="51">
        <v>189784</v>
      </c>
      <c r="C59" s="51"/>
      <c r="D59" s="52"/>
      <c r="F59" s="56">
        <f>A$4</f>
        <v>60010</v>
      </c>
      <c r="G59" s="56">
        <f>B59</f>
        <v>189784</v>
      </c>
      <c r="H59">
        <f>B59*C$4/B$4</f>
        <v>12224449968.482689</v>
      </c>
      <c r="I59">
        <f>H59/G59</f>
        <v>64412.437131068422</v>
      </c>
    </row>
    <row r="60" spans="1:9" x14ac:dyDescent="0.3">
      <c r="A60" s="51"/>
      <c r="B60" s="51">
        <v>244391</v>
      </c>
      <c r="C60" s="51"/>
      <c r="D60" s="52"/>
      <c r="F60" s="56">
        <f>A$5</f>
        <v>70010</v>
      </c>
      <c r="G60" s="56">
        <f>B60</f>
        <v>244391</v>
      </c>
      <c r="H60">
        <f>B60*C$5/B$5</f>
        <v>18230315212.41486</v>
      </c>
      <c r="I60">
        <f t="shared" ref="I60:I68" si="11">H60/G60</f>
        <v>74594.871384031576</v>
      </c>
    </row>
    <row r="61" spans="1:9" x14ac:dyDescent="0.3">
      <c r="A61" s="53">
        <v>80010</v>
      </c>
      <c r="B61" s="53">
        <v>244717</v>
      </c>
      <c r="C61" s="53">
        <v>20792293729</v>
      </c>
      <c r="D61" s="54">
        <v>1.7932018885510963</v>
      </c>
      <c r="F61" s="53">
        <v>80010</v>
      </c>
      <c r="G61" s="53">
        <v>244717</v>
      </c>
      <c r="H61" s="53">
        <v>20792293729</v>
      </c>
      <c r="I61">
        <f t="shared" si="11"/>
        <v>84964.647854460462</v>
      </c>
    </row>
    <row r="62" spans="1:9" x14ac:dyDescent="0.3">
      <c r="A62" s="53">
        <v>90010</v>
      </c>
      <c r="B62" s="53">
        <v>223207</v>
      </c>
      <c r="C62" s="53">
        <v>21187442250</v>
      </c>
      <c r="D62" s="54">
        <v>1.7146017575743748</v>
      </c>
      <c r="F62" s="53">
        <v>90010</v>
      </c>
      <c r="G62" s="53">
        <v>223207</v>
      </c>
      <c r="H62" s="53">
        <v>21187442250</v>
      </c>
      <c r="I62">
        <f t="shared" si="11"/>
        <v>94922.839561483284</v>
      </c>
    </row>
    <row r="63" spans="1:9" x14ac:dyDescent="0.3">
      <c r="A63" s="53">
        <v>100010</v>
      </c>
      <c r="B63" s="53">
        <v>421546</v>
      </c>
      <c r="C63" s="53">
        <v>47025827900</v>
      </c>
      <c r="D63" s="54">
        <v>1.6641830263517456</v>
      </c>
      <c r="F63" s="53">
        <v>100010</v>
      </c>
      <c r="G63" s="53">
        <v>421546</v>
      </c>
      <c r="H63" s="53">
        <v>47025827900</v>
      </c>
      <c r="I63">
        <f t="shared" si="11"/>
        <v>111555.62595778397</v>
      </c>
    </row>
    <row r="64" spans="1:9" x14ac:dyDescent="0.3">
      <c r="A64" s="53">
        <v>125010</v>
      </c>
      <c r="B64" s="53">
        <v>255123</v>
      </c>
      <c r="C64" s="53">
        <v>34797139935</v>
      </c>
      <c r="D64" s="54">
        <v>1.6059307069138433</v>
      </c>
      <c r="F64" s="53">
        <v>125010</v>
      </c>
      <c r="G64" s="53">
        <v>255123</v>
      </c>
      <c r="H64" s="53">
        <v>34797139935</v>
      </c>
      <c r="I64">
        <f t="shared" si="11"/>
        <v>136393.58244846604</v>
      </c>
    </row>
    <row r="65" spans="1:9" x14ac:dyDescent="0.3">
      <c r="A65" s="53">
        <v>150010</v>
      </c>
      <c r="B65" s="53">
        <v>226688</v>
      </c>
      <c r="C65" s="53">
        <v>38632538297</v>
      </c>
      <c r="D65" s="54">
        <v>1.599605690585064</v>
      </c>
      <c r="F65" s="53">
        <v>150010</v>
      </c>
      <c r="G65" s="53">
        <v>226688</v>
      </c>
      <c r="H65" s="53">
        <v>38632538297</v>
      </c>
      <c r="I65">
        <f t="shared" si="11"/>
        <v>170421.62927459768</v>
      </c>
    </row>
    <row r="66" spans="1:9" x14ac:dyDescent="0.3">
      <c r="A66" s="53">
        <v>200010</v>
      </c>
      <c r="B66" s="53">
        <v>84157</v>
      </c>
      <c r="C66" s="53">
        <v>18644805776</v>
      </c>
      <c r="D66" s="54">
        <v>1.6097384633039267</v>
      </c>
      <c r="F66" s="53">
        <v>200010</v>
      </c>
      <c r="G66" s="53">
        <v>84157</v>
      </c>
      <c r="H66" s="53">
        <v>18644805776</v>
      </c>
      <c r="I66">
        <f t="shared" si="11"/>
        <v>221547.88996756062</v>
      </c>
    </row>
    <row r="67" spans="1:9" x14ac:dyDescent="0.3">
      <c r="A67" s="53">
        <v>250010</v>
      </c>
      <c r="B67" s="53">
        <v>90748</v>
      </c>
      <c r="C67" s="53">
        <v>29713495110</v>
      </c>
      <c r="D67" s="54">
        <v>1.600617851350209</v>
      </c>
      <c r="F67" s="53">
        <v>250010</v>
      </c>
      <c r="G67" s="53">
        <v>90748</v>
      </c>
      <c r="H67" s="53">
        <v>29713495110</v>
      </c>
      <c r="I67">
        <f t="shared" si="11"/>
        <v>327428.64977740555</v>
      </c>
    </row>
    <row r="68" spans="1:9" x14ac:dyDescent="0.3">
      <c r="A68" s="53">
        <v>500010</v>
      </c>
      <c r="B68" s="53">
        <v>17308</v>
      </c>
      <c r="C68" s="53">
        <v>13527325090</v>
      </c>
      <c r="D68" s="54">
        <v>1.5630985150114423</v>
      </c>
      <c r="F68" s="53">
        <v>500010</v>
      </c>
      <c r="G68" s="53">
        <v>17308</v>
      </c>
      <c r="H68" s="53">
        <v>13527325090</v>
      </c>
      <c r="I68">
        <f t="shared" si="11"/>
        <v>781564.88849087129</v>
      </c>
    </row>
    <row r="69" spans="1:9" x14ac:dyDescent="0.3">
      <c r="A69" s="51" t="s">
        <v>56</v>
      </c>
      <c r="B69" s="51" t="s">
        <v>180</v>
      </c>
      <c r="C69" s="51" t="s">
        <v>73</v>
      </c>
      <c r="D69" s="52" t="s">
        <v>59</v>
      </c>
    </row>
    <row r="70" spans="1:9" x14ac:dyDescent="0.3">
      <c r="A70" s="51"/>
      <c r="B70" s="51">
        <v>8506</v>
      </c>
      <c r="C70" s="51"/>
      <c r="D70" s="52"/>
      <c r="F70" s="56">
        <f>A$4</f>
        <v>60010</v>
      </c>
      <c r="G70" s="56">
        <f>B70</f>
        <v>8506</v>
      </c>
      <c r="H70">
        <f>B70*C$4/B$4</f>
        <v>547892190.2368679</v>
      </c>
      <c r="I70">
        <f>H70/G70</f>
        <v>64412.437131068415</v>
      </c>
    </row>
    <row r="71" spans="1:9" x14ac:dyDescent="0.3">
      <c r="A71" s="51"/>
      <c r="B71" s="51">
        <v>8803</v>
      </c>
      <c r="C71" s="51"/>
      <c r="D71" s="52"/>
      <c r="F71" s="56">
        <f>A$5</f>
        <v>70010</v>
      </c>
      <c r="G71" s="56">
        <f>B71</f>
        <v>8803</v>
      </c>
      <c r="H71">
        <f>B71*C$5/B$5</f>
        <v>656658652.79363</v>
      </c>
      <c r="I71">
        <f t="shared" ref="I71:I79" si="12">H71/G71</f>
        <v>74594.871384031576</v>
      </c>
    </row>
    <row r="72" spans="1:9" x14ac:dyDescent="0.3">
      <c r="A72" s="53">
        <v>80010</v>
      </c>
      <c r="B72" s="53">
        <v>8213</v>
      </c>
      <c r="C72" s="53">
        <v>697340383</v>
      </c>
      <c r="D72" s="54">
        <v>1.7419484989921461</v>
      </c>
      <c r="F72" s="53">
        <v>80010</v>
      </c>
      <c r="G72" s="53">
        <v>8213</v>
      </c>
      <c r="H72" s="53">
        <v>697340383</v>
      </c>
      <c r="I72">
        <f t="shared" si="12"/>
        <v>84906.901619383905</v>
      </c>
    </row>
    <row r="73" spans="1:9" x14ac:dyDescent="0.3">
      <c r="A73" s="53">
        <v>90010</v>
      </c>
      <c r="B73" s="53">
        <v>6373</v>
      </c>
      <c r="C73" s="53">
        <v>604678520</v>
      </c>
      <c r="D73" s="54">
        <v>1.6971144569225658</v>
      </c>
      <c r="F73" s="53">
        <v>90010</v>
      </c>
      <c r="G73" s="53">
        <v>6373</v>
      </c>
      <c r="H73" s="53">
        <v>604678520</v>
      </c>
      <c r="I73">
        <f t="shared" si="12"/>
        <v>94881.299231131328</v>
      </c>
    </row>
    <row r="74" spans="1:9" x14ac:dyDescent="0.3">
      <c r="A74" s="53">
        <v>100010</v>
      </c>
      <c r="B74" s="53">
        <v>10756</v>
      </c>
      <c r="C74" s="53">
        <v>1197065613</v>
      </c>
      <c r="D74" s="54">
        <v>1.6637625668117106</v>
      </c>
      <c r="F74" s="53">
        <v>100010</v>
      </c>
      <c r="G74" s="53">
        <v>10756</v>
      </c>
      <c r="H74" s="53">
        <v>1197065613</v>
      </c>
      <c r="I74">
        <f t="shared" si="12"/>
        <v>111292.82381926366</v>
      </c>
    </row>
    <row r="75" spans="1:9" x14ac:dyDescent="0.3">
      <c r="A75" s="53">
        <v>125010</v>
      </c>
      <c r="B75" s="53">
        <v>5981</v>
      </c>
      <c r="C75" s="53">
        <v>815503684</v>
      </c>
      <c r="D75" s="54">
        <v>1.6219947908033812</v>
      </c>
      <c r="F75" s="53">
        <v>125010</v>
      </c>
      <c r="G75" s="53">
        <v>5981</v>
      </c>
      <c r="H75" s="53">
        <v>815503684</v>
      </c>
      <c r="I75">
        <f t="shared" si="12"/>
        <v>136349.05266677812</v>
      </c>
    </row>
    <row r="76" spans="1:9" x14ac:dyDescent="0.3">
      <c r="A76" s="53">
        <v>150010</v>
      </c>
      <c r="B76" s="53">
        <v>5509</v>
      </c>
      <c r="C76" s="53">
        <v>943685424</v>
      </c>
      <c r="D76" s="54">
        <v>1.6084505733814067</v>
      </c>
      <c r="F76" s="53">
        <v>150010</v>
      </c>
      <c r="G76" s="53">
        <v>5509</v>
      </c>
      <c r="H76" s="53">
        <v>943685424</v>
      </c>
      <c r="I76">
        <f t="shared" si="12"/>
        <v>171298.86077328009</v>
      </c>
    </row>
    <row r="77" spans="1:9" x14ac:dyDescent="0.3">
      <c r="A77" s="53">
        <v>200010</v>
      </c>
      <c r="B77" s="53">
        <v>2176</v>
      </c>
      <c r="C77" s="53">
        <v>482664801</v>
      </c>
      <c r="D77" s="54">
        <v>1.6076143216153098</v>
      </c>
      <c r="F77" s="53">
        <v>200010</v>
      </c>
      <c r="G77" s="53">
        <v>2176</v>
      </c>
      <c r="H77" s="53">
        <v>482664801</v>
      </c>
      <c r="I77">
        <f t="shared" si="12"/>
        <v>221812.86810661765</v>
      </c>
    </row>
    <row r="78" spans="1:9" x14ac:dyDescent="0.3">
      <c r="A78" s="53">
        <v>250010</v>
      </c>
      <c r="B78" s="53">
        <v>2219</v>
      </c>
      <c r="C78" s="53">
        <v>719692603</v>
      </c>
      <c r="D78" s="54">
        <v>1.6163862867098708</v>
      </c>
      <c r="F78" s="53">
        <v>250010</v>
      </c>
      <c r="G78" s="53">
        <v>2219</v>
      </c>
      <c r="H78" s="53">
        <v>719692603</v>
      </c>
      <c r="I78">
        <f t="shared" si="12"/>
        <v>324331.95268138801</v>
      </c>
    </row>
    <row r="79" spans="1:9" x14ac:dyDescent="0.3">
      <c r="A79" s="53">
        <v>500010</v>
      </c>
      <c r="B79" s="53">
        <v>409</v>
      </c>
      <c r="C79" s="53">
        <v>342315666</v>
      </c>
      <c r="D79" s="54">
        <v>1.6738817595286237</v>
      </c>
      <c r="F79" s="53">
        <v>500010</v>
      </c>
      <c r="G79" s="53">
        <v>409</v>
      </c>
      <c r="H79" s="53">
        <v>342315666</v>
      </c>
      <c r="I79">
        <f t="shared" si="12"/>
        <v>836957.61858190713</v>
      </c>
    </row>
    <row r="80" spans="1:9" x14ac:dyDescent="0.3">
      <c r="A80" s="51" t="s">
        <v>56</v>
      </c>
      <c r="B80" s="51" t="s">
        <v>181</v>
      </c>
      <c r="C80" s="51" t="s">
        <v>75</v>
      </c>
      <c r="D80" s="52" t="s">
        <v>59</v>
      </c>
    </row>
    <row r="81" spans="1:9" x14ac:dyDescent="0.3">
      <c r="A81" s="51"/>
      <c r="B81" s="51">
        <v>24727</v>
      </c>
      <c r="C81" s="51"/>
      <c r="D81" s="52"/>
      <c r="F81" s="56">
        <f>A$4</f>
        <v>60010</v>
      </c>
      <c r="G81" s="56">
        <f>B81</f>
        <v>24727</v>
      </c>
      <c r="H81">
        <f>B81*C$4/B$4</f>
        <v>1592726332.9399288</v>
      </c>
      <c r="I81">
        <f>H81/G81</f>
        <v>64412.437131068415</v>
      </c>
    </row>
    <row r="82" spans="1:9" x14ac:dyDescent="0.3">
      <c r="A82" s="51"/>
      <c r="B82" s="51">
        <v>48155</v>
      </c>
      <c r="C82" s="51"/>
      <c r="D82" s="52"/>
      <c r="F82" s="56">
        <f>A$5</f>
        <v>70010</v>
      </c>
      <c r="G82" s="56">
        <f>B82</f>
        <v>48155</v>
      </c>
      <c r="H82">
        <f>B82*C$5/B$5</f>
        <v>3592116031.4980407</v>
      </c>
      <c r="I82">
        <f t="shared" ref="I82:I90" si="13">H82/G82</f>
        <v>74594.871384031576</v>
      </c>
    </row>
    <row r="83" spans="1:9" x14ac:dyDescent="0.3">
      <c r="A83" s="53">
        <v>80010</v>
      </c>
      <c r="B83" s="53">
        <v>55351</v>
      </c>
      <c r="C83" s="53">
        <v>47220948835</v>
      </c>
      <c r="D83" s="54">
        <v>3.2244314930597411</v>
      </c>
      <c r="F83" s="53">
        <v>80010</v>
      </c>
      <c r="G83" s="53">
        <v>55351</v>
      </c>
      <c r="H83" s="53">
        <v>4722094835</v>
      </c>
      <c r="I83">
        <f t="shared" si="13"/>
        <v>85311.825170276963</v>
      </c>
    </row>
    <row r="84" spans="1:9" x14ac:dyDescent="0.3">
      <c r="A84" s="53">
        <v>90010</v>
      </c>
      <c r="B84" s="53">
        <v>58644</v>
      </c>
      <c r="C84" s="53">
        <v>5564872530</v>
      </c>
      <c r="D84" s="54">
        <v>1.9298358393327719</v>
      </c>
      <c r="F84" s="53">
        <v>90010</v>
      </c>
      <c r="G84" s="53">
        <v>58644</v>
      </c>
      <c r="H84" s="53">
        <v>5564872530</v>
      </c>
      <c r="I84">
        <f t="shared" si="13"/>
        <v>94892.444751381219</v>
      </c>
    </row>
    <row r="85" spans="1:9" x14ac:dyDescent="0.3">
      <c r="A85" s="53">
        <v>100010</v>
      </c>
      <c r="B85" s="53">
        <v>107966</v>
      </c>
      <c r="C85" s="53">
        <v>12036377258</v>
      </c>
      <c r="D85" s="54">
        <v>1.8759867637991243</v>
      </c>
      <c r="F85" s="53">
        <v>100010</v>
      </c>
      <c r="G85" s="53">
        <v>107966</v>
      </c>
      <c r="H85" s="53">
        <v>12036377258</v>
      </c>
      <c r="I85">
        <f t="shared" si="13"/>
        <v>111483.03408480447</v>
      </c>
    </row>
    <row r="86" spans="1:9" x14ac:dyDescent="0.3">
      <c r="A86" s="53">
        <v>125010</v>
      </c>
      <c r="B86" s="53">
        <v>67245</v>
      </c>
      <c r="C86" s="53">
        <v>9185392439</v>
      </c>
      <c r="D86" s="54">
        <v>1.7940597350803578</v>
      </c>
      <c r="F86" s="53">
        <v>125010</v>
      </c>
      <c r="G86" s="53">
        <v>67245</v>
      </c>
      <c r="H86" s="53">
        <v>9185392439</v>
      </c>
      <c r="I86">
        <f t="shared" si="13"/>
        <v>136595.91700498178</v>
      </c>
    </row>
    <row r="87" spans="1:9" x14ac:dyDescent="0.3">
      <c r="A87" s="53">
        <v>150010</v>
      </c>
      <c r="B87" s="53">
        <v>71757</v>
      </c>
      <c r="C87" s="53">
        <v>12309061566</v>
      </c>
      <c r="D87" s="54">
        <v>1.7454334040821635</v>
      </c>
      <c r="F87" s="53">
        <v>150010</v>
      </c>
      <c r="G87" s="53">
        <v>71757</v>
      </c>
      <c r="H87" s="53">
        <v>12309061566</v>
      </c>
      <c r="I87">
        <f t="shared" si="13"/>
        <v>171538.12960408043</v>
      </c>
    </row>
    <row r="88" spans="1:9" x14ac:dyDescent="0.3">
      <c r="A88" s="53">
        <v>200010</v>
      </c>
      <c r="B88" s="53">
        <v>33440</v>
      </c>
      <c r="C88" s="53">
        <v>7427971731</v>
      </c>
      <c r="D88" s="54">
        <v>1.6891772792946866</v>
      </c>
      <c r="F88" s="53">
        <v>200010</v>
      </c>
      <c r="G88" s="53">
        <v>33440</v>
      </c>
      <c r="H88" s="53">
        <v>7427971731</v>
      </c>
      <c r="I88">
        <f t="shared" si="13"/>
        <v>222128.34123803827</v>
      </c>
    </row>
    <row r="89" spans="1:9" x14ac:dyDescent="0.3">
      <c r="A89" s="53">
        <v>250010</v>
      </c>
      <c r="B89" s="53">
        <v>42563</v>
      </c>
      <c r="C89" s="53">
        <v>14085795712</v>
      </c>
      <c r="D89" s="54">
        <v>1.6502223971978349</v>
      </c>
      <c r="F89" s="53">
        <v>250010</v>
      </c>
      <c r="G89" s="53">
        <v>42563</v>
      </c>
      <c r="H89" s="53">
        <v>14085795712</v>
      </c>
      <c r="I89">
        <f t="shared" si="13"/>
        <v>330939.91758099757</v>
      </c>
    </row>
    <row r="90" spans="1:9" x14ac:dyDescent="0.3">
      <c r="A90" s="53">
        <v>500010</v>
      </c>
      <c r="B90" s="53">
        <v>9228</v>
      </c>
      <c r="C90" s="53">
        <v>7281725998</v>
      </c>
      <c r="D90" s="54">
        <v>1.5781491908089882</v>
      </c>
      <c r="F90" s="53">
        <v>500010</v>
      </c>
      <c r="G90" s="53">
        <v>9228</v>
      </c>
      <c r="H90" s="53">
        <v>7281725998</v>
      </c>
      <c r="I90">
        <f t="shared" si="13"/>
        <v>789090.37689640222</v>
      </c>
    </row>
    <row r="91" spans="1:9" x14ac:dyDescent="0.3">
      <c r="A91" s="51" t="s">
        <v>56</v>
      </c>
      <c r="B91" s="51" t="s">
        <v>182</v>
      </c>
      <c r="C91" s="51" t="s">
        <v>77</v>
      </c>
      <c r="D91" s="52" t="s">
        <v>59</v>
      </c>
    </row>
    <row r="92" spans="1:9" x14ac:dyDescent="0.3">
      <c r="A92" s="51"/>
      <c r="B92" s="51">
        <v>197</v>
      </c>
      <c r="C92" s="51"/>
      <c r="D92" s="52"/>
      <c r="F92" s="56">
        <f>A$4</f>
        <v>60010</v>
      </c>
      <c r="G92" s="56">
        <f>G93*G81/G82</f>
        <v>3928.1808742602016</v>
      </c>
      <c r="H92">
        <f>G92*C$4/B$4</f>
        <v>253023703.6027506</v>
      </c>
      <c r="I92">
        <f>H92/G92</f>
        <v>64412.437131068415</v>
      </c>
    </row>
    <row r="93" spans="1:9" x14ac:dyDescent="0.3">
      <c r="A93" s="51"/>
      <c r="B93" s="51">
        <v>7650</v>
      </c>
      <c r="C93" s="51"/>
      <c r="D93" s="52"/>
      <c r="F93" s="56">
        <f>A$5</f>
        <v>70010</v>
      </c>
      <c r="G93" s="56">
        <f>B93</f>
        <v>7650</v>
      </c>
      <c r="H93">
        <f>B93*C$5/B$5</f>
        <v>570650766.08784163</v>
      </c>
      <c r="I93">
        <f t="shared" ref="I93:I101" si="14">H93/G93</f>
        <v>74594.87138403159</v>
      </c>
    </row>
    <row r="94" spans="1:9" x14ac:dyDescent="0.3">
      <c r="A94" s="53">
        <v>80010</v>
      </c>
      <c r="B94" s="53">
        <v>9012</v>
      </c>
      <c r="C94" s="53">
        <v>765717508</v>
      </c>
      <c r="D94" s="54">
        <v>0.7281211010343257</v>
      </c>
      <c r="F94" s="53">
        <v>80010</v>
      </c>
      <c r="G94" s="53">
        <v>9012</v>
      </c>
      <c r="H94" s="53">
        <v>765717508</v>
      </c>
      <c r="I94">
        <f t="shared" si="14"/>
        <v>84966.43453173546</v>
      </c>
    </row>
    <row r="95" spans="1:9" x14ac:dyDescent="0.3">
      <c r="A95" s="53">
        <v>90010</v>
      </c>
      <c r="B95" s="53">
        <v>8995</v>
      </c>
      <c r="C95" s="53">
        <v>856182013</v>
      </c>
      <c r="D95" s="54">
        <v>0.63648431852484366</v>
      </c>
      <c r="F95" s="53">
        <v>90010</v>
      </c>
      <c r="G95" s="53">
        <v>8995</v>
      </c>
      <c r="H95" s="53">
        <v>856182013</v>
      </c>
      <c r="I95">
        <f t="shared" si="14"/>
        <v>95184.214897165089</v>
      </c>
    </row>
    <row r="96" spans="1:9" x14ac:dyDescent="0.3">
      <c r="A96" s="53">
        <v>100010</v>
      </c>
      <c r="B96" s="53">
        <v>193358</v>
      </c>
      <c r="C96" s="53">
        <v>2158378234</v>
      </c>
      <c r="D96" s="54">
        <v>0.55863654155422571</v>
      </c>
      <c r="F96" s="53">
        <v>100010</v>
      </c>
      <c r="G96" s="53">
        <v>19358</v>
      </c>
      <c r="H96" s="53">
        <v>2158378234</v>
      </c>
      <c r="I96">
        <f t="shared" si="14"/>
        <v>111497.99741708854</v>
      </c>
    </row>
    <row r="97" spans="1:9" x14ac:dyDescent="0.3">
      <c r="A97" s="53">
        <v>125010</v>
      </c>
      <c r="B97" s="53">
        <v>11967</v>
      </c>
      <c r="C97" s="53">
        <v>1635159601</v>
      </c>
      <c r="D97" s="54">
        <v>1.9319934242899894</v>
      </c>
      <c r="F97" s="53">
        <v>125010</v>
      </c>
      <c r="G97" s="53">
        <v>11967</v>
      </c>
      <c r="H97" s="53">
        <v>1635159601</v>
      </c>
      <c r="I97">
        <f t="shared" si="14"/>
        <v>136639.05749143477</v>
      </c>
    </row>
    <row r="98" spans="1:9" x14ac:dyDescent="0.3">
      <c r="A98" s="53">
        <v>150010</v>
      </c>
      <c r="B98" s="53">
        <v>13908</v>
      </c>
      <c r="C98" s="53">
        <v>2395788906</v>
      </c>
      <c r="D98" s="54">
        <v>1.8518567756638322</v>
      </c>
      <c r="F98" s="53">
        <v>150010</v>
      </c>
      <c r="G98" s="53">
        <v>13908</v>
      </c>
      <c r="H98" s="53">
        <v>2395788906</v>
      </c>
      <c r="I98">
        <f t="shared" si="14"/>
        <v>172259.77178602244</v>
      </c>
    </row>
    <row r="99" spans="1:9" x14ac:dyDescent="0.3">
      <c r="A99" s="53">
        <v>200010</v>
      </c>
      <c r="B99" s="53">
        <v>7532</v>
      </c>
      <c r="C99" s="53">
        <v>1677252010</v>
      </c>
      <c r="D99" s="54">
        <v>1.7436476672879426</v>
      </c>
      <c r="F99" s="53">
        <v>200010</v>
      </c>
      <c r="G99" s="53">
        <v>7532</v>
      </c>
      <c r="H99" s="53">
        <v>1677252010</v>
      </c>
      <c r="I99">
        <f t="shared" si="14"/>
        <v>222683.48513011151</v>
      </c>
    </row>
    <row r="100" spans="1:9" x14ac:dyDescent="0.3">
      <c r="A100" s="53">
        <v>250010</v>
      </c>
      <c r="B100" s="53">
        <v>10689</v>
      </c>
      <c r="C100" s="53">
        <v>3540199409</v>
      </c>
      <c r="D100" s="54">
        <v>1.6836131978861921</v>
      </c>
      <c r="F100" s="53">
        <v>250010</v>
      </c>
      <c r="G100" s="53">
        <v>10689</v>
      </c>
      <c r="H100" s="53">
        <v>3540199409</v>
      </c>
      <c r="I100">
        <f t="shared" si="14"/>
        <v>331200.24408270186</v>
      </c>
    </row>
    <row r="101" spans="1:9" x14ac:dyDescent="0.3">
      <c r="A101" s="53">
        <v>500010</v>
      </c>
      <c r="B101" s="53">
        <v>2467</v>
      </c>
      <c r="C101" s="53">
        <v>1997425895</v>
      </c>
      <c r="D101" s="54">
        <v>1.6192832973498617</v>
      </c>
      <c r="F101" s="53">
        <v>500010</v>
      </c>
      <c r="G101" s="53">
        <v>2467</v>
      </c>
      <c r="H101" s="53">
        <v>1997425895</v>
      </c>
      <c r="I101">
        <f t="shared" si="14"/>
        <v>809657.84150790435</v>
      </c>
    </row>
    <row r="102" spans="1:9" x14ac:dyDescent="0.3">
      <c r="A102" s="51" t="s">
        <v>56</v>
      </c>
      <c r="B102" s="51" t="s">
        <v>183</v>
      </c>
      <c r="C102" s="51" t="s">
        <v>79</v>
      </c>
      <c r="D102" s="52" t="s">
        <v>59</v>
      </c>
    </row>
    <row r="103" spans="1:9" x14ac:dyDescent="0.3">
      <c r="A103" s="51"/>
      <c r="B103" s="51">
        <v>22</v>
      </c>
      <c r="C103" s="51"/>
      <c r="D103" s="52"/>
      <c r="F103" s="56">
        <f>A$4</f>
        <v>60010</v>
      </c>
      <c r="G103" s="56">
        <f>G104*G92/G93</f>
        <v>886.58676190027188</v>
      </c>
      <c r="H103">
        <f>G103*C$4/B$4</f>
        <v>57107214.062138788</v>
      </c>
    </row>
    <row r="104" spans="1:9" x14ac:dyDescent="0.3">
      <c r="A104" s="51"/>
      <c r="B104" s="51">
        <v>231</v>
      </c>
      <c r="C104" s="51"/>
      <c r="D104" s="52"/>
      <c r="F104" s="56">
        <f>A$5</f>
        <v>70010</v>
      </c>
      <c r="G104" s="56">
        <f>G105*G93/G94</f>
        <v>1726.5978695073236</v>
      </c>
      <c r="H104">
        <f>G104*C$4/B$4</f>
        <v>111214376.72027716</v>
      </c>
    </row>
    <row r="105" spans="1:9" x14ac:dyDescent="0.3">
      <c r="A105" s="53">
        <v>80010</v>
      </c>
      <c r="B105" s="53">
        <v>2034</v>
      </c>
      <c r="C105" s="53">
        <v>172892890</v>
      </c>
      <c r="D105" s="54">
        <v>2.3138923705755836</v>
      </c>
      <c r="F105" s="53">
        <v>80010</v>
      </c>
      <c r="G105" s="53">
        <v>2034</v>
      </c>
      <c r="H105" s="53">
        <v>172892890</v>
      </c>
    </row>
    <row r="106" spans="1:9" x14ac:dyDescent="0.3">
      <c r="A106" s="53">
        <v>90010</v>
      </c>
      <c r="B106" s="53">
        <v>1675</v>
      </c>
      <c r="C106" s="53">
        <v>159077206</v>
      </c>
      <c r="D106" s="54">
        <v>2.2075516522677869</v>
      </c>
      <c r="F106" s="53">
        <v>90010</v>
      </c>
      <c r="G106" s="53">
        <v>1675</v>
      </c>
      <c r="H106" s="53">
        <v>159077206</v>
      </c>
    </row>
    <row r="107" spans="1:9" x14ac:dyDescent="0.3">
      <c r="A107" s="53">
        <v>100010</v>
      </c>
      <c r="B107" s="53">
        <v>3629</v>
      </c>
      <c r="C107" s="53">
        <v>406795412</v>
      </c>
      <c r="D107" s="54">
        <v>2.1170808449634153</v>
      </c>
      <c r="F107" s="53">
        <v>100010</v>
      </c>
      <c r="G107" s="53">
        <v>3629</v>
      </c>
      <c r="H107" s="53">
        <v>406795412</v>
      </c>
    </row>
    <row r="108" spans="1:9" x14ac:dyDescent="0.3">
      <c r="A108" s="53">
        <v>125010</v>
      </c>
      <c r="B108" s="53">
        <v>2324</v>
      </c>
      <c r="C108" s="53">
        <v>317603570</v>
      </c>
      <c r="D108" s="54">
        <v>1.9916310823687875</v>
      </c>
      <c r="F108" s="53">
        <v>125010</v>
      </c>
      <c r="G108" s="53">
        <v>2324</v>
      </c>
      <c r="H108" s="53">
        <v>317603570</v>
      </c>
    </row>
    <row r="109" spans="1:9" x14ac:dyDescent="0.3">
      <c r="A109" s="53">
        <v>150010</v>
      </c>
      <c r="B109" s="53">
        <v>2896</v>
      </c>
      <c r="C109" s="53">
        <v>500715019</v>
      </c>
      <c r="D109" s="54">
        <v>1.8953540475416482</v>
      </c>
      <c r="F109" s="53">
        <v>150010</v>
      </c>
      <c r="G109" s="53">
        <v>2896</v>
      </c>
      <c r="H109" s="53">
        <v>500715019</v>
      </c>
    </row>
    <row r="110" spans="1:9" x14ac:dyDescent="0.3">
      <c r="A110" s="53">
        <v>200010</v>
      </c>
      <c r="B110" s="53">
        <v>1579</v>
      </c>
      <c r="C110" s="53">
        <v>351696403</v>
      </c>
      <c r="D110" s="54">
        <v>1.7810150902882664</v>
      </c>
      <c r="F110" s="53">
        <v>200010</v>
      </c>
      <c r="G110" s="53">
        <v>1579</v>
      </c>
      <c r="H110" s="53">
        <v>351696403</v>
      </c>
    </row>
    <row r="111" spans="1:9" x14ac:dyDescent="0.3">
      <c r="A111" s="53">
        <v>250010</v>
      </c>
      <c r="B111" s="53">
        <v>2321</v>
      </c>
      <c r="C111" s="53">
        <v>772479612</v>
      </c>
      <c r="D111" s="54">
        <v>1.7146411757830133</v>
      </c>
      <c r="F111" s="53">
        <v>250010</v>
      </c>
      <c r="G111" s="53">
        <v>2321</v>
      </c>
      <c r="H111" s="53">
        <v>772479612</v>
      </c>
    </row>
    <row r="112" spans="1:9" x14ac:dyDescent="0.3">
      <c r="A112" s="53">
        <v>500010</v>
      </c>
      <c r="B112" s="53">
        <v>588</v>
      </c>
      <c r="C112" s="53">
        <v>474543062</v>
      </c>
      <c r="D112" s="54">
        <v>1.6140597664237191</v>
      </c>
      <c r="F112" s="53">
        <v>500010</v>
      </c>
      <c r="G112" s="53">
        <v>588</v>
      </c>
      <c r="H112" s="53">
        <v>474543062</v>
      </c>
    </row>
    <row r="113" spans="1:8" x14ac:dyDescent="0.3">
      <c r="A113" s="51" t="s">
        <v>56</v>
      </c>
      <c r="B113" s="51" t="s">
        <v>184</v>
      </c>
      <c r="C113" s="51" t="s">
        <v>81</v>
      </c>
      <c r="D113" s="52" t="s">
        <v>59</v>
      </c>
      <c r="E113">
        <v>81510</v>
      </c>
    </row>
    <row r="114" spans="1:8" x14ac:dyDescent="0.3">
      <c r="A114" s="51"/>
      <c r="B114" s="51">
        <v>5</v>
      </c>
      <c r="C114" s="51"/>
      <c r="D114" s="52"/>
      <c r="F114" s="56">
        <f>A$4</f>
        <v>60010</v>
      </c>
      <c r="G114" s="56">
        <f>G115*G103/G104</f>
        <v>260.41832051040819</v>
      </c>
      <c r="H114">
        <f>G114*C$4/B$4</f>
        <v>16774178.697655093</v>
      </c>
    </row>
    <row r="115" spans="1:8" x14ac:dyDescent="0.3">
      <c r="A115" s="51"/>
      <c r="B115" s="51">
        <v>9</v>
      </c>
      <c r="C115" s="51"/>
      <c r="D115" s="52"/>
      <c r="F115" s="56">
        <f>A$5</f>
        <v>70010</v>
      </c>
      <c r="G115" s="56">
        <f>G116*G104/G105</f>
        <v>507.15591152095709</v>
      </c>
      <c r="H115">
        <f>G115*C$4/B$4</f>
        <v>32667148.266493343</v>
      </c>
    </row>
    <row r="116" spans="1:8" x14ac:dyDescent="0.3">
      <c r="A116" s="53">
        <v>80010</v>
      </c>
      <c r="B116" s="53">
        <v>174</v>
      </c>
      <c r="C116" s="53">
        <v>15352537</v>
      </c>
      <c r="D116" s="54">
        <v>2.3533082056018166</v>
      </c>
      <c r="F116" s="53">
        <v>80010</v>
      </c>
      <c r="G116" s="56">
        <f>G117*G105/G106</f>
        <v>597.44955223880595</v>
      </c>
      <c r="H116">
        <f>G116*C116/B116</f>
        <v>52714749.174595989</v>
      </c>
    </row>
    <row r="117" spans="1:8" x14ac:dyDescent="0.3">
      <c r="A117" s="53">
        <v>90010</v>
      </c>
      <c r="B117" s="53">
        <v>492</v>
      </c>
      <c r="C117" s="53">
        <v>46725933</v>
      </c>
      <c r="D117" s="54">
        <v>2.1463273347612337</v>
      </c>
      <c r="F117" s="53">
        <v>90010</v>
      </c>
      <c r="G117" s="55">
        <v>492</v>
      </c>
      <c r="H117" s="55">
        <v>46725933</v>
      </c>
    </row>
    <row r="118" spans="1:8" x14ac:dyDescent="0.3">
      <c r="A118" s="53">
        <v>100010</v>
      </c>
      <c r="B118" s="53">
        <v>781</v>
      </c>
      <c r="C118" s="53">
        <v>87311197</v>
      </c>
      <c r="D118" s="54">
        <v>2.0896734648208928</v>
      </c>
      <c r="F118" s="53">
        <v>100010</v>
      </c>
      <c r="G118" s="55">
        <v>781</v>
      </c>
      <c r="H118" s="55">
        <v>87311197</v>
      </c>
    </row>
    <row r="119" spans="1:8" x14ac:dyDescent="0.3">
      <c r="A119" s="53">
        <v>125010</v>
      </c>
      <c r="B119" s="53">
        <v>535</v>
      </c>
      <c r="C119" s="53">
        <v>73009801</v>
      </c>
      <c r="D119" s="54">
        <v>1.938330759702525</v>
      </c>
      <c r="F119" s="53">
        <v>125010</v>
      </c>
      <c r="G119" s="55">
        <v>535</v>
      </c>
      <c r="H119" s="55">
        <v>73009801</v>
      </c>
    </row>
    <row r="120" spans="1:8" x14ac:dyDescent="0.3">
      <c r="A120" s="53">
        <v>150010</v>
      </c>
      <c r="B120" s="53">
        <v>688</v>
      </c>
      <c r="C120" s="53">
        <v>118488193</v>
      </c>
      <c r="D120" s="54">
        <v>1.8318688411784214</v>
      </c>
      <c r="F120" s="53">
        <v>150010</v>
      </c>
      <c r="G120" s="55">
        <v>688</v>
      </c>
      <c r="H120" s="55">
        <v>118488193</v>
      </c>
    </row>
    <row r="121" spans="1:8" x14ac:dyDescent="0.3">
      <c r="A121" s="53">
        <v>200010</v>
      </c>
      <c r="B121" s="53">
        <v>390</v>
      </c>
      <c r="C121" s="53">
        <v>86938947</v>
      </c>
      <c r="D121" s="54">
        <v>1.7083783014640739</v>
      </c>
      <c r="F121" s="53">
        <v>200010</v>
      </c>
      <c r="G121" s="55">
        <v>390</v>
      </c>
      <c r="H121" s="55">
        <v>86938947</v>
      </c>
    </row>
    <row r="122" spans="1:8" x14ac:dyDescent="0.3">
      <c r="A122" s="53">
        <v>250010</v>
      </c>
      <c r="B122" s="53">
        <v>540</v>
      </c>
      <c r="C122" s="53">
        <v>181281201</v>
      </c>
      <c r="D122" s="54">
        <v>1.645329062025489</v>
      </c>
      <c r="F122" s="53">
        <v>250010</v>
      </c>
      <c r="G122" s="55">
        <v>540</v>
      </c>
      <c r="H122" s="55">
        <v>181281201</v>
      </c>
    </row>
    <row r="123" spans="1:8" x14ac:dyDescent="0.3">
      <c r="A123" s="53">
        <v>500010</v>
      </c>
      <c r="B123" s="53">
        <v>125</v>
      </c>
      <c r="C123" s="53">
        <v>92265697</v>
      </c>
      <c r="D123" s="54">
        <v>1.4762216275674487</v>
      </c>
      <c r="F123" s="53">
        <v>500010</v>
      </c>
      <c r="G123" s="55">
        <v>125</v>
      </c>
      <c r="H123" s="55">
        <v>92265697</v>
      </c>
    </row>
    <row r="124" spans="1:8" x14ac:dyDescent="0.3">
      <c r="A124" s="51" t="s">
        <v>56</v>
      </c>
      <c r="B124" s="51" t="s">
        <v>185</v>
      </c>
      <c r="C124" s="51" t="s">
        <v>83</v>
      </c>
      <c r="D124" s="52" t="s">
        <v>59</v>
      </c>
      <c r="E124">
        <v>88920</v>
      </c>
      <c r="G124" s="2"/>
      <c r="H124" s="2"/>
    </row>
    <row r="125" spans="1:8" x14ac:dyDescent="0.3">
      <c r="A125" s="51"/>
      <c r="B125" s="51">
        <v>3</v>
      </c>
      <c r="C125" s="51"/>
      <c r="D125" s="52"/>
      <c r="F125" s="56">
        <f>A$4</f>
        <v>60010</v>
      </c>
      <c r="G125" s="56">
        <f>G126*G114/G115</f>
        <v>38.109998123474369</v>
      </c>
      <c r="H125">
        <f>G125*C$4/B$4</f>
        <v>2454757.8581934283</v>
      </c>
    </row>
    <row r="126" spans="1:8" x14ac:dyDescent="0.3">
      <c r="A126" s="51"/>
      <c r="B126" s="51">
        <v>3</v>
      </c>
      <c r="C126" s="51"/>
      <c r="D126" s="52"/>
      <c r="F126" s="56">
        <f>A$5</f>
        <v>70010</v>
      </c>
      <c r="G126" s="56">
        <f>G127*G115/G116</f>
        <v>74.217938271359571</v>
      </c>
      <c r="H126">
        <f>G126*C$4/B$4</f>
        <v>4780558.282901465</v>
      </c>
    </row>
    <row r="127" spans="1:8" x14ac:dyDescent="0.3">
      <c r="A127" s="53">
        <v>80010</v>
      </c>
      <c r="B127" s="53">
        <v>4</v>
      </c>
      <c r="C127" s="53">
        <v>340143</v>
      </c>
      <c r="D127" s="54">
        <v>2.5338379060233365</v>
      </c>
      <c r="F127" s="53">
        <v>80010</v>
      </c>
      <c r="G127" s="56">
        <f>G128*G116/G117</f>
        <v>87.431641791044768</v>
      </c>
      <c r="H127">
        <f>G127*C127/B127</f>
        <v>7434815.233432835</v>
      </c>
    </row>
    <row r="128" spans="1:8" x14ac:dyDescent="0.3">
      <c r="A128" s="53">
        <v>90010</v>
      </c>
      <c r="B128" s="53">
        <v>72</v>
      </c>
      <c r="C128" s="53">
        <v>6973779</v>
      </c>
      <c r="D128" s="54">
        <v>2.2561916982573891</v>
      </c>
      <c r="F128" s="53">
        <v>90010</v>
      </c>
      <c r="G128" s="53">
        <v>72</v>
      </c>
      <c r="H128" s="53">
        <v>6973779</v>
      </c>
    </row>
    <row r="129" spans="1:8" x14ac:dyDescent="0.3">
      <c r="A129" s="53">
        <v>100010</v>
      </c>
      <c r="B129" s="53">
        <v>347</v>
      </c>
      <c r="C129" s="53">
        <v>38578991</v>
      </c>
      <c r="D129" s="54">
        <v>2.0901991640274789</v>
      </c>
      <c r="F129" s="53">
        <v>100010</v>
      </c>
      <c r="G129" s="53">
        <v>347</v>
      </c>
      <c r="H129" s="53">
        <v>38578991</v>
      </c>
    </row>
    <row r="130" spans="1:8" x14ac:dyDescent="0.3">
      <c r="A130" s="53">
        <v>125010</v>
      </c>
      <c r="B130" s="53">
        <v>253</v>
      </c>
      <c r="C130" s="53">
        <v>34569068</v>
      </c>
      <c r="D130" s="54">
        <v>1.9624103490524178</v>
      </c>
      <c r="F130" s="53">
        <v>125010</v>
      </c>
      <c r="G130" s="53">
        <v>253</v>
      </c>
      <c r="H130" s="53">
        <v>34569068</v>
      </c>
    </row>
    <row r="131" spans="1:8" x14ac:dyDescent="0.3">
      <c r="A131" s="53">
        <v>150010</v>
      </c>
      <c r="B131" s="53">
        <v>264</v>
      </c>
      <c r="C131" s="53">
        <v>45259703</v>
      </c>
      <c r="D131" s="54">
        <v>1.9037414196789026</v>
      </c>
      <c r="F131" s="53">
        <v>150010</v>
      </c>
      <c r="G131" s="53">
        <v>264</v>
      </c>
      <c r="H131" s="53">
        <v>45259703</v>
      </c>
    </row>
    <row r="132" spans="1:8" x14ac:dyDescent="0.3">
      <c r="A132" s="53">
        <v>200010</v>
      </c>
      <c r="B132" s="53">
        <v>137</v>
      </c>
      <c r="C132" s="53">
        <v>30489907</v>
      </c>
      <c r="D132" s="54">
        <v>1.7873999856093115</v>
      </c>
      <c r="F132" s="53">
        <v>200010</v>
      </c>
      <c r="G132" s="53">
        <v>137</v>
      </c>
      <c r="H132" s="53">
        <v>30489907</v>
      </c>
    </row>
    <row r="133" spans="1:8" x14ac:dyDescent="0.3">
      <c r="A133" s="53">
        <v>250010</v>
      </c>
      <c r="B133" s="53">
        <v>228</v>
      </c>
      <c r="C133" s="53">
        <v>74782483</v>
      </c>
      <c r="D133" s="54">
        <v>1.6921550230189373</v>
      </c>
      <c r="F133" s="53">
        <v>250010</v>
      </c>
      <c r="G133" s="53">
        <v>228</v>
      </c>
      <c r="H133" s="53">
        <v>74782483</v>
      </c>
    </row>
    <row r="134" spans="1:8" x14ac:dyDescent="0.3">
      <c r="A134" s="53">
        <v>500010</v>
      </c>
      <c r="B134" s="53">
        <v>54</v>
      </c>
      <c r="C134" s="53">
        <v>44519218</v>
      </c>
      <c r="D134" s="54">
        <v>1.6488269493869381</v>
      </c>
      <c r="F134" s="53">
        <v>500010</v>
      </c>
      <c r="G134" s="53">
        <v>54</v>
      </c>
      <c r="H134" s="53">
        <v>44519218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5" workbookViewId="0">
      <selection activeCell="M3" sqref="M3:O3"/>
    </sheetView>
  </sheetViews>
  <sheetFormatPr baseColWidth="10" defaultRowHeight="15.6" x14ac:dyDescent="0.3"/>
  <cols>
    <col min="6" max="6" width="14.296875" bestFit="1" customWidth="1"/>
  </cols>
  <sheetData>
    <row r="1" spans="1:6" x14ac:dyDescent="0.3">
      <c r="A1" t="s">
        <v>190</v>
      </c>
      <c r="B1" s="3"/>
      <c r="C1" s="3"/>
      <c r="D1" s="3"/>
      <c r="E1" s="3"/>
      <c r="F1" s="3"/>
    </row>
    <row r="2" spans="1:6" x14ac:dyDescent="0.3">
      <c r="A2" s="3"/>
      <c r="B2" s="3"/>
      <c r="C2" s="3"/>
      <c r="D2" s="3"/>
      <c r="E2" s="3"/>
      <c r="F2" s="3"/>
    </row>
    <row r="3" spans="1:6" x14ac:dyDescent="0.3">
      <c r="A3" s="3" t="s">
        <v>0</v>
      </c>
      <c r="B3" s="3"/>
      <c r="C3" s="3"/>
      <c r="D3" s="3"/>
      <c r="E3" s="3"/>
      <c r="F3" s="3"/>
    </row>
    <row r="4" spans="1:6" x14ac:dyDescent="0.3">
      <c r="A4" s="3"/>
      <c r="B4" s="79"/>
      <c r="C4" s="79"/>
      <c r="D4" s="3"/>
      <c r="E4" s="79" t="s">
        <v>2</v>
      </c>
      <c r="F4" s="79"/>
    </row>
    <row r="5" spans="1:6" x14ac:dyDescent="0.3">
      <c r="A5" s="3"/>
      <c r="B5" s="22" t="s">
        <v>53</v>
      </c>
      <c r="C5" s="22" t="s">
        <v>54</v>
      </c>
      <c r="D5" t="s">
        <v>55</v>
      </c>
      <c r="E5" s="3" t="s">
        <v>3</v>
      </c>
      <c r="F5" s="3" t="s">
        <v>4</v>
      </c>
    </row>
    <row r="6" spans="1:6" x14ac:dyDescent="0.3">
      <c r="A6" s="3">
        <v>0</v>
      </c>
      <c r="B6" s="4">
        <v>973561</v>
      </c>
      <c r="C6" s="4">
        <v>232128</v>
      </c>
      <c r="D6" s="4">
        <v>50800</v>
      </c>
      <c r="E6" s="4">
        <v>1390959</v>
      </c>
      <c r="F6" s="4">
        <v>49995636540</v>
      </c>
    </row>
    <row r="7" spans="1:6" x14ac:dyDescent="0.3">
      <c r="A7" s="3">
        <v>40010</v>
      </c>
      <c r="B7" s="4">
        <v>1132200</v>
      </c>
      <c r="C7" s="4">
        <v>295211</v>
      </c>
      <c r="D7" s="4">
        <v>127240</v>
      </c>
      <c r="E7" s="4">
        <v>2122695</v>
      </c>
      <c r="F7" s="4">
        <v>95905663842</v>
      </c>
    </row>
    <row r="8" spans="1:6" x14ac:dyDescent="0.3">
      <c r="A8" s="3">
        <v>50010</v>
      </c>
      <c r="B8" s="4">
        <v>780224</v>
      </c>
      <c r="C8" s="4">
        <v>244150</v>
      </c>
      <c r="D8" s="4">
        <v>106187</v>
      </c>
      <c r="E8" s="4">
        <v>1968436</v>
      </c>
      <c r="F8" s="4">
        <v>107996816160</v>
      </c>
    </row>
    <row r="9" spans="1:6" x14ac:dyDescent="0.3">
      <c r="A9" s="3">
        <v>60010</v>
      </c>
      <c r="B9" s="4">
        <v>440162</v>
      </c>
      <c r="C9" s="4">
        <v>164144</v>
      </c>
      <c r="D9" s="4">
        <v>74715</v>
      </c>
      <c r="E9" s="4">
        <v>1527385</v>
      </c>
      <c r="F9" s="4">
        <v>98880766749</v>
      </c>
    </row>
    <row r="10" spans="1:6" x14ac:dyDescent="0.3">
      <c r="A10" s="3">
        <v>70010</v>
      </c>
      <c r="B10" s="4">
        <v>244475</v>
      </c>
      <c r="C10" s="4">
        <v>86851</v>
      </c>
      <c r="D10" s="4">
        <v>48455</v>
      </c>
      <c r="E10" s="4">
        <v>1274730</v>
      </c>
      <c r="F10" s="4">
        <v>95875321979</v>
      </c>
    </row>
    <row r="11" spans="1:6" x14ac:dyDescent="0.3">
      <c r="A11" s="3">
        <v>80010</v>
      </c>
      <c r="B11" s="4">
        <v>159556</v>
      </c>
      <c r="C11" s="4">
        <v>78788</v>
      </c>
      <c r="D11" s="4">
        <v>31482</v>
      </c>
      <c r="E11" s="4">
        <v>1219627</v>
      </c>
      <c r="F11" s="4">
        <v>103544090161</v>
      </c>
    </row>
    <row r="12" spans="1:6" x14ac:dyDescent="0.3">
      <c r="A12" s="3">
        <v>90010</v>
      </c>
      <c r="B12" s="4">
        <v>99121</v>
      </c>
      <c r="C12" s="4">
        <v>56698</v>
      </c>
      <c r="D12" s="4">
        <v>20447</v>
      </c>
      <c r="E12" s="4">
        <v>1042750</v>
      </c>
      <c r="F12" s="4">
        <v>98926598257</v>
      </c>
    </row>
    <row r="13" spans="1:6" x14ac:dyDescent="0.3">
      <c r="A13" s="3">
        <v>100010</v>
      </c>
      <c r="B13" s="4">
        <v>128844</v>
      </c>
      <c r="C13" s="4">
        <v>75160</v>
      </c>
      <c r="D13" s="4">
        <v>26732</v>
      </c>
      <c r="E13" s="4">
        <v>1840565</v>
      </c>
      <c r="F13" s="4">
        <v>204990305352</v>
      </c>
    </row>
    <row r="14" spans="1:6" x14ac:dyDescent="0.3">
      <c r="A14" s="3">
        <v>125010</v>
      </c>
      <c r="B14" s="4">
        <v>54755</v>
      </c>
      <c r="C14" s="4">
        <v>32732</v>
      </c>
      <c r="D14" s="4">
        <v>11768</v>
      </c>
      <c r="E14" s="4">
        <v>1054963</v>
      </c>
      <c r="F14" s="4">
        <v>143828444959</v>
      </c>
    </row>
    <row r="15" spans="1:6" x14ac:dyDescent="0.3">
      <c r="A15" s="3">
        <v>150010</v>
      </c>
      <c r="B15" s="4">
        <v>42353</v>
      </c>
      <c r="C15" s="4">
        <v>27543</v>
      </c>
      <c r="D15" s="4">
        <v>9546</v>
      </c>
      <c r="E15" s="4">
        <v>959383</v>
      </c>
      <c r="F15" s="4">
        <v>163699806934</v>
      </c>
    </row>
    <row r="16" spans="1:6" x14ac:dyDescent="0.3">
      <c r="A16" s="3">
        <v>200010</v>
      </c>
      <c r="B16" s="4">
        <v>15754</v>
      </c>
      <c r="C16" s="4">
        <v>10831</v>
      </c>
      <c r="D16" s="4">
        <v>3796</v>
      </c>
      <c r="E16" s="4">
        <v>368047</v>
      </c>
      <c r="F16" s="4">
        <v>81567002868</v>
      </c>
    </row>
    <row r="17" spans="1:7" x14ac:dyDescent="0.3">
      <c r="A17" s="3">
        <v>250010</v>
      </c>
      <c r="B17" s="4">
        <v>16524</v>
      </c>
      <c r="C17" s="4">
        <v>11748</v>
      </c>
      <c r="D17" s="4">
        <v>4176</v>
      </c>
      <c r="E17" s="4">
        <v>397297</v>
      </c>
      <c r="F17" s="4">
        <v>130312095174</v>
      </c>
    </row>
    <row r="18" spans="1:7" x14ac:dyDescent="0.3">
      <c r="A18" s="3">
        <v>500010</v>
      </c>
      <c r="B18" s="4">
        <v>3868</v>
      </c>
      <c r="C18" s="4">
        <v>3191</v>
      </c>
      <c r="D18" s="4">
        <v>934</v>
      </c>
      <c r="E18" s="4">
        <v>85483</v>
      </c>
      <c r="F18" s="4">
        <v>72031955617</v>
      </c>
    </row>
    <row r="19" spans="1:7" x14ac:dyDescent="0.3">
      <c r="A19" s="3" t="s">
        <v>2</v>
      </c>
      <c r="B19" s="4">
        <v>4091397</v>
      </c>
      <c r="C19" s="4">
        <v>1319175</v>
      </c>
      <c r="D19" s="4">
        <v>516278</v>
      </c>
      <c r="E19" s="4">
        <v>15252320</v>
      </c>
      <c r="F19" s="4">
        <v>1447554504592</v>
      </c>
      <c r="G19" s="2"/>
    </row>
    <row r="20" spans="1:7" x14ac:dyDescent="0.3">
      <c r="A20" s="3"/>
      <c r="B20" s="4">
        <f>B19-SUM(B6:B18)</f>
        <v>0</v>
      </c>
      <c r="C20" s="4">
        <f t="shared" ref="C20:E20" si="0">C19-SUM(C6:C18)</f>
        <v>0</v>
      </c>
      <c r="D20" s="4">
        <f t="shared" si="0"/>
        <v>0</v>
      </c>
      <c r="E20" s="4">
        <f t="shared" si="0"/>
        <v>0</v>
      </c>
      <c r="F20" s="4"/>
    </row>
    <row r="21" spans="1:7" x14ac:dyDescent="0.3">
      <c r="A21" s="3"/>
      <c r="B21" s="4"/>
      <c r="C21" s="4"/>
      <c r="D21" s="4"/>
      <c r="E21" s="4"/>
      <c r="F21" s="4"/>
    </row>
    <row r="22" spans="1:7" x14ac:dyDescent="0.3">
      <c r="A22" s="3" t="s">
        <v>5</v>
      </c>
      <c r="B22" s="3"/>
      <c r="C22" s="3"/>
      <c r="D22" s="3"/>
      <c r="E22" s="3"/>
      <c r="F22" s="3"/>
    </row>
    <row r="23" spans="1:7" x14ac:dyDescent="0.3">
      <c r="A23" s="3"/>
      <c r="B23" s="79"/>
      <c r="C23" s="79"/>
      <c r="D23" s="3"/>
      <c r="E23" s="79" t="s">
        <v>2</v>
      </c>
      <c r="F23" s="79"/>
    </row>
    <row r="24" spans="1:7" x14ac:dyDescent="0.3">
      <c r="A24" s="3"/>
      <c r="B24" s="22" t="s">
        <v>53</v>
      </c>
      <c r="C24" s="22" t="s">
        <v>54</v>
      </c>
      <c r="D24" t="s">
        <v>55</v>
      </c>
      <c r="E24" s="3" t="s">
        <v>3</v>
      </c>
      <c r="F24" s="3" t="s">
        <v>4</v>
      </c>
    </row>
    <row r="25" spans="1:7" x14ac:dyDescent="0.3">
      <c r="A25" s="3">
        <v>0</v>
      </c>
      <c r="B25" s="4">
        <v>3783533</v>
      </c>
      <c r="C25" s="4">
        <v>1500332</v>
      </c>
      <c r="D25" s="4">
        <v>406854</v>
      </c>
      <c r="E25" s="4">
        <v>7992443</v>
      </c>
      <c r="F25" s="4">
        <v>147918112875</v>
      </c>
    </row>
    <row r="26" spans="1:7" x14ac:dyDescent="0.3">
      <c r="A26" s="3">
        <v>40010</v>
      </c>
      <c r="B26" s="4">
        <v>24829</v>
      </c>
      <c r="C26" s="4">
        <v>21066</v>
      </c>
      <c r="D26" s="4">
        <v>15539</v>
      </c>
      <c r="E26" s="4">
        <v>739791</v>
      </c>
      <c r="F26" s="4">
        <v>33093286213</v>
      </c>
    </row>
    <row r="27" spans="1:7" x14ac:dyDescent="0.3">
      <c r="A27" s="3">
        <v>50010</v>
      </c>
      <c r="B27" s="4">
        <v>1547</v>
      </c>
      <c r="C27" s="4">
        <v>2909</v>
      </c>
      <c r="D27" s="4">
        <v>6362</v>
      </c>
      <c r="E27" s="4">
        <v>476843</v>
      </c>
      <c r="F27" s="4">
        <v>26028273303</v>
      </c>
    </row>
    <row r="28" spans="1:7" x14ac:dyDescent="0.3">
      <c r="A28" s="3">
        <v>60010</v>
      </c>
      <c r="B28" s="4">
        <v>184</v>
      </c>
      <c r="C28" s="4">
        <v>301</v>
      </c>
      <c r="D28" s="4">
        <v>1562</v>
      </c>
      <c r="E28" s="4">
        <v>288874</v>
      </c>
      <c r="F28" s="4">
        <v>18650251890</v>
      </c>
    </row>
    <row r="29" spans="1:7" x14ac:dyDescent="0.3">
      <c r="A29" s="3">
        <v>70010</v>
      </c>
      <c r="B29" s="4">
        <v>57</v>
      </c>
      <c r="C29" s="4">
        <v>43</v>
      </c>
      <c r="D29" s="4">
        <v>168</v>
      </c>
      <c r="E29" s="4">
        <v>132702</v>
      </c>
      <c r="F29" s="4">
        <v>9885579419</v>
      </c>
    </row>
    <row r="30" spans="1:7" x14ac:dyDescent="0.3">
      <c r="A30" s="3">
        <v>80010</v>
      </c>
      <c r="B30" s="4">
        <v>24</v>
      </c>
      <c r="C30" s="4">
        <v>18</v>
      </c>
      <c r="D30" s="4">
        <v>34</v>
      </c>
      <c r="E30" s="4">
        <v>69300</v>
      </c>
      <c r="F30" s="4">
        <v>5848131908</v>
      </c>
    </row>
    <row r="31" spans="1:7" x14ac:dyDescent="0.3">
      <c r="A31" s="3">
        <v>90010</v>
      </c>
      <c r="B31" s="4">
        <v>15</v>
      </c>
      <c r="C31" s="4">
        <v>6</v>
      </c>
      <c r="D31" s="4">
        <v>12</v>
      </c>
      <c r="E31" s="4">
        <v>23056</v>
      </c>
      <c r="F31" s="4">
        <v>2171663675</v>
      </c>
    </row>
    <row r="32" spans="1:7" x14ac:dyDescent="0.3">
      <c r="A32" s="3">
        <v>100010</v>
      </c>
      <c r="B32" s="4">
        <v>16</v>
      </c>
      <c r="C32" s="4">
        <v>2</v>
      </c>
      <c r="D32" s="4">
        <v>2</v>
      </c>
      <c r="E32" s="4">
        <v>11522</v>
      </c>
      <c r="F32" s="4">
        <v>1241284484</v>
      </c>
    </row>
    <row r="33" spans="1:10" x14ac:dyDescent="0.3">
      <c r="A33" s="3">
        <v>125010</v>
      </c>
      <c r="B33" s="4">
        <v>15</v>
      </c>
      <c r="C33" s="4">
        <v>1</v>
      </c>
      <c r="D33" s="4">
        <v>2</v>
      </c>
      <c r="E33" s="4">
        <v>1193</v>
      </c>
      <c r="F33" s="4">
        <v>159930137</v>
      </c>
    </row>
    <row r="34" spans="1:10" x14ac:dyDescent="0.3">
      <c r="A34" s="3">
        <v>150010</v>
      </c>
      <c r="B34" s="4">
        <v>2</v>
      </c>
      <c r="C34" s="4">
        <v>1</v>
      </c>
      <c r="D34" s="4">
        <v>0</v>
      </c>
      <c r="E34" s="4">
        <v>323</v>
      </c>
      <c r="F34" s="4">
        <v>53657005</v>
      </c>
    </row>
    <row r="35" spans="1:10" x14ac:dyDescent="0.3">
      <c r="A35" s="3">
        <v>200010</v>
      </c>
      <c r="B35" s="4">
        <v>1</v>
      </c>
      <c r="C35" s="4">
        <v>0</v>
      </c>
      <c r="D35" s="4">
        <v>0</v>
      </c>
      <c r="E35" s="4">
        <v>45</v>
      </c>
      <c r="F35" s="4">
        <v>9813174</v>
      </c>
    </row>
    <row r="36" spans="1:10" x14ac:dyDescent="0.3">
      <c r="A36" s="3">
        <v>250010</v>
      </c>
      <c r="B36" s="4">
        <v>0</v>
      </c>
      <c r="C36" s="4">
        <v>0</v>
      </c>
      <c r="D36" s="4">
        <v>0</v>
      </c>
      <c r="E36" s="4">
        <v>19</v>
      </c>
      <c r="F36" s="4">
        <v>5898507</v>
      </c>
    </row>
    <row r="37" spans="1:10" x14ac:dyDescent="0.3">
      <c r="A37" s="3">
        <v>500010</v>
      </c>
      <c r="B37" s="4">
        <v>0</v>
      </c>
      <c r="C37" s="4">
        <v>0</v>
      </c>
      <c r="D37" s="4">
        <v>1</v>
      </c>
      <c r="E37" s="4">
        <v>3</v>
      </c>
      <c r="F37" s="4">
        <v>4386345</v>
      </c>
    </row>
    <row r="38" spans="1:10" x14ac:dyDescent="0.3">
      <c r="A38" s="3" t="s">
        <v>2</v>
      </c>
      <c r="B38" s="4">
        <v>3810223</v>
      </c>
      <c r="C38" s="4">
        <v>1524679</v>
      </c>
      <c r="D38" s="4">
        <v>430536</v>
      </c>
      <c r="E38" s="4">
        <v>9736114</v>
      </c>
      <c r="F38" s="4">
        <v>245070268935</v>
      </c>
      <c r="G38" s="2"/>
    </row>
    <row r="39" spans="1:10" x14ac:dyDescent="0.3">
      <c r="A39" s="3"/>
      <c r="B39" s="4">
        <f>B38-SUM(B25:B37)</f>
        <v>0</v>
      </c>
      <c r="C39" s="4">
        <f t="shared" ref="C39" si="1">C38-SUM(C25:C37)</f>
        <v>0</v>
      </c>
      <c r="D39" s="4">
        <f t="shared" ref="D39" si="2">D38-SUM(D25:D37)</f>
        <v>0</v>
      </c>
      <c r="E39" s="4">
        <f t="shared" ref="E39" si="3">E38-SUM(E25:E37)</f>
        <v>0</v>
      </c>
      <c r="F39" s="3"/>
    </row>
    <row r="40" spans="1:10" x14ac:dyDescent="0.3">
      <c r="A40" s="3"/>
      <c r="B40" s="3"/>
      <c r="C40" s="3"/>
      <c r="D40" s="3"/>
      <c r="E40" s="3"/>
      <c r="F40" s="3"/>
    </row>
    <row r="41" spans="1:10" x14ac:dyDescent="0.3">
      <c r="A41" s="3" t="s">
        <v>6</v>
      </c>
      <c r="B41" s="3"/>
      <c r="C41" s="3"/>
      <c r="D41" s="3"/>
      <c r="E41" s="3"/>
      <c r="F41" s="3"/>
    </row>
    <row r="42" spans="1:10" x14ac:dyDescent="0.3">
      <c r="A42" s="3"/>
      <c r="B42" s="79"/>
      <c r="C42" s="79"/>
      <c r="D42" s="3"/>
      <c r="E42" s="79" t="s">
        <v>2</v>
      </c>
      <c r="F42" s="79"/>
    </row>
    <row r="43" spans="1:10" x14ac:dyDescent="0.3">
      <c r="A43" s="3"/>
      <c r="B43" s="22" t="s">
        <v>53</v>
      </c>
      <c r="C43" s="22" t="s">
        <v>54</v>
      </c>
      <c r="D43" t="s">
        <v>55</v>
      </c>
      <c r="E43" s="3" t="s">
        <v>3</v>
      </c>
      <c r="F43" s="3" t="s">
        <v>4</v>
      </c>
      <c r="G43" t="s">
        <v>7</v>
      </c>
      <c r="H43" t="s">
        <v>8</v>
      </c>
      <c r="I43" t="s">
        <v>52</v>
      </c>
      <c r="J43" t="s">
        <v>189</v>
      </c>
    </row>
    <row r="44" spans="1:10" x14ac:dyDescent="0.3">
      <c r="A44" s="3">
        <v>0</v>
      </c>
      <c r="B44" s="4">
        <f>B6+B25</f>
        <v>4757094</v>
      </c>
      <c r="C44" s="4">
        <f t="shared" ref="C44:F44" si="4">C6+C25</f>
        <v>1732460</v>
      </c>
      <c r="D44" s="4">
        <f t="shared" si="4"/>
        <v>457654</v>
      </c>
      <c r="E44" s="4">
        <f t="shared" si="4"/>
        <v>9383402</v>
      </c>
      <c r="F44" s="4">
        <f t="shared" si="4"/>
        <v>197913749415</v>
      </c>
      <c r="G44">
        <f>1-SUM(E44:$E$56)/$E$57</f>
        <v>0</v>
      </c>
      <c r="I44" s="49">
        <f>E25/E44</f>
        <v>0.85176389117720841</v>
      </c>
      <c r="J44" s="49">
        <f t="shared" ref="J44:J57" si="5">(B44+C44+D44)/E44</f>
        <v>0.7403719887520539</v>
      </c>
    </row>
    <row r="45" spans="1:10" x14ac:dyDescent="0.3">
      <c r="A45" s="3">
        <v>40010</v>
      </c>
      <c r="B45" s="4">
        <f t="shared" ref="B45:F45" si="6">B7+B26</f>
        <v>1157029</v>
      </c>
      <c r="C45" s="4">
        <f t="shared" si="6"/>
        <v>316277</v>
      </c>
      <c r="D45" s="4">
        <f t="shared" si="6"/>
        <v>142779</v>
      </c>
      <c r="E45" s="4">
        <f t="shared" si="6"/>
        <v>2862486</v>
      </c>
      <c r="F45" s="4">
        <f t="shared" si="6"/>
        <v>128998950055</v>
      </c>
      <c r="G45">
        <f>1-SUM(E45:$E$56)/$E$57</f>
        <v>0.37550980585658145</v>
      </c>
      <c r="H45">
        <f>SUM(F45:F$56)/(A45*SUM(E45:E$56))</f>
        <v>2.3939993198220644</v>
      </c>
      <c r="I45" s="49">
        <f t="shared" ref="I45:I57" si="7">E26/E45</f>
        <v>0.25844353474567211</v>
      </c>
      <c r="J45" s="49">
        <f t="shared" si="5"/>
        <v>0.56457394027429308</v>
      </c>
    </row>
    <row r="46" spans="1:10" x14ac:dyDescent="0.3">
      <c r="A46" s="3">
        <v>50010</v>
      </c>
      <c r="B46" s="4">
        <f t="shared" ref="B46:F46" si="8">B8+B27</f>
        <v>781771</v>
      </c>
      <c r="C46" s="4">
        <f t="shared" si="8"/>
        <v>247059</v>
      </c>
      <c r="D46" s="4">
        <f t="shared" si="8"/>
        <v>112549</v>
      </c>
      <c r="E46" s="4">
        <f t="shared" si="8"/>
        <v>2445279</v>
      </c>
      <c r="F46" s="4">
        <f t="shared" si="8"/>
        <v>134025089463</v>
      </c>
      <c r="G46">
        <f>1-SUM(E46:$E$56)/$E$57</f>
        <v>0.49006224239582197</v>
      </c>
      <c r="H46">
        <f>SUM(F46:F$56)/(A46*SUM(E46:E$56))</f>
        <v>2.1431180021005978</v>
      </c>
      <c r="I46" s="49">
        <f t="shared" si="7"/>
        <v>0.19500555969277944</v>
      </c>
      <c r="J46" s="49">
        <f t="shared" si="5"/>
        <v>0.46676841374747013</v>
      </c>
    </row>
    <row r="47" spans="1:10" x14ac:dyDescent="0.3">
      <c r="A47" s="3">
        <v>60010</v>
      </c>
      <c r="B47" s="4">
        <f t="shared" ref="B47:F47" si="9">B9+B28</f>
        <v>440346</v>
      </c>
      <c r="C47" s="4">
        <f t="shared" si="9"/>
        <v>164445</v>
      </c>
      <c r="D47" s="4">
        <f t="shared" si="9"/>
        <v>76277</v>
      </c>
      <c r="E47" s="4">
        <f t="shared" si="9"/>
        <v>1816259</v>
      </c>
      <c r="F47" s="4">
        <f t="shared" si="9"/>
        <v>117531018639</v>
      </c>
      <c r="G47">
        <f>1-SUM(E47:$E$56)/$E$57</f>
        <v>0.58791867469566128</v>
      </c>
      <c r="H47">
        <f>SUM(F47:F$56)/(A47*SUM(E47:E$56))</f>
        <v>1.9932177758715444</v>
      </c>
      <c r="I47" s="49">
        <f t="shared" si="7"/>
        <v>0.15904890216648618</v>
      </c>
      <c r="J47" s="49">
        <f t="shared" si="5"/>
        <v>0.37498396429143643</v>
      </c>
    </row>
    <row r="48" spans="1:10" x14ac:dyDescent="0.3">
      <c r="A48" s="3">
        <v>70010</v>
      </c>
      <c r="B48" s="4">
        <f t="shared" ref="B48:F48" si="10">B10+B29</f>
        <v>244532</v>
      </c>
      <c r="C48" s="4">
        <f t="shared" si="10"/>
        <v>86894</v>
      </c>
      <c r="D48" s="4">
        <f t="shared" si="10"/>
        <v>48623</v>
      </c>
      <c r="E48" s="4">
        <f t="shared" si="10"/>
        <v>1407432</v>
      </c>
      <c r="F48" s="4">
        <f t="shared" si="10"/>
        <v>105760901398</v>
      </c>
      <c r="G48">
        <f>1-SUM(E48:$E$56)/$E$57</f>
        <v>0.66060266121518452</v>
      </c>
      <c r="H48">
        <f>SUM(F48:F$56)/(A48*SUM(E48:E$56))</f>
        <v>1.8764562345008913</v>
      </c>
      <c r="I48" s="49">
        <f t="shared" si="7"/>
        <v>9.4286615623348058E-2</v>
      </c>
      <c r="J48" s="49">
        <f t="shared" si="5"/>
        <v>0.27003009736882494</v>
      </c>
    </row>
    <row r="49" spans="1:10" x14ac:dyDescent="0.3">
      <c r="A49" s="3">
        <v>80010</v>
      </c>
      <c r="B49" s="4">
        <f t="shared" ref="B49:F49" si="11">B11+B30</f>
        <v>159580</v>
      </c>
      <c r="C49" s="4">
        <f t="shared" si="11"/>
        <v>78806</v>
      </c>
      <c r="D49" s="4">
        <f t="shared" si="11"/>
        <v>31516</v>
      </c>
      <c r="E49" s="4">
        <f t="shared" si="11"/>
        <v>1288927</v>
      </c>
      <c r="F49" s="4">
        <f t="shared" si="11"/>
        <v>109392222069</v>
      </c>
      <c r="G49">
        <f>1-SUM(E49:$E$56)/$E$57</f>
        <v>0.71692599864401263</v>
      </c>
      <c r="H49">
        <f>SUM(F49:F$56)/(A49*SUM(E49:E$56))</f>
        <v>1.7817526646496304</v>
      </c>
      <c r="I49" s="49">
        <f t="shared" si="7"/>
        <v>5.3765651584612627E-2</v>
      </c>
      <c r="J49" s="49">
        <f t="shared" si="5"/>
        <v>0.20940053238080977</v>
      </c>
    </row>
    <row r="50" spans="1:10" x14ac:dyDescent="0.3">
      <c r="A50" s="3">
        <v>90010</v>
      </c>
      <c r="B50" s="4">
        <f t="shared" ref="B50:F50" si="12">B12+B31</f>
        <v>99136</v>
      </c>
      <c r="C50" s="4">
        <f t="shared" si="12"/>
        <v>56704</v>
      </c>
      <c r="D50" s="4">
        <f t="shared" si="12"/>
        <v>20459</v>
      </c>
      <c r="E50" s="4">
        <f t="shared" si="12"/>
        <v>1065806</v>
      </c>
      <c r="F50" s="4">
        <f t="shared" si="12"/>
        <v>101098261932</v>
      </c>
      <c r="G50">
        <f>1-SUM(E50:$E$56)/$E$57</f>
        <v>0.7685069420516708</v>
      </c>
      <c r="H50">
        <f>SUM(F50:F$56)/(A50*SUM(E50:E$56))</f>
        <v>1.7266061804861004</v>
      </c>
      <c r="I50" s="49">
        <f t="shared" si="7"/>
        <v>2.1632454686875472E-2</v>
      </c>
      <c r="J50" s="49">
        <f t="shared" si="5"/>
        <v>0.1654137807443381</v>
      </c>
    </row>
    <row r="51" spans="1:10" x14ac:dyDescent="0.3">
      <c r="A51" s="3">
        <v>100010</v>
      </c>
      <c r="B51" s="4">
        <f t="shared" ref="B51:F51" si="13">B13+B32</f>
        <v>128860</v>
      </c>
      <c r="C51" s="4">
        <f t="shared" si="13"/>
        <v>75162</v>
      </c>
      <c r="D51" s="4">
        <f t="shared" si="13"/>
        <v>26734</v>
      </c>
      <c r="E51" s="4">
        <f t="shared" si="13"/>
        <v>1852087</v>
      </c>
      <c r="F51" s="4">
        <f t="shared" si="13"/>
        <v>206231589836</v>
      </c>
      <c r="G51">
        <f>1-SUM(E51:$E$56)/$E$57</f>
        <v>0.81115891456023215</v>
      </c>
      <c r="H51">
        <f>SUM(F51:F$56)/(A51*SUM(E51:E$56))</f>
        <v>1.6907212172055572</v>
      </c>
      <c r="I51" s="49">
        <f t="shared" si="7"/>
        <v>6.221090045985961E-3</v>
      </c>
      <c r="J51" s="49">
        <f t="shared" si="5"/>
        <v>0.12459241925460306</v>
      </c>
    </row>
    <row r="52" spans="1:10" x14ac:dyDescent="0.3">
      <c r="A52" s="3">
        <v>125010</v>
      </c>
      <c r="B52" s="4">
        <f t="shared" ref="B52:F52" si="14">B14+B33</f>
        <v>54770</v>
      </c>
      <c r="C52" s="4">
        <f t="shared" si="14"/>
        <v>32733</v>
      </c>
      <c r="D52" s="4">
        <f t="shared" si="14"/>
        <v>11770</v>
      </c>
      <c r="E52" s="4">
        <f t="shared" si="14"/>
        <v>1056156</v>
      </c>
      <c r="F52" s="4">
        <f t="shared" si="14"/>
        <v>143988375096</v>
      </c>
      <c r="G52">
        <f>1-SUM(E52:$E$56)/$E$57</f>
        <v>0.8852766844052733</v>
      </c>
      <c r="H52">
        <f>SUM(F52:F$56)/(A52*SUM(E52:E$56))</f>
        <v>1.6509969056791625</v>
      </c>
      <c r="I52" s="49">
        <f t="shared" si="7"/>
        <v>1.1295679804877309E-3</v>
      </c>
      <c r="J52" s="49">
        <f t="shared" si="5"/>
        <v>9.3994637155874694E-2</v>
      </c>
    </row>
    <row r="53" spans="1:10" x14ac:dyDescent="0.3">
      <c r="A53" s="3">
        <v>150010</v>
      </c>
      <c r="B53" s="4">
        <f t="shared" ref="B53:F53" si="15">B15+B34</f>
        <v>42355</v>
      </c>
      <c r="C53" s="4">
        <f t="shared" si="15"/>
        <v>27544</v>
      </c>
      <c r="D53" s="4">
        <f t="shared" si="15"/>
        <v>9546</v>
      </c>
      <c r="E53" s="4">
        <f t="shared" si="15"/>
        <v>959706</v>
      </c>
      <c r="F53" s="4">
        <f t="shared" si="15"/>
        <v>163753463939</v>
      </c>
      <c r="G53">
        <f>1-SUM(E53:$E$56)/$E$57</f>
        <v>0.92754247825213854</v>
      </c>
      <c r="H53">
        <f>SUM(F53:F$56)/(A53*SUM(E53:E$56))</f>
        <v>1.6482741337035058</v>
      </c>
      <c r="I53" s="49">
        <f t="shared" si="7"/>
        <v>3.3656140526369536E-4</v>
      </c>
      <c r="J53" s="49">
        <f t="shared" si="5"/>
        <v>8.2780559879796517E-2</v>
      </c>
    </row>
    <row r="54" spans="1:10" x14ac:dyDescent="0.3">
      <c r="A54" s="3">
        <v>200010</v>
      </c>
      <c r="B54" s="4">
        <f t="shared" ref="B54:F54" si="16">B16+B35</f>
        <v>15755</v>
      </c>
      <c r="C54" s="4">
        <f t="shared" si="16"/>
        <v>10831</v>
      </c>
      <c r="D54" s="4">
        <f t="shared" si="16"/>
        <v>3796</v>
      </c>
      <c r="E54" s="4">
        <f t="shared" si="16"/>
        <v>368092</v>
      </c>
      <c r="F54" s="4">
        <f t="shared" si="16"/>
        <v>81576816042</v>
      </c>
      <c r="G54">
        <f>1-SUM(E54:$E$56)/$E$57</f>
        <v>0.96594848640775166</v>
      </c>
      <c r="H54">
        <f>SUM(F54:F$56)/(A54*SUM(E54:E$56))</f>
        <v>1.6683450337950916</v>
      </c>
      <c r="I54" s="49">
        <f t="shared" si="7"/>
        <v>1.222520456842311E-4</v>
      </c>
      <c r="J54" s="49">
        <f t="shared" si="5"/>
        <v>8.2539147821740211E-2</v>
      </c>
    </row>
    <row r="55" spans="1:10" x14ac:dyDescent="0.3">
      <c r="A55" s="3">
        <v>250010</v>
      </c>
      <c r="B55" s="4">
        <f t="shared" ref="B55:F55" si="17">B17+B36</f>
        <v>16524</v>
      </c>
      <c r="C55" s="4">
        <f t="shared" si="17"/>
        <v>11748</v>
      </c>
      <c r="D55" s="4">
        <f t="shared" si="17"/>
        <v>4176</v>
      </c>
      <c r="E55" s="4">
        <f t="shared" si="17"/>
        <v>397316</v>
      </c>
      <c r="F55" s="4">
        <f t="shared" si="17"/>
        <v>130317993681</v>
      </c>
      <c r="G55">
        <f>1-SUM(E55:$E$56)/$E$57</f>
        <v>0.98067898132391973</v>
      </c>
      <c r="H55">
        <f>SUM(F55:F$56)/(A55*SUM(E55:E$56))</f>
        <v>1.6764325068523185</v>
      </c>
      <c r="I55" s="49">
        <f t="shared" si="7"/>
        <v>4.78208780919973E-5</v>
      </c>
      <c r="J55" s="49">
        <f t="shared" si="5"/>
        <v>8.166799222784886E-2</v>
      </c>
    </row>
    <row r="56" spans="1:10" x14ac:dyDescent="0.3">
      <c r="A56" s="3">
        <v>500010</v>
      </c>
      <c r="B56" s="4">
        <f t="shared" ref="B56:F56" si="18">B18+B37</f>
        <v>3868</v>
      </c>
      <c r="C56" s="4">
        <f t="shared" si="18"/>
        <v>3191</v>
      </c>
      <c r="D56" s="4">
        <f t="shared" si="18"/>
        <v>935</v>
      </c>
      <c r="E56" s="4">
        <f t="shared" si="18"/>
        <v>85486</v>
      </c>
      <c r="F56" s="4">
        <f t="shared" si="18"/>
        <v>72036341962</v>
      </c>
      <c r="G56">
        <f>1-SUM(E56:$E$56)/$E$57</f>
        <v>0.99657897729805722</v>
      </c>
      <c r="H56">
        <f>SUM(F56:F$56)/(A56*SUM(E56:E$56))</f>
        <v>1.6853028861796018</v>
      </c>
      <c r="I56" s="49">
        <f t="shared" si="7"/>
        <v>3.5093465596705895E-5</v>
      </c>
      <c r="J56" s="49">
        <f t="shared" si="5"/>
        <v>9.3512387993355636E-2</v>
      </c>
    </row>
    <row r="57" spans="1:10" x14ac:dyDescent="0.3">
      <c r="A57" s="3" t="s">
        <v>2</v>
      </c>
      <c r="B57" s="4">
        <f t="shared" ref="B57:F57" si="19">B19+B38</f>
        <v>7901620</v>
      </c>
      <c r="C57" s="4">
        <f t="shared" si="19"/>
        <v>2843854</v>
      </c>
      <c r="D57" s="4">
        <f t="shared" si="19"/>
        <v>946814</v>
      </c>
      <c r="E57" s="4">
        <f t="shared" si="19"/>
        <v>24988434</v>
      </c>
      <c r="F57" s="4">
        <f t="shared" si="19"/>
        <v>1692624773527</v>
      </c>
      <c r="G57" s="4">
        <f>(F57/E57)/6.55957</f>
        <v>10326.336707449753</v>
      </c>
      <c r="I57" s="49">
        <f t="shared" si="7"/>
        <v>0.38962481602488575</v>
      </c>
      <c r="J57" s="49">
        <f t="shared" si="5"/>
        <v>0.46790799295386015</v>
      </c>
    </row>
    <row r="58" spans="1:10" x14ac:dyDescent="0.3">
      <c r="B58" s="4">
        <f>B57-SUM(B44:B56)</f>
        <v>0</v>
      </c>
      <c r="C58" s="4">
        <f t="shared" ref="C58" si="20">C57-SUM(C44:C56)</f>
        <v>0</v>
      </c>
      <c r="D58" s="4">
        <f t="shared" ref="D58" si="21">D57-SUM(D44:D56)</f>
        <v>0</v>
      </c>
      <c r="E58" s="4">
        <f t="shared" ref="E58" si="22">E57-SUM(E44:E56)</f>
        <v>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4" workbookViewId="0">
      <selection activeCell="M3" sqref="M3:O3"/>
    </sheetView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203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48" t="s">
        <v>53</v>
      </c>
      <c r="C5" s="48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844805</v>
      </c>
      <c r="C6" s="2">
        <v>2196</v>
      </c>
      <c r="D6" s="2">
        <v>876</v>
      </c>
      <c r="E6" s="4">
        <v>866513</v>
      </c>
      <c r="F6" s="4">
        <v>31164850760</v>
      </c>
    </row>
    <row r="7" spans="1:6" x14ac:dyDescent="0.3">
      <c r="A7">
        <v>40010</v>
      </c>
      <c r="B7" s="2">
        <v>1115984</v>
      </c>
      <c r="C7" s="2">
        <v>219173</v>
      </c>
      <c r="D7" s="2">
        <v>221</v>
      </c>
      <c r="E7" s="4">
        <v>1340452</v>
      </c>
      <c r="F7" s="4">
        <v>60568700275</v>
      </c>
    </row>
    <row r="8" spans="1:6" x14ac:dyDescent="0.3">
      <c r="A8">
        <v>50010</v>
      </c>
      <c r="B8" s="2">
        <v>835661</v>
      </c>
      <c r="C8" s="2">
        <v>248533</v>
      </c>
      <c r="D8" s="2">
        <v>83830</v>
      </c>
      <c r="E8" s="4">
        <v>1497639</v>
      </c>
      <c r="F8" s="4">
        <v>82289972410</v>
      </c>
    </row>
    <row r="9" spans="1:6" x14ac:dyDescent="0.3">
      <c r="A9">
        <v>60010</v>
      </c>
      <c r="B9" s="2">
        <v>501016</v>
      </c>
      <c r="C9" s="2">
        <v>183689</v>
      </c>
      <c r="D9" s="2">
        <v>76644</v>
      </c>
      <c r="E9" s="4">
        <v>1332800</v>
      </c>
      <c r="F9" s="4">
        <v>86335150052</v>
      </c>
    </row>
    <row r="10" spans="1:6" x14ac:dyDescent="0.3">
      <c r="A10">
        <v>70010</v>
      </c>
      <c r="B10" s="2">
        <v>278073</v>
      </c>
      <c r="C10" s="2">
        <v>97663</v>
      </c>
      <c r="D10" s="2">
        <v>54762</v>
      </c>
      <c r="E10" s="4">
        <v>1086235</v>
      </c>
      <c r="F10" s="4">
        <v>81645708058</v>
      </c>
    </row>
    <row r="11" spans="1:6" x14ac:dyDescent="0.3">
      <c r="A11">
        <v>80010</v>
      </c>
      <c r="B11" s="2">
        <v>182748</v>
      </c>
      <c r="C11" s="2">
        <v>89707</v>
      </c>
      <c r="D11" s="2">
        <v>38113</v>
      </c>
      <c r="E11" s="4">
        <v>1110570</v>
      </c>
      <c r="F11" s="4">
        <v>94371334797</v>
      </c>
    </row>
    <row r="12" spans="1:6" x14ac:dyDescent="0.3">
      <c r="A12">
        <v>90010</v>
      </c>
      <c r="B12" s="2">
        <v>116752</v>
      </c>
      <c r="C12" s="2">
        <v>63929</v>
      </c>
      <c r="D12" s="2">
        <v>24859</v>
      </c>
      <c r="E12" s="4">
        <v>1004333</v>
      </c>
      <c r="F12" s="4">
        <v>95303109394</v>
      </c>
    </row>
    <row r="13" spans="1:6" x14ac:dyDescent="0.3">
      <c r="A13">
        <v>100010</v>
      </c>
      <c r="B13" s="2">
        <v>151814</v>
      </c>
      <c r="C13" s="2">
        <v>90278</v>
      </c>
      <c r="D13" s="2">
        <v>33016</v>
      </c>
      <c r="E13" s="4">
        <v>1894024</v>
      </c>
      <c r="F13" s="4">
        <v>211224634136</v>
      </c>
    </row>
    <row r="14" spans="1:6" x14ac:dyDescent="0.3">
      <c r="A14">
        <v>125010</v>
      </c>
      <c r="B14" s="2">
        <v>65057</v>
      </c>
      <c r="C14" s="2">
        <v>39389</v>
      </c>
      <c r="D14" s="2">
        <v>14525</v>
      </c>
      <c r="E14" s="4">
        <v>1137595</v>
      </c>
      <c r="F14" s="4">
        <v>155192916817</v>
      </c>
    </row>
    <row r="15" spans="1:6" x14ac:dyDescent="0.3">
      <c r="A15">
        <v>150010</v>
      </c>
      <c r="B15" s="2">
        <v>51177</v>
      </c>
      <c r="C15" s="2">
        <v>32992</v>
      </c>
      <c r="D15" s="2">
        <v>11888</v>
      </c>
      <c r="E15" s="4">
        <v>1072428</v>
      </c>
      <c r="F15" s="4">
        <v>183177742959</v>
      </c>
    </row>
    <row r="16" spans="1:6" x14ac:dyDescent="0.3">
      <c r="A16">
        <v>200010</v>
      </c>
      <c r="B16" s="2">
        <v>18825</v>
      </c>
      <c r="C16" s="2">
        <v>12681</v>
      </c>
      <c r="D16" s="2">
        <v>4625</v>
      </c>
      <c r="E16" s="4">
        <v>417365</v>
      </c>
      <c r="F16" s="4">
        <v>92506512744</v>
      </c>
    </row>
    <row r="17" spans="1:6" x14ac:dyDescent="0.3">
      <c r="A17">
        <v>250010</v>
      </c>
      <c r="B17" s="2">
        <v>19701</v>
      </c>
      <c r="C17" s="2">
        <v>14055</v>
      </c>
      <c r="D17" s="2">
        <v>5150</v>
      </c>
      <c r="E17" s="4">
        <v>452193</v>
      </c>
      <c r="F17" s="4">
        <v>148419508052</v>
      </c>
    </row>
    <row r="18" spans="1:6" x14ac:dyDescent="0.3">
      <c r="A18">
        <v>500010</v>
      </c>
      <c r="B18" s="2">
        <v>4817</v>
      </c>
      <c r="C18" s="2">
        <v>3811</v>
      </c>
      <c r="D18" s="2">
        <v>1186</v>
      </c>
      <c r="E18" s="4">
        <v>101954</v>
      </c>
      <c r="F18" s="4">
        <v>87444530725</v>
      </c>
    </row>
    <row r="19" spans="1:6" x14ac:dyDescent="0.3">
      <c r="A19" t="s">
        <v>2</v>
      </c>
      <c r="B19" s="2">
        <v>4186430</v>
      </c>
      <c r="C19" s="2">
        <v>1098096</v>
      </c>
      <c r="D19" s="2">
        <v>349695</v>
      </c>
      <c r="E19" s="4">
        <v>13314101</v>
      </c>
      <c r="F19" s="4">
        <v>1409644671179</v>
      </c>
    </row>
    <row r="20" spans="1:6" x14ac:dyDescent="0.3">
      <c r="B20" s="4">
        <f t="shared" ref="B20:F20" si="0">B19-SUM(B6:B18)</f>
        <v>0</v>
      </c>
      <c r="C20" s="4">
        <f t="shared" si="0"/>
        <v>0</v>
      </c>
      <c r="D20" s="4">
        <f t="shared" si="0"/>
        <v>0</v>
      </c>
      <c r="E20" s="4">
        <f t="shared" si="0"/>
        <v>0</v>
      </c>
      <c r="F20" s="4">
        <f t="shared" si="0"/>
        <v>0</v>
      </c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5</v>
      </c>
    </row>
    <row r="23" spans="1:6" x14ac:dyDescent="0.3">
      <c r="B23" s="78"/>
      <c r="C23" s="78"/>
      <c r="E23" s="78" t="s">
        <v>2</v>
      </c>
      <c r="F23" s="78"/>
    </row>
    <row r="24" spans="1:6" x14ac:dyDescent="0.3">
      <c r="B24" s="48" t="s">
        <v>53</v>
      </c>
      <c r="C24" s="48" t="s">
        <v>54</v>
      </c>
      <c r="D24" t="s">
        <v>55</v>
      </c>
      <c r="E24" t="s">
        <v>3</v>
      </c>
      <c r="F24" t="s">
        <v>4</v>
      </c>
    </row>
    <row r="25" spans="1:6" x14ac:dyDescent="0.3">
      <c r="A25" s="3">
        <v>0</v>
      </c>
      <c r="B25" s="2">
        <v>3907019</v>
      </c>
      <c r="C25" s="2">
        <v>1768909</v>
      </c>
      <c r="D25" s="2">
        <v>481368</v>
      </c>
      <c r="E25" s="4">
        <v>8459880</v>
      </c>
      <c r="F25" s="4">
        <v>166125030122</v>
      </c>
    </row>
    <row r="26" spans="1:6" x14ac:dyDescent="0.3">
      <c r="A26" s="3">
        <v>40010</v>
      </c>
      <c r="B26" s="2">
        <v>39255</v>
      </c>
      <c r="C26" s="2">
        <v>89589</v>
      </c>
      <c r="D26" s="2">
        <v>155695</v>
      </c>
      <c r="E26" s="4">
        <v>1437061</v>
      </c>
      <c r="F26" s="4">
        <v>64888498639</v>
      </c>
    </row>
    <row r="27" spans="1:6" x14ac:dyDescent="0.3">
      <c r="A27" s="3">
        <v>50010</v>
      </c>
      <c r="B27" s="2">
        <v>3145</v>
      </c>
      <c r="C27" s="2">
        <v>22961</v>
      </c>
      <c r="D27" s="2">
        <v>43469</v>
      </c>
      <c r="E27" s="4">
        <v>1016122</v>
      </c>
      <c r="F27" s="4">
        <v>55526349085</v>
      </c>
    </row>
    <row r="28" spans="1:6" x14ac:dyDescent="0.3">
      <c r="A28" s="3">
        <v>60010</v>
      </c>
      <c r="B28" s="2">
        <v>349</v>
      </c>
      <c r="C28" s="2">
        <v>2230</v>
      </c>
      <c r="D28" s="2">
        <v>13601</v>
      </c>
      <c r="E28" s="4">
        <v>591919</v>
      </c>
      <c r="F28" s="4">
        <v>38252579055</v>
      </c>
    </row>
    <row r="29" spans="1:6" x14ac:dyDescent="0.3">
      <c r="A29" s="3">
        <v>70010</v>
      </c>
      <c r="B29" s="2">
        <v>182</v>
      </c>
      <c r="C29" s="2">
        <v>188</v>
      </c>
      <c r="D29" s="2">
        <v>3113</v>
      </c>
      <c r="E29" s="4">
        <v>330329</v>
      </c>
      <c r="F29" s="4">
        <v>24679877957</v>
      </c>
    </row>
    <row r="30" spans="1:6" x14ac:dyDescent="0.3">
      <c r="A30" s="3">
        <v>80010</v>
      </c>
      <c r="B30" s="2">
        <v>132</v>
      </c>
      <c r="C30" s="2">
        <v>72</v>
      </c>
      <c r="D30" s="2">
        <v>381</v>
      </c>
      <c r="E30" s="4">
        <v>209619</v>
      </c>
      <c r="F30" s="4">
        <v>17674563071</v>
      </c>
    </row>
    <row r="31" spans="1:6" x14ac:dyDescent="0.3">
      <c r="A31" s="3">
        <v>90010</v>
      </c>
      <c r="B31" s="2">
        <v>76</v>
      </c>
      <c r="C31" s="2">
        <v>27</v>
      </c>
      <c r="D31" s="2">
        <v>63</v>
      </c>
      <c r="E31" s="4">
        <v>98015</v>
      </c>
      <c r="F31" s="4">
        <v>9260995807</v>
      </c>
    </row>
    <row r="32" spans="1:6" x14ac:dyDescent="0.3">
      <c r="A32" s="3">
        <v>100010</v>
      </c>
      <c r="B32" s="2">
        <v>70</v>
      </c>
      <c r="C32" s="2">
        <v>36</v>
      </c>
      <c r="D32" s="2">
        <v>51</v>
      </c>
      <c r="E32" s="4">
        <v>65917</v>
      </c>
      <c r="F32" s="4">
        <v>7133458664</v>
      </c>
    </row>
    <row r="33" spans="1:10" x14ac:dyDescent="0.3">
      <c r="A33" s="3">
        <v>125010</v>
      </c>
      <c r="B33" s="2">
        <v>40</v>
      </c>
      <c r="C33" s="2">
        <v>6</v>
      </c>
      <c r="D33" s="2">
        <v>12</v>
      </c>
      <c r="E33" s="4">
        <v>8030</v>
      </c>
      <c r="F33" s="4">
        <v>1075615125</v>
      </c>
    </row>
    <row r="34" spans="1:10" x14ac:dyDescent="0.3">
      <c r="A34" s="3">
        <v>150010</v>
      </c>
      <c r="B34" s="2">
        <v>33</v>
      </c>
      <c r="C34" s="2">
        <v>11</v>
      </c>
      <c r="D34" s="2">
        <v>10</v>
      </c>
      <c r="E34" s="4">
        <v>2574</v>
      </c>
      <c r="F34" s="4">
        <v>429963097</v>
      </c>
    </row>
    <row r="35" spans="1:10" x14ac:dyDescent="0.3">
      <c r="A35" s="3">
        <v>200010</v>
      </c>
      <c r="B35" s="2">
        <v>4</v>
      </c>
      <c r="C35" s="2">
        <v>3</v>
      </c>
      <c r="D35" s="2">
        <v>3</v>
      </c>
      <c r="E35" s="4">
        <v>531</v>
      </c>
      <c r="F35" s="4">
        <v>116329819</v>
      </c>
    </row>
    <row r="36" spans="1:10" x14ac:dyDescent="0.3">
      <c r="A36" s="3">
        <v>250010</v>
      </c>
      <c r="B36" s="2">
        <v>1</v>
      </c>
      <c r="C36" s="2">
        <v>0</v>
      </c>
      <c r="D36" s="2">
        <v>3</v>
      </c>
      <c r="E36" s="4">
        <v>220</v>
      </c>
      <c r="F36" s="4">
        <v>64222420</v>
      </c>
    </row>
    <row r="37" spans="1:10" x14ac:dyDescent="0.3">
      <c r="A37" s="3">
        <v>500010</v>
      </c>
      <c r="B37" s="2">
        <v>1</v>
      </c>
      <c r="C37" s="2">
        <v>1</v>
      </c>
      <c r="D37" s="2">
        <v>0</v>
      </c>
      <c r="E37" s="4">
        <v>8</v>
      </c>
      <c r="F37" s="4">
        <v>6218661</v>
      </c>
    </row>
    <row r="38" spans="1:10" x14ac:dyDescent="0.3">
      <c r="A38" s="3" t="s">
        <v>2</v>
      </c>
      <c r="B38" s="2">
        <v>3950307</v>
      </c>
      <c r="C38" s="2">
        <v>1884033</v>
      </c>
      <c r="D38" s="2">
        <v>697769</v>
      </c>
      <c r="E38" s="4">
        <v>12220225</v>
      </c>
      <c r="F38" s="4">
        <v>385233701522</v>
      </c>
    </row>
    <row r="39" spans="1:10" x14ac:dyDescent="0.3">
      <c r="B39" s="4">
        <f t="shared" ref="B39:F39" si="1">B38-SUM(B25:B37)</f>
        <v>0</v>
      </c>
      <c r="C39" s="4">
        <f t="shared" si="1"/>
        <v>0</v>
      </c>
      <c r="D39" s="4">
        <f t="shared" si="1"/>
        <v>0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8" t="s">
        <v>53</v>
      </c>
      <c r="C43" s="48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4751824</v>
      </c>
      <c r="C44" s="4">
        <f t="shared" ref="C44:F44" si="2">C6+C25</f>
        <v>1771105</v>
      </c>
      <c r="D44" s="4">
        <f t="shared" si="2"/>
        <v>482244</v>
      </c>
      <c r="E44" s="4">
        <f t="shared" si="2"/>
        <v>9326393</v>
      </c>
      <c r="F44" s="4">
        <f t="shared" si="2"/>
        <v>197289880882</v>
      </c>
      <c r="G44">
        <f>1-SUM(E44:$E$56)/$E$57</f>
        <v>0</v>
      </c>
      <c r="I44" s="47">
        <f t="shared" ref="I44:I57" si="3">(B44+C44+D44)/E44</f>
        <v>0.75111278283040395</v>
      </c>
      <c r="J44" s="47">
        <f t="shared" ref="J44:J57" si="4">E25/E44</f>
        <v>0.90709023306223535</v>
      </c>
    </row>
    <row r="45" spans="1:10" x14ac:dyDescent="0.3">
      <c r="A45" s="3">
        <v>40010</v>
      </c>
      <c r="B45" s="4">
        <f t="shared" ref="B45:F57" si="5">B7+B26</f>
        <v>1155239</v>
      </c>
      <c r="C45" s="4">
        <f t="shared" si="5"/>
        <v>308762</v>
      </c>
      <c r="D45" s="4">
        <f t="shared" si="5"/>
        <v>155916</v>
      </c>
      <c r="E45" s="4">
        <f t="shared" si="5"/>
        <v>2777513</v>
      </c>
      <c r="F45" s="4">
        <f t="shared" si="5"/>
        <v>125457198914</v>
      </c>
      <c r="G45">
        <f>1-SUM(E45:$E$56)/$E$57</f>
        <v>0.3652492335219657</v>
      </c>
      <c r="H45">
        <f>SUM(F45:F$56)/(A45*SUM(E45:E$56))</f>
        <v>2.4635917401070975</v>
      </c>
      <c r="I45" s="47">
        <f t="shared" si="3"/>
        <v>0.58322571307497029</v>
      </c>
      <c r="J45" s="47">
        <f t="shared" si="4"/>
        <v>0.51739127773659388</v>
      </c>
    </row>
    <row r="46" spans="1:10" x14ac:dyDescent="0.3">
      <c r="A46" s="3">
        <v>50010</v>
      </c>
      <c r="B46" s="4">
        <f t="shared" si="5"/>
        <v>838806</v>
      </c>
      <c r="C46" s="4">
        <f t="shared" si="5"/>
        <v>271494</v>
      </c>
      <c r="D46" s="4">
        <f t="shared" si="5"/>
        <v>127299</v>
      </c>
      <c r="E46" s="4">
        <f t="shared" si="5"/>
        <v>2513761</v>
      </c>
      <c r="F46" s="4">
        <f t="shared" si="5"/>
        <v>137816321495</v>
      </c>
      <c r="G46">
        <f>1-SUM(E46:$E$56)/$E$57</f>
        <v>0.47402488712645086</v>
      </c>
      <c r="H46">
        <f>SUM(F46:F$56)/(A46*SUM(E46:E$56))</f>
        <v>2.1917958269657927</v>
      </c>
      <c r="I46" s="47">
        <f t="shared" si="3"/>
        <v>0.49232962083507542</v>
      </c>
      <c r="J46" s="47">
        <f t="shared" si="4"/>
        <v>0.40422379056720187</v>
      </c>
    </row>
    <row r="47" spans="1:10" x14ac:dyDescent="0.3">
      <c r="A47" s="3">
        <v>60010</v>
      </c>
      <c r="B47" s="4">
        <f t="shared" si="5"/>
        <v>501365</v>
      </c>
      <c r="C47" s="4">
        <f t="shared" si="5"/>
        <v>185919</v>
      </c>
      <c r="D47" s="4">
        <f t="shared" si="5"/>
        <v>90245</v>
      </c>
      <c r="E47" s="4">
        <f t="shared" si="5"/>
        <v>1924719</v>
      </c>
      <c r="F47" s="4">
        <f t="shared" si="5"/>
        <v>124587729107</v>
      </c>
      <c r="G47">
        <f>1-SUM(E47:$E$56)/$E$57</f>
        <v>0.57247122951277429</v>
      </c>
      <c r="H47">
        <f>SUM(F47:F$56)/(A47*SUM(E47:E$56))</f>
        <v>2.0367840603972946</v>
      </c>
      <c r="I47" s="47">
        <f t="shared" si="3"/>
        <v>0.40397013797858283</v>
      </c>
      <c r="J47" s="47">
        <f t="shared" si="4"/>
        <v>0.30753528177359918</v>
      </c>
    </row>
    <row r="48" spans="1:10" x14ac:dyDescent="0.3">
      <c r="A48" s="3">
        <v>70010</v>
      </c>
      <c r="B48" s="4">
        <f t="shared" si="5"/>
        <v>278255</v>
      </c>
      <c r="C48" s="4">
        <f t="shared" si="5"/>
        <v>97851</v>
      </c>
      <c r="D48" s="4">
        <f t="shared" si="5"/>
        <v>57875</v>
      </c>
      <c r="E48" s="4">
        <f t="shared" si="5"/>
        <v>1416564</v>
      </c>
      <c r="F48" s="4">
        <f t="shared" si="5"/>
        <v>106325586015</v>
      </c>
      <c r="G48">
        <f>1-SUM(E48:$E$56)/$E$57</f>
        <v>0.64784893871880544</v>
      </c>
      <c r="H48">
        <f>SUM(F48:F$56)/(A48*SUM(E48:E$56))</f>
        <v>1.9216486396393608</v>
      </c>
      <c r="I48" s="47">
        <f t="shared" si="3"/>
        <v>0.30636173162666847</v>
      </c>
      <c r="J48" s="47">
        <f t="shared" si="4"/>
        <v>0.2331903112037296</v>
      </c>
    </row>
    <row r="49" spans="1:10" x14ac:dyDescent="0.3">
      <c r="A49" s="3">
        <v>80010</v>
      </c>
      <c r="B49" s="4">
        <f t="shared" si="5"/>
        <v>182880</v>
      </c>
      <c r="C49" s="4">
        <f t="shared" si="5"/>
        <v>89779</v>
      </c>
      <c r="D49" s="4">
        <f t="shared" si="5"/>
        <v>38494</v>
      </c>
      <c r="E49" s="4">
        <f t="shared" si="5"/>
        <v>1320189</v>
      </c>
      <c r="F49" s="4">
        <f t="shared" si="5"/>
        <v>112045897868</v>
      </c>
      <c r="G49">
        <f>1-SUM(E49:$E$56)/$E$57</f>
        <v>0.70332578976237714</v>
      </c>
      <c r="H49">
        <f>SUM(F49:F$56)/(A49*SUM(E49:E$56))</f>
        <v>1.8204768785065257</v>
      </c>
      <c r="I49" s="47">
        <f t="shared" si="3"/>
        <v>0.23568822342861515</v>
      </c>
      <c r="J49" s="47">
        <f t="shared" si="4"/>
        <v>0.1587795383842768</v>
      </c>
    </row>
    <row r="50" spans="1:10" x14ac:dyDescent="0.3">
      <c r="A50" s="3">
        <v>90010</v>
      </c>
      <c r="B50" s="4">
        <f t="shared" si="5"/>
        <v>116828</v>
      </c>
      <c r="C50" s="4">
        <f t="shared" si="5"/>
        <v>63956</v>
      </c>
      <c r="D50" s="4">
        <f t="shared" si="5"/>
        <v>24922</v>
      </c>
      <c r="E50" s="4">
        <f t="shared" si="5"/>
        <v>1102348</v>
      </c>
      <c r="F50" s="4">
        <f t="shared" si="5"/>
        <v>104564105201</v>
      </c>
      <c r="G50">
        <f>1-SUM(E50:$E$56)/$E$57</f>
        <v>0.75502830973490354</v>
      </c>
      <c r="H50">
        <f>SUM(F50:F$56)/(A50*SUM(E50:E$56))</f>
        <v>1.7607531513318038</v>
      </c>
      <c r="I50" s="47">
        <f t="shared" si="3"/>
        <v>0.18660713313762986</v>
      </c>
      <c r="J50" s="47">
        <f t="shared" si="4"/>
        <v>8.8914752872958455E-2</v>
      </c>
    </row>
    <row r="51" spans="1:10" x14ac:dyDescent="0.3">
      <c r="A51" s="3">
        <v>100010</v>
      </c>
      <c r="B51" s="4">
        <f t="shared" si="5"/>
        <v>151884</v>
      </c>
      <c r="C51" s="4">
        <f t="shared" si="5"/>
        <v>90314</v>
      </c>
      <c r="D51" s="4">
        <f t="shared" si="5"/>
        <v>33067</v>
      </c>
      <c r="E51" s="4">
        <f t="shared" si="5"/>
        <v>1959941</v>
      </c>
      <c r="F51" s="4">
        <f t="shared" si="5"/>
        <v>218358092800</v>
      </c>
      <c r="G51">
        <f>1-SUM(E51:$E$56)/$E$57</f>
        <v>0.79819952952742912</v>
      </c>
      <c r="H51">
        <f>SUM(F51:F$56)/(A51*SUM(E51:E$56))</f>
        <v>1.720804750392372</v>
      </c>
      <c r="I51" s="47">
        <f t="shared" si="3"/>
        <v>0.14044555422841809</v>
      </c>
      <c r="J51" s="47">
        <f t="shared" si="4"/>
        <v>3.3632134844875435E-2</v>
      </c>
    </row>
    <row r="52" spans="1:10" x14ac:dyDescent="0.3">
      <c r="A52" s="3">
        <v>125010</v>
      </c>
      <c r="B52" s="4">
        <f t="shared" si="5"/>
        <v>65097</v>
      </c>
      <c r="C52" s="4">
        <f t="shared" si="5"/>
        <v>39395</v>
      </c>
      <c r="D52" s="4">
        <f t="shared" si="5"/>
        <v>14537</v>
      </c>
      <c r="E52" s="4">
        <f t="shared" si="5"/>
        <v>1145625</v>
      </c>
      <c r="F52" s="4">
        <f t="shared" si="5"/>
        <v>156268531942</v>
      </c>
      <c r="G52">
        <f>1-SUM(E52:$E$56)/$E$57</f>
        <v>0.8749566368033368</v>
      </c>
      <c r="H52">
        <f>SUM(F52:F$56)/(A52*SUM(E52:E$56))</f>
        <v>1.674666938967168</v>
      </c>
      <c r="I52" s="47">
        <f t="shared" si="3"/>
        <v>0.1038987452264048</v>
      </c>
      <c r="J52" s="47">
        <f t="shared" si="4"/>
        <v>7.0092744135297324E-3</v>
      </c>
    </row>
    <row r="53" spans="1:10" x14ac:dyDescent="0.3">
      <c r="A53" s="3">
        <v>150010</v>
      </c>
      <c r="B53" s="4">
        <f t="shared" si="5"/>
        <v>51210</v>
      </c>
      <c r="C53" s="4">
        <f t="shared" si="5"/>
        <v>33003</v>
      </c>
      <c r="D53" s="4">
        <f t="shared" si="5"/>
        <v>11898</v>
      </c>
      <c r="E53" s="4">
        <f t="shared" si="5"/>
        <v>1075002</v>
      </c>
      <c r="F53" s="4">
        <f t="shared" si="5"/>
        <v>183607706056</v>
      </c>
      <c r="G53">
        <f>1-SUM(E53:$E$56)/$E$57</f>
        <v>0.91982271237549018</v>
      </c>
      <c r="H53">
        <f>SUM(F53:F$56)/(A53*SUM(E53:E$56))</f>
        <v>1.6676847247302646</v>
      </c>
      <c r="I53" s="47">
        <f t="shared" si="3"/>
        <v>8.9405415059692905E-2</v>
      </c>
      <c r="J53" s="47">
        <f t="shared" si="4"/>
        <v>2.3944141499271628E-3</v>
      </c>
    </row>
    <row r="54" spans="1:10" x14ac:dyDescent="0.3">
      <c r="A54" s="3">
        <v>200010</v>
      </c>
      <c r="B54" s="4">
        <f t="shared" si="5"/>
        <v>18829</v>
      </c>
      <c r="C54" s="4">
        <f t="shared" si="5"/>
        <v>12684</v>
      </c>
      <c r="D54" s="4">
        <f t="shared" si="5"/>
        <v>4628</v>
      </c>
      <c r="E54" s="4">
        <f t="shared" si="5"/>
        <v>417896</v>
      </c>
      <c r="F54" s="4">
        <f t="shared" si="5"/>
        <v>92622842563</v>
      </c>
      <c r="G54">
        <f>1-SUM(E54:$E$56)/$E$57</f>
        <v>0.96192298163656254</v>
      </c>
      <c r="H54">
        <f>SUM(F54:F$56)/(A54*SUM(E54:E$56))</f>
        <v>1.6895541231623241</v>
      </c>
      <c r="I54" s="47">
        <f t="shared" si="3"/>
        <v>8.6483239849149074E-2</v>
      </c>
      <c r="J54" s="47">
        <f t="shared" si="4"/>
        <v>1.2706510710798859E-3</v>
      </c>
    </row>
    <row r="55" spans="1:10" x14ac:dyDescent="0.3">
      <c r="A55" s="3">
        <v>250010</v>
      </c>
      <c r="B55" s="4">
        <f t="shared" si="5"/>
        <v>19702</v>
      </c>
      <c r="C55" s="4">
        <f t="shared" si="5"/>
        <v>14055</v>
      </c>
      <c r="D55" s="4">
        <f t="shared" si="5"/>
        <v>5153</v>
      </c>
      <c r="E55" s="4">
        <f t="shared" si="5"/>
        <v>452413</v>
      </c>
      <c r="F55" s="4">
        <f t="shared" si="5"/>
        <v>148483730472</v>
      </c>
      <c r="G55">
        <f>1-SUM(E55:$E$56)/$E$57</f>
        <v>0.97828902944217133</v>
      </c>
      <c r="H55">
        <f>SUM(F55:F$56)/(A55*SUM(E55:E$56))</f>
        <v>1.7022776485684654</v>
      </c>
      <c r="I55" s="47">
        <f t="shared" si="3"/>
        <v>8.6005486137666246E-2</v>
      </c>
      <c r="J55" s="47">
        <f t="shared" si="4"/>
        <v>4.8628134027978859E-4</v>
      </c>
    </row>
    <row r="56" spans="1:10" x14ac:dyDescent="0.3">
      <c r="A56" s="3">
        <v>500010</v>
      </c>
      <c r="B56" s="4">
        <f t="shared" si="5"/>
        <v>4818</v>
      </c>
      <c r="C56" s="4">
        <f t="shared" si="5"/>
        <v>3812</v>
      </c>
      <c r="D56" s="4">
        <f t="shared" si="5"/>
        <v>1186</v>
      </c>
      <c r="E56" s="4">
        <f t="shared" si="5"/>
        <v>101962</v>
      </c>
      <c r="F56" s="4">
        <f t="shared" si="5"/>
        <v>87450749386</v>
      </c>
      <c r="G56">
        <f>1-SUM(E56:$E$56)/$E$57</f>
        <v>0.99600686542499695</v>
      </c>
      <c r="H56">
        <f>SUM(F56:F$56)/(A56*SUM(E56:E$56))</f>
        <v>1.7153253252386551</v>
      </c>
      <c r="I56" s="47">
        <f t="shared" si="3"/>
        <v>9.6271159843863405E-2</v>
      </c>
      <c r="J56" s="47">
        <f t="shared" si="4"/>
        <v>7.8460602969733826E-5</v>
      </c>
    </row>
    <row r="57" spans="1:10" x14ac:dyDescent="0.3">
      <c r="A57" s="3" t="s">
        <v>2</v>
      </c>
      <c r="B57" s="2">
        <f>B19+B38</f>
        <v>8136737</v>
      </c>
      <c r="C57" s="2">
        <f t="shared" si="5"/>
        <v>2982129</v>
      </c>
      <c r="D57" s="2">
        <f t="shared" si="5"/>
        <v>1047464</v>
      </c>
      <c r="E57" s="4">
        <f t="shared" si="5"/>
        <v>25534326</v>
      </c>
      <c r="F57" s="4">
        <f t="shared" si="5"/>
        <v>1794878372701</v>
      </c>
      <c r="G57">
        <f>F57/(6.55957*E57)</f>
        <v>10716.062917773896</v>
      </c>
      <c r="I57" s="47">
        <f t="shared" si="3"/>
        <v>0.4764695962603438</v>
      </c>
      <c r="J57" s="47">
        <f t="shared" si="4"/>
        <v>0.47858028443750583</v>
      </c>
    </row>
    <row r="58" spans="1:10" x14ac:dyDescent="0.3">
      <c r="B58" s="4">
        <f>B57-SUM(B44:B56)</f>
        <v>0</v>
      </c>
      <c r="C58" s="4">
        <f t="shared" ref="C58:F58" si="6">C57-SUM(C44:C56)</f>
        <v>0</v>
      </c>
      <c r="D58" s="4">
        <f t="shared" si="6"/>
        <v>0</v>
      </c>
      <c r="E58" s="4">
        <f t="shared" si="6"/>
        <v>0</v>
      </c>
      <c r="F58" s="4">
        <f t="shared" si="6"/>
        <v>0</v>
      </c>
      <c r="G58" s="2">
        <f>E57</f>
        <v>25534326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6" workbookViewId="0">
      <selection activeCell="G44" sqref="G44:I58"/>
    </sheetView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202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48" t="s">
        <v>53</v>
      </c>
      <c r="C5" s="48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699924</v>
      </c>
      <c r="C6" s="2">
        <v>2271</v>
      </c>
      <c r="D6" s="2">
        <v>990</v>
      </c>
      <c r="E6" s="4">
        <v>722245</v>
      </c>
      <c r="F6" s="4">
        <v>26307352695</v>
      </c>
    </row>
    <row r="7" spans="1:6" x14ac:dyDescent="0.3">
      <c r="A7">
        <v>40010</v>
      </c>
      <c r="B7" s="2">
        <v>1132019</v>
      </c>
      <c r="C7" s="2">
        <v>174050</v>
      </c>
      <c r="D7" s="2">
        <v>249</v>
      </c>
      <c r="E7" s="4">
        <v>1311213</v>
      </c>
      <c r="F7" s="4">
        <v>59302655349</v>
      </c>
    </row>
    <row r="8" spans="1:6" x14ac:dyDescent="0.3">
      <c r="A8">
        <v>50010</v>
      </c>
      <c r="B8" s="2">
        <v>877296</v>
      </c>
      <c r="C8" s="2">
        <v>260840</v>
      </c>
      <c r="D8" s="2">
        <v>69083</v>
      </c>
      <c r="E8" s="4">
        <v>1452715</v>
      </c>
      <c r="F8" s="4">
        <v>80032577811</v>
      </c>
    </row>
    <row r="9" spans="1:6" x14ac:dyDescent="0.3">
      <c r="A9">
        <v>60010</v>
      </c>
      <c r="B9" s="2">
        <v>538253</v>
      </c>
      <c r="C9" s="2">
        <v>197167</v>
      </c>
      <c r="D9" s="2">
        <v>80829</v>
      </c>
      <c r="E9" s="4">
        <v>1349830</v>
      </c>
      <c r="F9" s="4">
        <v>87613452874</v>
      </c>
    </row>
    <row r="10" spans="1:6" x14ac:dyDescent="0.3">
      <c r="A10">
        <v>70010</v>
      </c>
      <c r="B10" s="2">
        <v>304048</v>
      </c>
      <c r="C10" s="2">
        <v>105644</v>
      </c>
      <c r="D10" s="2">
        <v>59902</v>
      </c>
      <c r="E10" s="4">
        <v>1047087</v>
      </c>
      <c r="F10" s="4">
        <v>78495114453</v>
      </c>
    </row>
    <row r="11" spans="1:6" x14ac:dyDescent="0.3">
      <c r="A11">
        <v>80010</v>
      </c>
      <c r="B11" s="2">
        <v>202382</v>
      </c>
      <c r="C11" s="2">
        <v>98849</v>
      </c>
      <c r="D11" s="2">
        <v>43645</v>
      </c>
      <c r="E11" s="4">
        <v>1108207</v>
      </c>
      <c r="F11" s="4">
        <v>94111631458</v>
      </c>
    </row>
    <row r="12" spans="1:6" x14ac:dyDescent="0.3">
      <c r="A12">
        <v>90010</v>
      </c>
      <c r="B12" s="2">
        <v>129575</v>
      </c>
      <c r="C12" s="2">
        <v>70638</v>
      </c>
      <c r="D12" s="2">
        <v>28821</v>
      </c>
      <c r="E12" s="4">
        <v>1018885</v>
      </c>
      <c r="F12" s="4">
        <v>96691290132</v>
      </c>
    </row>
    <row r="13" spans="1:6" x14ac:dyDescent="0.3">
      <c r="A13">
        <v>100010</v>
      </c>
      <c r="B13" s="2">
        <v>170176</v>
      </c>
      <c r="C13" s="2">
        <v>100290</v>
      </c>
      <c r="D13" s="2">
        <v>38317</v>
      </c>
      <c r="E13" s="4">
        <v>1946329</v>
      </c>
      <c r="F13" s="4">
        <v>217195142668</v>
      </c>
    </row>
    <row r="14" spans="1:6" x14ac:dyDescent="0.3">
      <c r="A14">
        <v>125010</v>
      </c>
      <c r="B14" s="2">
        <v>73904</v>
      </c>
      <c r="C14" s="2">
        <v>44139</v>
      </c>
      <c r="D14" s="2">
        <v>17531</v>
      </c>
      <c r="E14" s="4">
        <v>1197531</v>
      </c>
      <c r="F14" s="4">
        <v>163412960439</v>
      </c>
    </row>
    <row r="15" spans="1:6" x14ac:dyDescent="0.3">
      <c r="A15">
        <v>150010</v>
      </c>
      <c r="B15" s="2">
        <v>58398</v>
      </c>
      <c r="C15" s="2">
        <v>36699</v>
      </c>
      <c r="D15" s="2">
        <v>14086</v>
      </c>
      <c r="E15" s="4">
        <v>1147772</v>
      </c>
      <c r="F15" s="4">
        <v>196137219881</v>
      </c>
    </row>
    <row r="16" spans="1:6" x14ac:dyDescent="0.3">
      <c r="A16">
        <v>200010</v>
      </c>
      <c r="B16" s="2">
        <v>21497</v>
      </c>
      <c r="C16" s="2">
        <v>14557</v>
      </c>
      <c r="D16" s="2">
        <v>5551</v>
      </c>
      <c r="E16" s="4">
        <v>455851</v>
      </c>
      <c r="F16" s="4">
        <v>101051633397</v>
      </c>
    </row>
    <row r="17" spans="1:6" x14ac:dyDescent="0.3">
      <c r="A17">
        <v>250010</v>
      </c>
      <c r="B17" s="2">
        <v>22512</v>
      </c>
      <c r="C17" s="2">
        <v>15810</v>
      </c>
      <c r="D17" s="2">
        <v>6024</v>
      </c>
      <c r="E17" s="4">
        <v>493610</v>
      </c>
      <c r="F17" s="4">
        <v>161879550199</v>
      </c>
    </row>
    <row r="18" spans="1:6" x14ac:dyDescent="0.3">
      <c r="A18">
        <v>500010</v>
      </c>
      <c r="B18" s="2">
        <v>5794</v>
      </c>
      <c r="C18" s="2">
        <v>4501</v>
      </c>
      <c r="D18" s="2">
        <v>1533</v>
      </c>
      <c r="E18" s="4">
        <v>117353</v>
      </c>
      <c r="F18" s="4">
        <v>104382387453</v>
      </c>
    </row>
    <row r="19" spans="1:6" x14ac:dyDescent="0.3">
      <c r="A19" t="s">
        <v>2</v>
      </c>
      <c r="B19" s="2">
        <v>4235778</v>
      </c>
      <c r="C19" s="2">
        <v>1125455</v>
      </c>
      <c r="D19" s="2">
        <v>366561</v>
      </c>
      <c r="E19" s="4">
        <v>13368628</v>
      </c>
      <c r="F19" s="4">
        <v>1466612968809</v>
      </c>
    </row>
    <row r="20" spans="1:6" x14ac:dyDescent="0.3">
      <c r="B20" s="4">
        <f t="shared" ref="B20:F20" si="0">B19-SUM(B6:B18)</f>
        <v>0</v>
      </c>
      <c r="C20" s="4">
        <f t="shared" si="0"/>
        <v>0</v>
      </c>
      <c r="D20" s="4">
        <f t="shared" si="0"/>
        <v>0</v>
      </c>
      <c r="E20" s="4">
        <f t="shared" si="0"/>
        <v>0</v>
      </c>
      <c r="F20" s="4">
        <f t="shared" si="0"/>
        <v>0</v>
      </c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5</v>
      </c>
    </row>
    <row r="23" spans="1:6" x14ac:dyDescent="0.3">
      <c r="B23" s="78"/>
      <c r="C23" s="78"/>
      <c r="E23" s="78" t="s">
        <v>2</v>
      </c>
      <c r="F23" s="78"/>
    </row>
    <row r="24" spans="1:6" x14ac:dyDescent="0.3">
      <c r="B24" s="48" t="s">
        <v>53</v>
      </c>
      <c r="C24" s="48" t="s">
        <v>54</v>
      </c>
      <c r="D24" t="s">
        <v>55</v>
      </c>
      <c r="E24" t="s">
        <v>3</v>
      </c>
      <c r="F24" t="s">
        <v>4</v>
      </c>
    </row>
    <row r="25" spans="1:6" x14ac:dyDescent="0.3">
      <c r="A25" s="3">
        <v>0</v>
      </c>
      <c r="B25" s="2">
        <v>4186665</v>
      </c>
      <c r="C25" s="2">
        <v>1813244</v>
      </c>
      <c r="D25" s="2">
        <v>525133</v>
      </c>
      <c r="E25" s="4">
        <v>8823229</v>
      </c>
      <c r="F25" s="4">
        <v>174628436825</v>
      </c>
    </row>
    <row r="26" spans="1:6" x14ac:dyDescent="0.3">
      <c r="A26" s="3">
        <v>40010</v>
      </c>
      <c r="B26" s="2">
        <v>55824</v>
      </c>
      <c r="C26" s="2">
        <v>130889</v>
      </c>
      <c r="D26" s="2">
        <v>171096</v>
      </c>
      <c r="E26" s="4">
        <v>1457255</v>
      </c>
      <c r="F26" s="4">
        <v>65739739650</v>
      </c>
    </row>
    <row r="27" spans="1:6" x14ac:dyDescent="0.3">
      <c r="A27" s="3">
        <v>50010</v>
      </c>
      <c r="B27" s="2">
        <v>5931</v>
      </c>
      <c r="C27" s="2">
        <v>31331</v>
      </c>
      <c r="D27" s="2">
        <v>75607</v>
      </c>
      <c r="E27" s="4">
        <v>1143492</v>
      </c>
      <c r="F27" s="4">
        <v>62314583347</v>
      </c>
    </row>
    <row r="28" spans="1:6" x14ac:dyDescent="0.3">
      <c r="A28" s="3">
        <v>60010</v>
      </c>
      <c r="B28" s="2">
        <v>584</v>
      </c>
      <c r="C28" s="2">
        <v>3216</v>
      </c>
      <c r="D28" s="2">
        <v>19261</v>
      </c>
      <c r="E28" s="4">
        <v>676970</v>
      </c>
      <c r="F28" s="4">
        <v>43710026585</v>
      </c>
    </row>
    <row r="29" spans="1:6" x14ac:dyDescent="0.3">
      <c r="A29" s="3">
        <v>70010</v>
      </c>
      <c r="B29" s="2">
        <v>464</v>
      </c>
      <c r="C29" s="2">
        <v>259</v>
      </c>
      <c r="D29" s="2">
        <v>5771</v>
      </c>
      <c r="E29" s="4">
        <v>374860</v>
      </c>
      <c r="F29" s="4">
        <v>27957178389</v>
      </c>
    </row>
    <row r="30" spans="1:6" x14ac:dyDescent="0.3">
      <c r="A30" s="3">
        <v>80010</v>
      </c>
      <c r="B30" s="2">
        <v>349</v>
      </c>
      <c r="C30" s="2">
        <v>116</v>
      </c>
      <c r="D30" s="2">
        <v>502</v>
      </c>
      <c r="E30" s="4">
        <v>254410</v>
      </c>
      <c r="F30" s="4">
        <v>21536734837</v>
      </c>
    </row>
    <row r="31" spans="1:6" x14ac:dyDescent="0.3">
      <c r="A31" s="3">
        <v>90010</v>
      </c>
      <c r="B31" s="2">
        <v>330</v>
      </c>
      <c r="C31" s="2">
        <v>94</v>
      </c>
      <c r="D31" s="2">
        <v>107</v>
      </c>
      <c r="E31" s="4">
        <v>121926</v>
      </c>
      <c r="F31" s="4">
        <v>11525214518</v>
      </c>
    </row>
    <row r="32" spans="1:6" x14ac:dyDescent="0.3">
      <c r="A32" s="3">
        <v>100010</v>
      </c>
      <c r="B32" s="2">
        <v>243</v>
      </c>
      <c r="C32" s="2">
        <v>174</v>
      </c>
      <c r="D32" s="2">
        <v>176</v>
      </c>
      <c r="E32" s="4">
        <v>98944</v>
      </c>
      <c r="F32" s="4">
        <v>10727363210</v>
      </c>
    </row>
    <row r="33" spans="1:10" x14ac:dyDescent="0.3">
      <c r="A33" s="3">
        <v>125010</v>
      </c>
      <c r="B33" s="2">
        <v>106</v>
      </c>
      <c r="C33" s="2">
        <v>24</v>
      </c>
      <c r="D33" s="2">
        <v>72</v>
      </c>
      <c r="E33" s="4">
        <v>13095</v>
      </c>
      <c r="F33" s="4">
        <v>1759235743</v>
      </c>
    </row>
    <row r="34" spans="1:10" x14ac:dyDescent="0.3">
      <c r="A34" s="3">
        <v>150010</v>
      </c>
      <c r="B34" s="2">
        <v>97</v>
      </c>
      <c r="C34" s="2">
        <v>14</v>
      </c>
      <c r="D34" s="2">
        <v>36</v>
      </c>
      <c r="E34" s="4">
        <v>5693</v>
      </c>
      <c r="F34" s="4">
        <v>966946499</v>
      </c>
    </row>
    <row r="35" spans="1:10" x14ac:dyDescent="0.3">
      <c r="A35" s="3">
        <v>200010</v>
      </c>
      <c r="B35" s="2">
        <v>30</v>
      </c>
      <c r="C35" s="2">
        <v>7</v>
      </c>
      <c r="D35" s="2">
        <v>13</v>
      </c>
      <c r="E35" s="4">
        <v>1774</v>
      </c>
      <c r="F35" s="4">
        <v>391204450</v>
      </c>
    </row>
    <row r="36" spans="1:10" x14ac:dyDescent="0.3">
      <c r="A36" s="3">
        <v>250010</v>
      </c>
      <c r="B36" s="2">
        <v>20</v>
      </c>
      <c r="C36" s="2">
        <v>12</v>
      </c>
      <c r="D36" s="2">
        <v>9</v>
      </c>
      <c r="E36" s="4">
        <v>975</v>
      </c>
      <c r="F36" s="4">
        <v>301770660</v>
      </c>
    </row>
    <row r="37" spans="1:10" x14ac:dyDescent="0.3">
      <c r="A37" s="3">
        <v>500010</v>
      </c>
      <c r="B37" s="2">
        <v>0</v>
      </c>
      <c r="C37" s="2">
        <v>0</v>
      </c>
      <c r="D37" s="2">
        <v>2</v>
      </c>
      <c r="E37" s="4">
        <v>51</v>
      </c>
      <c r="F37" s="4">
        <v>33809474</v>
      </c>
    </row>
    <row r="38" spans="1:10" x14ac:dyDescent="0.3">
      <c r="A38" s="3" t="s">
        <v>2</v>
      </c>
      <c r="B38" s="2">
        <v>4250643</v>
      </c>
      <c r="C38" s="2">
        <v>1979380</v>
      </c>
      <c r="D38" s="2">
        <v>797785</v>
      </c>
      <c r="E38" s="4">
        <v>12972674</v>
      </c>
      <c r="F38" s="4">
        <v>421592244187</v>
      </c>
    </row>
    <row r="39" spans="1:10" x14ac:dyDescent="0.3">
      <c r="B39" s="4">
        <f t="shared" ref="B39:F39" si="1">B38-SUM(B25:B37)</f>
        <v>0</v>
      </c>
      <c r="C39" s="4">
        <f t="shared" si="1"/>
        <v>0</v>
      </c>
      <c r="D39" s="4">
        <f t="shared" si="1"/>
        <v>0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8" t="s">
        <v>53</v>
      </c>
      <c r="C43" s="48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4886589</v>
      </c>
      <c r="C44" s="4">
        <f t="shared" ref="C44:F44" si="2">C6+C25</f>
        <v>1815515</v>
      </c>
      <c r="D44" s="4">
        <f t="shared" si="2"/>
        <v>526123</v>
      </c>
      <c r="E44" s="4">
        <f t="shared" si="2"/>
        <v>9545474</v>
      </c>
      <c r="F44" s="4">
        <f t="shared" si="2"/>
        <v>200935789520</v>
      </c>
      <c r="G44">
        <f>1-SUM(E44:$E$56)/$E$57</f>
        <v>0</v>
      </c>
      <c r="I44" s="47">
        <f t="shared" ref="I44:I57" si="3">(B44+C44+D44)/E44</f>
        <v>0.75724128524157108</v>
      </c>
      <c r="J44" s="47">
        <f t="shared" ref="J44:J57" si="4">E25/E44</f>
        <v>0.92433639230487663</v>
      </c>
    </row>
    <row r="45" spans="1:10" x14ac:dyDescent="0.3">
      <c r="A45" s="3">
        <v>40010</v>
      </c>
      <c r="B45" s="4">
        <f t="shared" ref="B45:F57" si="5">B7+B26</f>
        <v>1187843</v>
      </c>
      <c r="C45" s="4">
        <f t="shared" si="5"/>
        <v>304939</v>
      </c>
      <c r="D45" s="4">
        <f t="shared" si="5"/>
        <v>171345</v>
      </c>
      <c r="E45" s="4">
        <f t="shared" si="5"/>
        <v>2768468</v>
      </c>
      <c r="F45" s="4">
        <f t="shared" si="5"/>
        <v>125042394999</v>
      </c>
      <c r="G45">
        <f>1-SUM(E45:$E$56)/$E$57</f>
        <v>0.36237669648979387</v>
      </c>
      <c r="H45">
        <f>SUM(F45:F$56)/(A45*SUM(E45:E$56))</f>
        <v>2.5108135656487329</v>
      </c>
      <c r="I45" s="47">
        <f t="shared" si="3"/>
        <v>0.60110031974362721</v>
      </c>
      <c r="J45" s="47">
        <f t="shared" si="4"/>
        <v>0.52637595955597105</v>
      </c>
    </row>
    <row r="46" spans="1:10" x14ac:dyDescent="0.3">
      <c r="A46" s="3">
        <v>50010</v>
      </c>
      <c r="B46" s="4">
        <f t="shared" si="5"/>
        <v>883227</v>
      </c>
      <c r="C46" s="4">
        <f t="shared" si="5"/>
        <v>292171</v>
      </c>
      <c r="D46" s="4">
        <f t="shared" si="5"/>
        <v>144690</v>
      </c>
      <c r="E46" s="4">
        <f t="shared" si="5"/>
        <v>2596207</v>
      </c>
      <c r="F46" s="4">
        <f t="shared" si="5"/>
        <v>142347161158</v>
      </c>
      <c r="G46">
        <f>1-SUM(E46:$E$56)/$E$57</f>
        <v>0.4674765886667257</v>
      </c>
      <c r="H46">
        <f>SUM(F46:F$56)/(A46*SUM(E46:E$56))</f>
        <v>2.2269545310705512</v>
      </c>
      <c r="I46" s="47">
        <f t="shared" si="3"/>
        <v>0.50846793033067084</v>
      </c>
      <c r="J46" s="47">
        <f t="shared" si="4"/>
        <v>0.44044716002999762</v>
      </c>
    </row>
    <row r="47" spans="1:10" x14ac:dyDescent="0.3">
      <c r="A47" s="3">
        <v>60010</v>
      </c>
      <c r="B47" s="4">
        <f t="shared" si="5"/>
        <v>538837</v>
      </c>
      <c r="C47" s="4">
        <f t="shared" si="5"/>
        <v>200383</v>
      </c>
      <c r="D47" s="4">
        <f t="shared" si="5"/>
        <v>100090</v>
      </c>
      <c r="E47" s="4">
        <f t="shared" si="5"/>
        <v>2026800</v>
      </c>
      <c r="F47" s="4">
        <f t="shared" si="5"/>
        <v>131323479459</v>
      </c>
      <c r="G47">
        <f>1-SUM(E47:$E$56)/$E$57</f>
        <v>0.56603690280761376</v>
      </c>
      <c r="H47">
        <f>SUM(F47:F$56)/(A47*SUM(E47:E$56))</f>
        <v>2.0698455354255483</v>
      </c>
      <c r="I47" s="47">
        <f t="shared" si="3"/>
        <v>0.4141059798697454</v>
      </c>
      <c r="J47" s="47">
        <f t="shared" si="4"/>
        <v>0.33400927570554567</v>
      </c>
    </row>
    <row r="48" spans="1:10" x14ac:dyDescent="0.3">
      <c r="A48" s="3">
        <v>70010</v>
      </c>
      <c r="B48" s="4">
        <f t="shared" si="5"/>
        <v>304512</v>
      </c>
      <c r="C48" s="4">
        <f t="shared" si="5"/>
        <v>105903</v>
      </c>
      <c r="D48" s="4">
        <f t="shared" si="5"/>
        <v>65673</v>
      </c>
      <c r="E48" s="4">
        <f t="shared" si="5"/>
        <v>1421947</v>
      </c>
      <c r="F48" s="4">
        <f t="shared" si="5"/>
        <v>106452292842</v>
      </c>
      <c r="G48">
        <f>1-SUM(E48:$E$56)/$E$57</f>
        <v>0.64298070763548432</v>
      </c>
      <c r="H48">
        <f>SUM(F48:F$56)/(A48*SUM(E48:E$56))</f>
        <v>1.9571063598638585</v>
      </c>
      <c r="I48" s="47">
        <f t="shared" si="3"/>
        <v>0.33481416677274189</v>
      </c>
      <c r="J48" s="47">
        <f t="shared" si="4"/>
        <v>0.26362445295077808</v>
      </c>
    </row>
    <row r="49" spans="1:10" x14ac:dyDescent="0.3">
      <c r="A49" s="3">
        <v>80010</v>
      </c>
      <c r="B49" s="4">
        <f t="shared" si="5"/>
        <v>202731</v>
      </c>
      <c r="C49" s="4">
        <f t="shared" si="5"/>
        <v>98965</v>
      </c>
      <c r="D49" s="4">
        <f t="shared" si="5"/>
        <v>44147</v>
      </c>
      <c r="E49" s="4">
        <f t="shared" si="5"/>
        <v>1362617</v>
      </c>
      <c r="F49" s="4">
        <f t="shared" si="5"/>
        <v>115648366295</v>
      </c>
      <c r="G49">
        <f>1-SUM(E49:$E$56)/$E$57</f>
        <v>0.69696235971934872</v>
      </c>
      <c r="H49">
        <f>SUM(F49:F$56)/(A49*SUM(E49:E$56))</f>
        <v>1.8508773396050495</v>
      </c>
      <c r="I49" s="47">
        <f t="shared" si="3"/>
        <v>0.2538079298878555</v>
      </c>
      <c r="J49" s="47">
        <f t="shared" si="4"/>
        <v>0.18670690296686449</v>
      </c>
    </row>
    <row r="50" spans="1:10" x14ac:dyDescent="0.3">
      <c r="A50" s="3">
        <v>90010</v>
      </c>
      <c r="B50" s="4">
        <f t="shared" si="5"/>
        <v>129905</v>
      </c>
      <c r="C50" s="4">
        <f t="shared" si="5"/>
        <v>70732</v>
      </c>
      <c r="D50" s="4">
        <f t="shared" si="5"/>
        <v>28928</v>
      </c>
      <c r="E50" s="4">
        <f t="shared" si="5"/>
        <v>1140811</v>
      </c>
      <c r="F50" s="4">
        <f t="shared" si="5"/>
        <v>108216504650</v>
      </c>
      <c r="G50">
        <f>1-SUM(E50:$E$56)/$E$57</f>
        <v>0.74869165540868099</v>
      </c>
      <c r="H50">
        <f>SUM(F50:F$56)/(A50*SUM(E50:E$56))</f>
        <v>1.7898140909303037</v>
      </c>
      <c r="I50" s="47">
        <f t="shared" si="3"/>
        <v>0.20122965153737121</v>
      </c>
      <c r="J50" s="47">
        <f t="shared" si="4"/>
        <v>0.10687659919127708</v>
      </c>
    </row>
    <row r="51" spans="1:10" x14ac:dyDescent="0.3">
      <c r="A51" s="3">
        <v>100010</v>
      </c>
      <c r="B51" s="4">
        <f t="shared" si="5"/>
        <v>170419</v>
      </c>
      <c r="C51" s="4">
        <f t="shared" si="5"/>
        <v>100464</v>
      </c>
      <c r="D51" s="4">
        <f t="shared" si="5"/>
        <v>38493</v>
      </c>
      <c r="E51" s="4">
        <f t="shared" si="5"/>
        <v>2045273</v>
      </c>
      <c r="F51" s="4">
        <f t="shared" si="5"/>
        <v>227922505878</v>
      </c>
      <c r="G51">
        <f>1-SUM(E51:$E$56)/$E$57</f>
        <v>0.79200048653631472</v>
      </c>
      <c r="H51">
        <f>SUM(F51:F$56)/(A51*SUM(E51:E$56))</f>
        <v>1.7487630169933641</v>
      </c>
      <c r="I51" s="47">
        <f t="shared" si="3"/>
        <v>0.1512639144016471</v>
      </c>
      <c r="J51" s="47">
        <f t="shared" si="4"/>
        <v>4.8376915942272745E-2</v>
      </c>
    </row>
    <row r="52" spans="1:10" x14ac:dyDescent="0.3">
      <c r="A52" s="3">
        <v>125010</v>
      </c>
      <c r="B52" s="4">
        <f t="shared" si="5"/>
        <v>74010</v>
      </c>
      <c r="C52" s="4">
        <f t="shared" si="5"/>
        <v>44163</v>
      </c>
      <c r="D52" s="4">
        <f t="shared" si="5"/>
        <v>17603</v>
      </c>
      <c r="E52" s="4">
        <f t="shared" si="5"/>
        <v>1210626</v>
      </c>
      <c r="F52" s="4">
        <f t="shared" si="5"/>
        <v>165172196182</v>
      </c>
      <c r="G52">
        <f>1-SUM(E52:$E$56)/$E$57</f>
        <v>0.86964558547637472</v>
      </c>
      <c r="H52">
        <f>SUM(F52:F$56)/(A52*SUM(E52:E$56))</f>
        <v>1.7013885526711177</v>
      </c>
      <c r="I52" s="47">
        <f t="shared" si="3"/>
        <v>0.11215354700791161</v>
      </c>
      <c r="J52" s="47">
        <f t="shared" si="4"/>
        <v>1.0816717962442572E-2</v>
      </c>
    </row>
    <row r="53" spans="1:10" x14ac:dyDescent="0.3">
      <c r="A53" s="3">
        <v>150010</v>
      </c>
      <c r="B53" s="4">
        <f t="shared" si="5"/>
        <v>58495</v>
      </c>
      <c r="C53" s="4">
        <f t="shared" si="5"/>
        <v>36713</v>
      </c>
      <c r="D53" s="4">
        <f t="shared" si="5"/>
        <v>14122</v>
      </c>
      <c r="E53" s="4">
        <f t="shared" si="5"/>
        <v>1153465</v>
      </c>
      <c r="F53" s="4">
        <f t="shared" si="5"/>
        <v>197104166380</v>
      </c>
      <c r="G53">
        <f>1-SUM(E53:$E$56)/$E$57</f>
        <v>0.91560481710433295</v>
      </c>
      <c r="H53">
        <f>SUM(F53:F$56)/(A53*SUM(E53:E$56))</f>
        <v>1.694667165743603</v>
      </c>
      <c r="I53" s="47">
        <f t="shared" si="3"/>
        <v>9.4783976973726994E-2</v>
      </c>
      <c r="J53" s="47">
        <f t="shared" si="4"/>
        <v>4.9355637145470383E-3</v>
      </c>
    </row>
    <row r="54" spans="1:10" x14ac:dyDescent="0.3">
      <c r="A54" s="3">
        <v>200010</v>
      </c>
      <c r="B54" s="4">
        <f t="shared" si="5"/>
        <v>21527</v>
      </c>
      <c r="C54" s="4">
        <f t="shared" si="5"/>
        <v>14564</v>
      </c>
      <c r="D54" s="4">
        <f t="shared" si="5"/>
        <v>5564</v>
      </c>
      <c r="E54" s="4">
        <f t="shared" si="5"/>
        <v>457625</v>
      </c>
      <c r="F54" s="4">
        <f t="shared" si="5"/>
        <v>101442837847</v>
      </c>
      <c r="G54">
        <f>1-SUM(E54:$E$56)/$E$57</f>
        <v>0.9593940345090004</v>
      </c>
      <c r="H54">
        <f>SUM(F54:F$56)/(A54*SUM(E54:E$56))</f>
        <v>1.7203493715268932</v>
      </c>
      <c r="I54" s="47">
        <f t="shared" si="3"/>
        <v>9.1024310297732863E-2</v>
      </c>
      <c r="J54" s="47">
        <f t="shared" si="4"/>
        <v>3.8765364654465991E-3</v>
      </c>
    </row>
    <row r="55" spans="1:10" x14ac:dyDescent="0.3">
      <c r="A55" s="3">
        <v>250010</v>
      </c>
      <c r="B55" s="4">
        <f t="shared" si="5"/>
        <v>22532</v>
      </c>
      <c r="C55" s="4">
        <f t="shared" si="5"/>
        <v>15822</v>
      </c>
      <c r="D55" s="4">
        <f t="shared" si="5"/>
        <v>6033</v>
      </c>
      <c r="E55" s="4">
        <f t="shared" si="5"/>
        <v>494585</v>
      </c>
      <c r="F55" s="4">
        <f t="shared" si="5"/>
        <v>162181320859</v>
      </c>
      <c r="G55">
        <f>1-SUM(E55:$E$56)/$E$57</f>
        <v>0.97676694189224211</v>
      </c>
      <c r="H55">
        <f>SUM(F55:F$56)/(A55*SUM(E55:E$56))</f>
        <v>1.7424290587695368</v>
      </c>
      <c r="I55" s="47">
        <f t="shared" si="3"/>
        <v>8.9745948623593516E-2</v>
      </c>
      <c r="J55" s="47">
        <f t="shared" si="4"/>
        <v>1.9713497174398738E-3</v>
      </c>
    </row>
    <row r="56" spans="1:10" x14ac:dyDescent="0.3">
      <c r="A56" s="3">
        <v>500010</v>
      </c>
      <c r="B56" s="4">
        <f t="shared" si="5"/>
        <v>5794</v>
      </c>
      <c r="C56" s="4">
        <f t="shared" si="5"/>
        <v>4501</v>
      </c>
      <c r="D56" s="4">
        <f t="shared" si="5"/>
        <v>1535</v>
      </c>
      <c r="E56" s="4">
        <f t="shared" si="5"/>
        <v>117404</v>
      </c>
      <c r="F56" s="4">
        <f t="shared" si="5"/>
        <v>104416196927</v>
      </c>
      <c r="G56">
        <f>1-SUM(E56:$E$56)/$E$57</f>
        <v>0.99554296898460071</v>
      </c>
      <c r="H56">
        <f>SUM(F56:F$56)/(A56*SUM(E56:E$56))</f>
        <v>1.7787146714733246</v>
      </c>
      <c r="I56" s="47">
        <f t="shared" si="3"/>
        <v>0.10076317672310994</v>
      </c>
      <c r="J56" s="47">
        <f t="shared" si="4"/>
        <v>4.343974651630268E-4</v>
      </c>
    </row>
    <row r="57" spans="1:10" x14ac:dyDescent="0.3">
      <c r="A57" s="3" t="s">
        <v>2</v>
      </c>
      <c r="B57" s="2">
        <f>B19+B38</f>
        <v>8486421</v>
      </c>
      <c r="C57" s="2">
        <f t="shared" si="5"/>
        <v>3104835</v>
      </c>
      <c r="D57" s="2">
        <f t="shared" si="5"/>
        <v>1164346</v>
      </c>
      <c r="E57" s="4">
        <f t="shared" si="5"/>
        <v>26341302</v>
      </c>
      <c r="F57" s="4">
        <f t="shared" si="5"/>
        <v>1888205212996</v>
      </c>
      <c r="G57">
        <f>F57/(6.55957*E57)</f>
        <v>10927.89677077448</v>
      </c>
      <c r="I57" s="47">
        <f t="shared" si="3"/>
        <v>0.48424341363232537</v>
      </c>
      <c r="J57" s="47">
        <f t="shared" si="4"/>
        <v>0.49248416042608678</v>
      </c>
    </row>
    <row r="58" spans="1:10" x14ac:dyDescent="0.3">
      <c r="B58" s="4">
        <f>B57-SUM(B44:B56)</f>
        <v>0</v>
      </c>
      <c r="C58" s="4">
        <f t="shared" ref="C58:F58" si="6">C57-SUM(C44:C56)</f>
        <v>0</v>
      </c>
      <c r="D58" s="4">
        <f t="shared" si="6"/>
        <v>0</v>
      </c>
      <c r="E58" s="4">
        <f t="shared" si="6"/>
        <v>0</v>
      </c>
      <c r="F58" s="4">
        <f t="shared" si="6"/>
        <v>0</v>
      </c>
      <c r="G58" s="2">
        <f>E57</f>
        <v>26341302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activeCell="G44" sqref="G44:I58"/>
    </sheetView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201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48" t="s">
        <v>53</v>
      </c>
      <c r="C5" s="48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563119</v>
      </c>
      <c r="C6" s="2">
        <v>1433</v>
      </c>
      <c r="D6" s="2">
        <v>826</v>
      </c>
      <c r="E6" s="4">
        <v>581696</v>
      </c>
      <c r="F6" s="4">
        <v>21438600986</v>
      </c>
    </row>
    <row r="7" spans="1:6" x14ac:dyDescent="0.3">
      <c r="A7">
        <v>40010</v>
      </c>
      <c r="B7" s="2">
        <v>1122458</v>
      </c>
      <c r="C7" s="2">
        <v>134460</v>
      </c>
      <c r="D7" s="2">
        <v>204</v>
      </c>
      <c r="E7" s="4">
        <v>1261383</v>
      </c>
      <c r="F7" s="4">
        <v>57051502261</v>
      </c>
    </row>
    <row r="8" spans="1:6" x14ac:dyDescent="0.3">
      <c r="A8">
        <v>50010</v>
      </c>
      <c r="B8" s="2">
        <v>919583</v>
      </c>
      <c r="C8" s="2">
        <v>265662</v>
      </c>
      <c r="D8" s="2">
        <v>53729</v>
      </c>
      <c r="E8" s="4">
        <v>1418770</v>
      </c>
      <c r="F8" s="4">
        <v>78261098071</v>
      </c>
    </row>
    <row r="9" spans="1:6" x14ac:dyDescent="0.3">
      <c r="A9">
        <v>60010</v>
      </c>
      <c r="B9" s="2">
        <v>590403</v>
      </c>
      <c r="C9" s="2">
        <v>208402</v>
      </c>
      <c r="D9" s="2">
        <v>83784</v>
      </c>
      <c r="E9" s="4">
        <v>1354296</v>
      </c>
      <c r="F9" s="4">
        <v>87971224601</v>
      </c>
    </row>
    <row r="10" spans="1:6" x14ac:dyDescent="0.3">
      <c r="A10">
        <v>70010</v>
      </c>
      <c r="B10" s="2">
        <v>338988</v>
      </c>
      <c r="C10" s="2">
        <v>117400</v>
      </c>
      <c r="D10" s="2">
        <v>65662</v>
      </c>
      <c r="E10" s="4">
        <v>1038670</v>
      </c>
      <c r="F10" s="4">
        <v>77531305044</v>
      </c>
    </row>
    <row r="11" spans="1:6" x14ac:dyDescent="0.3">
      <c r="A11">
        <v>80010</v>
      </c>
      <c r="B11" s="2">
        <v>225150</v>
      </c>
      <c r="C11" s="2">
        <v>106683</v>
      </c>
      <c r="D11" s="2">
        <v>50800</v>
      </c>
      <c r="E11" s="4">
        <v>1094580</v>
      </c>
      <c r="F11" s="4">
        <v>92963706539</v>
      </c>
    </row>
    <row r="12" spans="1:6" x14ac:dyDescent="0.3">
      <c r="A12">
        <v>90010</v>
      </c>
      <c r="B12" s="2">
        <v>146711</v>
      </c>
      <c r="C12" s="2">
        <v>77062</v>
      </c>
      <c r="D12" s="2">
        <v>34302</v>
      </c>
      <c r="E12" s="4">
        <v>1004547</v>
      </c>
      <c r="F12" s="4">
        <v>95358320535</v>
      </c>
    </row>
    <row r="13" spans="1:6" x14ac:dyDescent="0.3">
      <c r="A13">
        <v>100010</v>
      </c>
      <c r="B13" s="2">
        <v>194706</v>
      </c>
      <c r="C13" s="2">
        <v>113271</v>
      </c>
      <c r="D13" s="2">
        <v>46351</v>
      </c>
      <c r="E13" s="4">
        <v>1981552</v>
      </c>
      <c r="F13" s="4">
        <v>221381506118</v>
      </c>
    </row>
    <row r="14" spans="1:6" x14ac:dyDescent="0.3">
      <c r="A14">
        <v>125010</v>
      </c>
      <c r="B14" s="2">
        <v>85984</v>
      </c>
      <c r="C14" s="2">
        <v>50387</v>
      </c>
      <c r="D14" s="2">
        <v>21735</v>
      </c>
      <c r="E14" s="4">
        <v>1273514</v>
      </c>
      <c r="F14" s="4">
        <v>173857194415</v>
      </c>
    </row>
    <row r="15" spans="1:6" x14ac:dyDescent="0.3">
      <c r="A15">
        <v>150010</v>
      </c>
      <c r="B15" s="2">
        <v>67643</v>
      </c>
      <c r="C15" s="2">
        <v>42026</v>
      </c>
      <c r="D15" s="2">
        <v>17341</v>
      </c>
      <c r="E15" s="4">
        <v>1254450</v>
      </c>
      <c r="F15" s="4">
        <v>214466507887</v>
      </c>
    </row>
    <row r="16" spans="1:6" x14ac:dyDescent="0.3">
      <c r="A16">
        <v>200010</v>
      </c>
      <c r="B16" s="2">
        <v>25441</v>
      </c>
      <c r="C16" s="2">
        <v>16824</v>
      </c>
      <c r="D16" s="2">
        <v>6811</v>
      </c>
      <c r="E16" s="4">
        <v>503521</v>
      </c>
      <c r="F16" s="4">
        <v>111637120406</v>
      </c>
    </row>
    <row r="17" spans="1:6" x14ac:dyDescent="0.3">
      <c r="A17">
        <v>250010</v>
      </c>
      <c r="B17" s="2">
        <v>27684</v>
      </c>
      <c r="C17" s="2">
        <v>19281</v>
      </c>
      <c r="D17" s="2">
        <v>7617</v>
      </c>
      <c r="E17" s="4">
        <v>557575</v>
      </c>
      <c r="F17" s="4">
        <v>183037240501</v>
      </c>
    </row>
    <row r="18" spans="1:6" x14ac:dyDescent="0.3">
      <c r="A18">
        <v>500010</v>
      </c>
      <c r="B18" s="2">
        <v>8171</v>
      </c>
      <c r="C18" s="2">
        <v>6571</v>
      </c>
      <c r="D18" s="2">
        <v>2192</v>
      </c>
      <c r="E18" s="4">
        <v>145800</v>
      </c>
      <c r="F18" s="4">
        <v>152405166384</v>
      </c>
    </row>
    <row r="19" spans="1:6" x14ac:dyDescent="0.3">
      <c r="A19" t="s">
        <v>2</v>
      </c>
      <c r="B19" s="2">
        <v>4316041</v>
      </c>
      <c r="C19" s="2">
        <v>1159462</v>
      </c>
      <c r="D19" s="2">
        <v>391354</v>
      </c>
      <c r="E19" s="4">
        <v>13470354</v>
      </c>
      <c r="F19" s="4">
        <v>1567360493748</v>
      </c>
    </row>
    <row r="20" spans="1:6" x14ac:dyDescent="0.3">
      <c r="B20" s="4">
        <f t="shared" ref="B20:F20" si="0">B19-SUM(B6:B18)</f>
        <v>0</v>
      </c>
      <c r="C20" s="4">
        <f t="shared" si="0"/>
        <v>0</v>
      </c>
      <c r="D20" s="4">
        <f t="shared" si="0"/>
        <v>0</v>
      </c>
      <c r="E20" s="4">
        <f t="shared" si="0"/>
        <v>0</v>
      </c>
      <c r="F20" s="4">
        <f t="shared" si="0"/>
        <v>0</v>
      </c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5</v>
      </c>
    </row>
    <row r="23" spans="1:6" x14ac:dyDescent="0.3">
      <c r="B23" s="78"/>
      <c r="C23" s="78"/>
      <c r="E23" s="78" t="s">
        <v>2</v>
      </c>
      <c r="F23" s="78"/>
    </row>
    <row r="24" spans="1:6" x14ac:dyDescent="0.3">
      <c r="B24" s="48" t="s">
        <v>53</v>
      </c>
      <c r="C24" s="48" t="s">
        <v>54</v>
      </c>
      <c r="D24" t="s">
        <v>55</v>
      </c>
      <c r="E24" t="s">
        <v>3</v>
      </c>
      <c r="F24" t="s">
        <v>4</v>
      </c>
    </row>
    <row r="25" spans="1:6" x14ac:dyDescent="0.3">
      <c r="A25" s="3">
        <v>0</v>
      </c>
      <c r="B25" s="2">
        <v>4326762</v>
      </c>
      <c r="C25" s="2">
        <v>1796911</v>
      </c>
      <c r="D25" s="2">
        <v>531409</v>
      </c>
      <c r="E25" s="4">
        <v>8854773</v>
      </c>
      <c r="F25" s="4">
        <v>176047654996</v>
      </c>
    </row>
    <row r="26" spans="1:6" x14ac:dyDescent="0.3">
      <c r="A26" s="3">
        <v>40010</v>
      </c>
      <c r="B26" s="2">
        <v>73206</v>
      </c>
      <c r="C26" s="2">
        <v>191239</v>
      </c>
      <c r="D26" s="2">
        <v>174077</v>
      </c>
      <c r="E26" s="4">
        <v>1439481</v>
      </c>
      <c r="F26" s="4">
        <v>64833162825</v>
      </c>
    </row>
    <row r="27" spans="1:6" x14ac:dyDescent="0.3">
      <c r="A27" s="3">
        <v>50010</v>
      </c>
      <c r="B27" s="2">
        <v>11093</v>
      </c>
      <c r="C27" s="2">
        <v>49929</v>
      </c>
      <c r="D27" s="2">
        <v>107218</v>
      </c>
      <c r="E27" s="4">
        <v>1222327</v>
      </c>
      <c r="F27" s="4">
        <v>66605940132</v>
      </c>
    </row>
    <row r="28" spans="1:6" x14ac:dyDescent="0.3">
      <c r="A28" s="3">
        <v>60010</v>
      </c>
      <c r="B28" s="2">
        <v>839</v>
      </c>
      <c r="C28" s="2">
        <v>7393</v>
      </c>
      <c r="D28" s="2">
        <v>32658</v>
      </c>
      <c r="E28" s="4">
        <v>744552</v>
      </c>
      <c r="F28" s="4">
        <v>48028657122</v>
      </c>
    </row>
    <row r="29" spans="1:6" x14ac:dyDescent="0.3">
      <c r="A29" s="3">
        <v>70010</v>
      </c>
      <c r="B29" s="2">
        <v>525</v>
      </c>
      <c r="C29" s="2">
        <v>545</v>
      </c>
      <c r="D29" s="2">
        <v>12597</v>
      </c>
      <c r="E29" s="4">
        <v>423925</v>
      </c>
      <c r="F29" s="4">
        <v>31542978739</v>
      </c>
    </row>
    <row r="30" spans="1:6" x14ac:dyDescent="0.3">
      <c r="A30" s="3">
        <v>80010</v>
      </c>
      <c r="B30" s="2">
        <v>520</v>
      </c>
      <c r="C30" s="2">
        <v>166</v>
      </c>
      <c r="D30" s="2">
        <v>1963</v>
      </c>
      <c r="E30" s="4">
        <v>285722</v>
      </c>
      <c r="F30" s="4">
        <v>24223732013</v>
      </c>
    </row>
    <row r="31" spans="1:6" x14ac:dyDescent="0.3">
      <c r="A31" s="3">
        <v>90010</v>
      </c>
      <c r="B31" s="2">
        <v>490</v>
      </c>
      <c r="C31" s="2">
        <v>139</v>
      </c>
      <c r="D31" s="2">
        <v>383</v>
      </c>
      <c r="E31" s="4">
        <v>160350</v>
      </c>
      <c r="F31" s="4">
        <v>15146625148</v>
      </c>
    </row>
    <row r="32" spans="1:6" x14ac:dyDescent="0.3">
      <c r="A32" s="3">
        <v>100010</v>
      </c>
      <c r="B32" s="2">
        <v>400</v>
      </c>
      <c r="C32" s="2">
        <v>233</v>
      </c>
      <c r="D32" s="2">
        <v>264</v>
      </c>
      <c r="E32" s="4">
        <v>152063</v>
      </c>
      <c r="F32" s="4">
        <v>16573168554</v>
      </c>
    </row>
    <row r="33" spans="1:10" x14ac:dyDescent="0.3">
      <c r="A33" s="3">
        <v>125010</v>
      </c>
      <c r="B33" s="2">
        <v>162</v>
      </c>
      <c r="C33" s="2">
        <v>44</v>
      </c>
      <c r="D33" s="2">
        <v>138</v>
      </c>
      <c r="E33" s="4">
        <v>23929</v>
      </c>
      <c r="F33" s="4">
        <v>3211402209</v>
      </c>
    </row>
    <row r="34" spans="1:10" x14ac:dyDescent="0.3">
      <c r="A34" s="3">
        <v>150010</v>
      </c>
      <c r="B34" s="2">
        <v>141</v>
      </c>
      <c r="C34" s="2">
        <v>34</v>
      </c>
      <c r="D34" s="2">
        <v>58</v>
      </c>
      <c r="E34" s="4">
        <v>8988</v>
      </c>
      <c r="F34" s="4">
        <v>1525279393</v>
      </c>
    </row>
    <row r="35" spans="1:10" x14ac:dyDescent="0.3">
      <c r="A35" s="3">
        <v>200010</v>
      </c>
      <c r="B35" s="2">
        <v>62</v>
      </c>
      <c r="C35" s="2">
        <v>11</v>
      </c>
      <c r="D35" s="2">
        <v>26</v>
      </c>
      <c r="E35" s="4">
        <v>3031</v>
      </c>
      <c r="F35" s="4">
        <v>667357104</v>
      </c>
    </row>
    <row r="36" spans="1:10" x14ac:dyDescent="0.3">
      <c r="A36" s="3">
        <v>250010</v>
      </c>
      <c r="B36" s="2">
        <v>50</v>
      </c>
      <c r="C36" s="2">
        <v>10</v>
      </c>
      <c r="D36" s="2">
        <v>23</v>
      </c>
      <c r="E36" s="4">
        <v>1764</v>
      </c>
      <c r="F36" s="4">
        <v>545138012</v>
      </c>
    </row>
    <row r="37" spans="1:10" x14ac:dyDescent="0.3">
      <c r="A37" s="3">
        <v>500010</v>
      </c>
      <c r="B37" s="2">
        <v>6</v>
      </c>
      <c r="C37" s="2">
        <v>1</v>
      </c>
      <c r="D37" s="2">
        <v>6</v>
      </c>
      <c r="E37" s="4">
        <v>109</v>
      </c>
      <c r="F37" s="4">
        <v>80232515</v>
      </c>
    </row>
    <row r="38" spans="1:10" x14ac:dyDescent="0.3">
      <c r="A38" s="3" t="s">
        <v>2</v>
      </c>
      <c r="B38" s="2">
        <v>4414256</v>
      </c>
      <c r="C38" s="2">
        <v>2046655</v>
      </c>
      <c r="D38" s="2">
        <v>860825</v>
      </c>
      <c r="E38" s="4">
        <v>13321014</v>
      </c>
      <c r="F38" s="4">
        <v>449031328762</v>
      </c>
    </row>
    <row r="39" spans="1:10" x14ac:dyDescent="0.3">
      <c r="B39" s="4">
        <f t="shared" ref="B39:F39" si="1">B38-SUM(B25:B37)</f>
        <v>0</v>
      </c>
      <c r="C39" s="4">
        <f t="shared" si="1"/>
        <v>0</v>
      </c>
      <c r="D39" s="4">
        <f t="shared" si="1"/>
        <v>5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8" t="s">
        <v>53</v>
      </c>
      <c r="C43" s="48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4889881</v>
      </c>
      <c r="C44" s="4">
        <f t="shared" ref="C44:F44" si="2">C6+C25</f>
        <v>1798344</v>
      </c>
      <c r="D44" s="4">
        <f t="shared" si="2"/>
        <v>532235</v>
      </c>
      <c r="E44" s="4">
        <f t="shared" si="2"/>
        <v>9436469</v>
      </c>
      <c r="F44" s="4">
        <f t="shared" si="2"/>
        <v>197486255982</v>
      </c>
      <c r="G44">
        <f>1-SUM(E44:$E$56)/$E$57</f>
        <v>0</v>
      </c>
      <c r="I44" s="47">
        <f t="shared" ref="I44:I57" si="3">(B44+C44+D44)/E44</f>
        <v>0.76516544482899274</v>
      </c>
      <c r="J44" s="47">
        <f t="shared" ref="J44:J57" si="4">E25/E44</f>
        <v>0.93835660351345407</v>
      </c>
    </row>
    <row r="45" spans="1:10" x14ac:dyDescent="0.3">
      <c r="A45" s="3">
        <v>40010</v>
      </c>
      <c r="B45" s="4">
        <f t="shared" ref="B45:F57" si="5">B7+B26</f>
        <v>1195664</v>
      </c>
      <c r="C45" s="4">
        <f t="shared" si="5"/>
        <v>325699</v>
      </c>
      <c r="D45" s="4">
        <f t="shared" si="5"/>
        <v>174281</v>
      </c>
      <c r="E45" s="4">
        <f t="shared" si="5"/>
        <v>2700864</v>
      </c>
      <c r="F45" s="4">
        <f t="shared" si="5"/>
        <v>121884665086</v>
      </c>
      <c r="G45">
        <f>1-SUM(E45:$E$56)/$E$57</f>
        <v>0.35222049878154782</v>
      </c>
      <c r="H45">
        <f>SUM(F45:F$56)/(A45*SUM(E45:E$56))</f>
        <v>2.6195066790500374</v>
      </c>
      <c r="I45" s="47">
        <f t="shared" si="3"/>
        <v>0.62781539536977793</v>
      </c>
      <c r="J45" s="47">
        <f t="shared" si="4"/>
        <v>0.53297056053174097</v>
      </c>
    </row>
    <row r="46" spans="1:10" x14ac:dyDescent="0.3">
      <c r="A46" s="3">
        <v>50010</v>
      </c>
      <c r="B46" s="4">
        <f t="shared" si="5"/>
        <v>930676</v>
      </c>
      <c r="C46" s="4">
        <f t="shared" si="5"/>
        <v>315591</v>
      </c>
      <c r="D46" s="4">
        <f t="shared" si="5"/>
        <v>160947</v>
      </c>
      <c r="E46" s="4">
        <f t="shared" si="5"/>
        <v>2641097</v>
      </c>
      <c r="F46" s="4">
        <f t="shared" si="5"/>
        <v>144867038203</v>
      </c>
      <c r="G46">
        <f>1-SUM(E46:$E$56)/$E$57</f>
        <v>0.45303147640687846</v>
      </c>
      <c r="H46">
        <f>SUM(F46:F$56)/(A46*SUM(E46:E$56))</f>
        <v>2.3156510341745111</v>
      </c>
      <c r="I46" s="47">
        <f t="shared" si="3"/>
        <v>0.53281420561228909</v>
      </c>
      <c r="J46" s="47">
        <f t="shared" si="4"/>
        <v>0.46281033979441116</v>
      </c>
    </row>
    <row r="47" spans="1:10" x14ac:dyDescent="0.3">
      <c r="A47" s="3">
        <v>60010</v>
      </c>
      <c r="B47" s="4">
        <f t="shared" si="5"/>
        <v>591242</v>
      </c>
      <c r="C47" s="4">
        <f t="shared" si="5"/>
        <v>215795</v>
      </c>
      <c r="D47" s="4">
        <f t="shared" si="5"/>
        <v>116442</v>
      </c>
      <c r="E47" s="4">
        <f t="shared" si="5"/>
        <v>2098848</v>
      </c>
      <c r="F47" s="4">
        <f t="shared" si="5"/>
        <v>135999881723</v>
      </c>
      <c r="G47">
        <f>1-SUM(E47:$E$56)/$E$57</f>
        <v>0.55161162356472426</v>
      </c>
      <c r="H47">
        <f>SUM(F47:F$56)/(A47*SUM(E47:E$56))</f>
        <v>2.1530886311029276</v>
      </c>
      <c r="I47" s="47">
        <f t="shared" si="3"/>
        <v>0.4399932724999619</v>
      </c>
      <c r="J47" s="47">
        <f t="shared" si="4"/>
        <v>0.35474317339797834</v>
      </c>
    </row>
    <row r="48" spans="1:10" x14ac:dyDescent="0.3">
      <c r="A48" s="3">
        <v>70010</v>
      </c>
      <c r="B48" s="4">
        <f t="shared" si="5"/>
        <v>339513</v>
      </c>
      <c r="C48" s="4">
        <f t="shared" si="5"/>
        <v>117945</v>
      </c>
      <c r="D48" s="4">
        <f t="shared" si="5"/>
        <v>78259</v>
      </c>
      <c r="E48" s="4">
        <f t="shared" si="5"/>
        <v>1462595</v>
      </c>
      <c r="F48" s="4">
        <f t="shared" si="5"/>
        <v>109074283783</v>
      </c>
      <c r="G48">
        <f>1-SUM(E48:$E$56)/$E$57</f>
        <v>0.62995208008788506</v>
      </c>
      <c r="H48">
        <f>SUM(F48:F$56)/(A48*SUM(E48:E$56))</f>
        <v>2.0403165058176631</v>
      </c>
      <c r="I48" s="47">
        <f t="shared" si="3"/>
        <v>0.36627842977721103</v>
      </c>
      <c r="J48" s="47">
        <f t="shared" si="4"/>
        <v>0.28984442036243802</v>
      </c>
    </row>
    <row r="49" spans="1:10" x14ac:dyDescent="0.3">
      <c r="A49" s="3">
        <v>80010</v>
      </c>
      <c r="B49" s="4">
        <f t="shared" si="5"/>
        <v>225670</v>
      </c>
      <c r="C49" s="4">
        <f t="shared" si="5"/>
        <v>106849</v>
      </c>
      <c r="D49" s="4">
        <f t="shared" si="5"/>
        <v>52763</v>
      </c>
      <c r="E49" s="4">
        <f t="shared" si="5"/>
        <v>1380302</v>
      </c>
      <c r="F49" s="4">
        <f t="shared" si="5"/>
        <v>117187438552</v>
      </c>
      <c r="G49">
        <f>1-SUM(E49:$E$56)/$E$57</f>
        <v>0.68454410390690024</v>
      </c>
      <c r="H49">
        <f>SUM(F49:F$56)/(A49*SUM(E49:E$56))</f>
        <v>1.9329661988668145</v>
      </c>
      <c r="I49" s="47">
        <f t="shared" si="3"/>
        <v>0.27912877037054212</v>
      </c>
      <c r="J49" s="47">
        <f t="shared" si="4"/>
        <v>0.20699962761772422</v>
      </c>
    </row>
    <row r="50" spans="1:10" x14ac:dyDescent="0.3">
      <c r="A50" s="3">
        <v>90010</v>
      </c>
      <c r="B50" s="4">
        <f t="shared" si="5"/>
        <v>147201</v>
      </c>
      <c r="C50" s="4">
        <f t="shared" si="5"/>
        <v>77201</v>
      </c>
      <c r="D50" s="4">
        <f t="shared" si="5"/>
        <v>34685</v>
      </c>
      <c r="E50" s="4">
        <f t="shared" si="5"/>
        <v>1164897</v>
      </c>
      <c r="F50" s="4">
        <f t="shared" si="5"/>
        <v>110504945683</v>
      </c>
      <c r="G50">
        <f>1-SUM(E50:$E$56)/$E$57</f>
        <v>0.73606450405966584</v>
      </c>
      <c r="H50">
        <f>SUM(F50:F$56)/(A50*SUM(E50:E$56))</f>
        <v>1.8694944774419815</v>
      </c>
      <c r="I50" s="47">
        <f t="shared" si="3"/>
        <v>0.22241193856624233</v>
      </c>
      <c r="J50" s="47">
        <f t="shared" si="4"/>
        <v>0.13765165503902921</v>
      </c>
    </row>
    <row r="51" spans="1:10" x14ac:dyDescent="0.3">
      <c r="A51" s="3">
        <v>100010</v>
      </c>
      <c r="B51" s="4">
        <f t="shared" si="5"/>
        <v>195106</v>
      </c>
      <c r="C51" s="4">
        <f t="shared" si="5"/>
        <v>113504</v>
      </c>
      <c r="D51" s="4">
        <f t="shared" si="5"/>
        <v>46615</v>
      </c>
      <c r="E51" s="4">
        <f t="shared" si="5"/>
        <v>2133615</v>
      </c>
      <c r="F51" s="4">
        <f t="shared" si="5"/>
        <v>237954674672</v>
      </c>
      <c r="G51">
        <f>1-SUM(E51:$E$56)/$E$57</f>
        <v>0.77954481458356284</v>
      </c>
      <c r="H51">
        <f>SUM(F51:F$56)/(A51*SUM(E51:E$56))</f>
        <v>1.8273371086708896</v>
      </c>
      <c r="I51" s="47">
        <f t="shared" si="3"/>
        <v>0.16648973690192467</v>
      </c>
      <c r="J51" s="47">
        <f t="shared" si="4"/>
        <v>7.1270121366788286E-2</v>
      </c>
    </row>
    <row r="52" spans="1:10" x14ac:dyDescent="0.3">
      <c r="A52" s="3">
        <v>125010</v>
      </c>
      <c r="B52" s="4">
        <f t="shared" si="5"/>
        <v>86146</v>
      </c>
      <c r="C52" s="4">
        <f t="shared" si="5"/>
        <v>50431</v>
      </c>
      <c r="D52" s="4">
        <f t="shared" si="5"/>
        <v>21873</v>
      </c>
      <c r="E52" s="4">
        <f t="shared" si="5"/>
        <v>1297443</v>
      </c>
      <c r="F52" s="4">
        <f t="shared" si="5"/>
        <v>177068596624</v>
      </c>
      <c r="G52">
        <f>1-SUM(E52:$E$56)/$E$57</f>
        <v>0.85918296519983595</v>
      </c>
      <c r="H52">
        <f>SUM(F52:F$56)/(A52*SUM(E52:E$56))</f>
        <v>1.7841218583805671</v>
      </c>
      <c r="I52" s="47">
        <f t="shared" si="3"/>
        <v>0.12212482552220021</v>
      </c>
      <c r="J52" s="47">
        <f t="shared" si="4"/>
        <v>1.8443199431497182E-2</v>
      </c>
    </row>
    <row r="53" spans="1:10" x14ac:dyDescent="0.3">
      <c r="A53" s="3">
        <v>150010</v>
      </c>
      <c r="B53" s="4">
        <f t="shared" si="5"/>
        <v>67784</v>
      </c>
      <c r="C53" s="4">
        <f t="shared" si="5"/>
        <v>42060</v>
      </c>
      <c r="D53" s="4">
        <f t="shared" si="5"/>
        <v>17399</v>
      </c>
      <c r="E53" s="4">
        <f t="shared" si="5"/>
        <v>1263438</v>
      </c>
      <c r="F53" s="4">
        <f t="shared" si="5"/>
        <v>215991787280</v>
      </c>
      <c r="G53">
        <f>1-SUM(E53:$E$56)/$E$57</f>
        <v>0.90761061547883637</v>
      </c>
      <c r="H53">
        <f>SUM(F53:F$56)/(A53*SUM(E53:E$56))</f>
        <v>1.7892414230291807</v>
      </c>
      <c r="I53" s="47">
        <f t="shared" si="3"/>
        <v>0.10071170884523023</v>
      </c>
      <c r="J53" s="47">
        <f t="shared" si="4"/>
        <v>7.1139224876883549E-3</v>
      </c>
    </row>
    <row r="54" spans="1:10" x14ac:dyDescent="0.3">
      <c r="A54" s="3">
        <v>200010</v>
      </c>
      <c r="B54" s="4">
        <f t="shared" si="5"/>
        <v>25503</v>
      </c>
      <c r="C54" s="4">
        <f t="shared" si="5"/>
        <v>16835</v>
      </c>
      <c r="D54" s="4">
        <f t="shared" si="5"/>
        <v>6837</v>
      </c>
      <c r="E54" s="4">
        <f t="shared" si="5"/>
        <v>506552</v>
      </c>
      <c r="F54" s="4">
        <f t="shared" si="5"/>
        <v>112304477510</v>
      </c>
      <c r="G54">
        <f>1-SUM(E54:$E$56)/$E$57</f>
        <v>0.95476901366141509</v>
      </c>
      <c r="H54">
        <f>SUM(F54:F$56)/(A54*SUM(E54:E$56))</f>
        <v>1.8499333117268877</v>
      </c>
      <c r="I54" s="47">
        <f t="shared" si="3"/>
        <v>9.7077891312244355E-2</v>
      </c>
      <c r="J54" s="47">
        <f t="shared" si="4"/>
        <v>5.9835910232315737E-3</v>
      </c>
    </row>
    <row r="55" spans="1:10" x14ac:dyDescent="0.3">
      <c r="A55" s="3">
        <v>250010</v>
      </c>
      <c r="B55" s="4">
        <f t="shared" si="5"/>
        <v>27734</v>
      </c>
      <c r="C55" s="4">
        <f t="shared" si="5"/>
        <v>19291</v>
      </c>
      <c r="D55" s="4">
        <f t="shared" si="5"/>
        <v>7640</v>
      </c>
      <c r="E55" s="4">
        <f t="shared" si="5"/>
        <v>559339</v>
      </c>
      <c r="F55" s="4">
        <f t="shared" si="5"/>
        <v>183582378513</v>
      </c>
      <c r="G55">
        <f>1-SUM(E55:$E$56)/$E$57</f>
        <v>0.97367629752986107</v>
      </c>
      <c r="H55">
        <f>SUM(F55:F$56)/(A55*SUM(E55:E$56))</f>
        <v>1.9060207770236313</v>
      </c>
      <c r="I55" s="47">
        <f t="shared" si="3"/>
        <v>9.7731429419368215E-2</v>
      </c>
      <c r="J55" s="47">
        <f t="shared" si="4"/>
        <v>3.1537225189017751E-3</v>
      </c>
    </row>
    <row r="56" spans="1:10" x14ac:dyDescent="0.3">
      <c r="A56" s="3">
        <v>500010</v>
      </c>
      <c r="B56" s="4">
        <f t="shared" si="5"/>
        <v>8177</v>
      </c>
      <c r="C56" s="4">
        <f t="shared" si="5"/>
        <v>6572</v>
      </c>
      <c r="D56" s="4">
        <f t="shared" si="5"/>
        <v>2198</v>
      </c>
      <c r="E56" s="4">
        <f t="shared" si="5"/>
        <v>145909</v>
      </c>
      <c r="F56" s="4">
        <f t="shared" si="5"/>
        <v>152485398899</v>
      </c>
      <c r="G56">
        <f>1-SUM(E56:$E$56)/$E$57</f>
        <v>0.99455388019006719</v>
      </c>
      <c r="H56">
        <f>SUM(F56:F$56)/(A56*SUM(E56:E$56))</f>
        <v>2.0901020396550583</v>
      </c>
      <c r="I56" s="47">
        <f t="shared" si="3"/>
        <v>0.11614773591759248</v>
      </c>
      <c r="J56" s="47">
        <f t="shared" si="4"/>
        <v>7.4704096388845107E-4</v>
      </c>
    </row>
    <row r="57" spans="1:10" x14ac:dyDescent="0.3">
      <c r="A57" s="3" t="s">
        <v>2</v>
      </c>
      <c r="B57" s="2">
        <f>B19+B38</f>
        <v>8730297</v>
      </c>
      <c r="C57" s="2">
        <f t="shared" si="5"/>
        <v>3206117</v>
      </c>
      <c r="D57" s="2">
        <f t="shared" si="5"/>
        <v>1252179</v>
      </c>
      <c r="E57" s="4">
        <f t="shared" si="5"/>
        <v>26791368</v>
      </c>
      <c r="F57" s="4">
        <f t="shared" si="5"/>
        <v>2016391822510</v>
      </c>
      <c r="G57">
        <f>F57/(6.55957*E57)</f>
        <v>11473.731080368883</v>
      </c>
      <c r="I57" s="47">
        <f t="shared" si="3"/>
        <v>0.49227023420379279</v>
      </c>
      <c r="J57" s="47">
        <f t="shared" si="4"/>
        <v>0.49721290827702413</v>
      </c>
    </row>
    <row r="58" spans="1:10" x14ac:dyDescent="0.3">
      <c r="B58" s="4">
        <f>B57-SUM(B44:B56)</f>
        <v>0</v>
      </c>
      <c r="C58" s="4">
        <f t="shared" ref="C58:F58" si="6">C57-SUM(C44:C56)</f>
        <v>0</v>
      </c>
      <c r="D58" s="4">
        <f t="shared" si="6"/>
        <v>5</v>
      </c>
      <c r="E58" s="4">
        <f t="shared" si="6"/>
        <v>0</v>
      </c>
      <c r="F58" s="4">
        <f t="shared" si="6"/>
        <v>0</v>
      </c>
      <c r="G58" s="2">
        <f>E57</f>
        <v>26791368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activeCell="G44" sqref="G44:I58"/>
    </sheetView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200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416779</v>
      </c>
      <c r="C6" s="2">
        <v>3034</v>
      </c>
      <c r="D6" s="2">
        <v>1294</v>
      </c>
      <c r="E6" s="4">
        <v>440253</v>
      </c>
      <c r="F6" s="4">
        <v>16203618440</v>
      </c>
    </row>
    <row r="7" spans="1:6" x14ac:dyDescent="0.3">
      <c r="A7">
        <v>40010</v>
      </c>
      <c r="B7" s="2">
        <v>1132752</v>
      </c>
      <c r="C7" s="2">
        <v>85079</v>
      </c>
      <c r="D7" s="2">
        <v>372</v>
      </c>
      <c r="E7" s="4">
        <v>1223617</v>
      </c>
      <c r="F7" s="4">
        <v>55273710800</v>
      </c>
    </row>
    <row r="8" spans="1:6" x14ac:dyDescent="0.3">
      <c r="A8">
        <v>50010</v>
      </c>
      <c r="B8" s="2">
        <v>960179</v>
      </c>
      <c r="C8" s="2">
        <v>284136</v>
      </c>
      <c r="D8" s="2">
        <v>37236</v>
      </c>
      <c r="E8" s="4">
        <v>1395544</v>
      </c>
      <c r="F8" s="4">
        <v>77004480320</v>
      </c>
    </row>
    <row r="9" spans="1:6" x14ac:dyDescent="0.3">
      <c r="A9">
        <v>60010</v>
      </c>
      <c r="B9" s="2">
        <v>658561</v>
      </c>
      <c r="C9" s="2">
        <v>223048</v>
      </c>
      <c r="D9" s="2">
        <v>92113</v>
      </c>
      <c r="E9" s="4">
        <v>1400741</v>
      </c>
      <c r="F9" s="4">
        <v>91028973570</v>
      </c>
    </row>
    <row r="10" spans="1:6" x14ac:dyDescent="0.3">
      <c r="A10">
        <v>70010</v>
      </c>
      <c r="B10" s="2">
        <v>397235</v>
      </c>
      <c r="C10" s="2">
        <v>154041</v>
      </c>
      <c r="D10" s="2">
        <v>71756</v>
      </c>
      <c r="E10" s="4">
        <v>1164356</v>
      </c>
      <c r="F10" s="4">
        <v>86988327460</v>
      </c>
    </row>
    <row r="11" spans="1:6" x14ac:dyDescent="0.3">
      <c r="A11">
        <v>80010</v>
      </c>
      <c r="B11" s="2">
        <v>252501</v>
      </c>
      <c r="C11" s="2">
        <v>96672</v>
      </c>
      <c r="D11" s="2">
        <v>58685</v>
      </c>
      <c r="E11" s="4">
        <v>1046707</v>
      </c>
      <c r="F11" s="4">
        <v>89206079630</v>
      </c>
    </row>
    <row r="12" spans="1:6" x14ac:dyDescent="0.3">
      <c r="A12">
        <v>90010</v>
      </c>
      <c r="B12" s="2">
        <v>175239</v>
      </c>
      <c r="C12" s="2">
        <v>87974</v>
      </c>
      <c r="D12" s="2">
        <v>42429</v>
      </c>
      <c r="E12" s="4">
        <v>1022123</v>
      </c>
      <c r="F12" s="4">
        <v>97051976450</v>
      </c>
    </row>
    <row r="13" spans="1:6" x14ac:dyDescent="0.3">
      <c r="A13">
        <v>100010</v>
      </c>
      <c r="B13" s="2">
        <v>231381</v>
      </c>
      <c r="C13" s="2">
        <v>131444</v>
      </c>
      <c r="D13" s="2">
        <v>57251</v>
      </c>
      <c r="E13" s="4">
        <v>2056452</v>
      </c>
      <c r="F13" s="4">
        <v>229879713610</v>
      </c>
    </row>
    <row r="14" spans="1:6" x14ac:dyDescent="0.3">
      <c r="A14">
        <v>125010</v>
      </c>
      <c r="B14" s="2">
        <v>102762</v>
      </c>
      <c r="C14" s="2">
        <v>60042</v>
      </c>
      <c r="D14" s="2">
        <v>26569</v>
      </c>
      <c r="E14" s="4">
        <v>1369075</v>
      </c>
      <c r="F14" s="4">
        <v>186985601150</v>
      </c>
    </row>
    <row r="15" spans="1:6" x14ac:dyDescent="0.3">
      <c r="A15">
        <v>150010</v>
      </c>
      <c r="B15" s="2">
        <v>81767</v>
      </c>
      <c r="C15" s="2">
        <v>49398</v>
      </c>
      <c r="D15" s="2">
        <v>21690</v>
      </c>
      <c r="E15" s="4">
        <v>1400562</v>
      </c>
      <c r="F15" s="4">
        <v>239687604260</v>
      </c>
    </row>
    <row r="16" spans="1:6" x14ac:dyDescent="0.3">
      <c r="A16">
        <v>200010</v>
      </c>
      <c r="B16" s="2">
        <v>30119</v>
      </c>
      <c r="C16" s="2">
        <v>19694</v>
      </c>
      <c r="D16" s="2">
        <v>8405</v>
      </c>
      <c r="E16" s="4">
        <v>573204</v>
      </c>
      <c r="F16" s="4">
        <v>127089565900</v>
      </c>
    </row>
    <row r="17" spans="1:6" x14ac:dyDescent="0.3">
      <c r="A17">
        <v>250010</v>
      </c>
      <c r="B17" s="2">
        <v>31319</v>
      </c>
      <c r="C17" s="2">
        <v>21641</v>
      </c>
      <c r="D17" s="2">
        <v>9238</v>
      </c>
      <c r="E17" s="4">
        <v>633418</v>
      </c>
      <c r="F17" s="4">
        <v>207667864020</v>
      </c>
    </row>
    <row r="18" spans="1:6" x14ac:dyDescent="0.3">
      <c r="A18">
        <v>500010</v>
      </c>
      <c r="B18" s="2">
        <v>8290</v>
      </c>
      <c r="C18" s="2">
        <v>6138</v>
      </c>
      <c r="D18" s="2">
        <v>2375</v>
      </c>
      <c r="E18" s="4">
        <v>155880</v>
      </c>
      <c r="F18" s="4">
        <v>143615701750</v>
      </c>
    </row>
    <row r="19" spans="1:6" x14ac:dyDescent="0.3">
      <c r="A19" t="s">
        <v>2</v>
      </c>
      <c r="B19" s="2">
        <v>4478884</v>
      </c>
      <c r="C19" s="2">
        <v>1222341</v>
      </c>
      <c r="D19" s="2">
        <v>429413</v>
      </c>
      <c r="E19" s="4">
        <v>13881932</v>
      </c>
      <c r="F19" s="4">
        <v>1647683217560</v>
      </c>
    </row>
    <row r="20" spans="1:6" x14ac:dyDescent="0.3">
      <c r="B20" s="4">
        <f t="shared" ref="B20:F20" si="0">B19-SUM(B6:B18)</f>
        <v>0</v>
      </c>
      <c r="C20" s="4">
        <f t="shared" si="0"/>
        <v>0</v>
      </c>
      <c r="D20" s="4">
        <f t="shared" si="0"/>
        <v>0</v>
      </c>
      <c r="E20" s="4">
        <f t="shared" si="0"/>
        <v>0</v>
      </c>
      <c r="F20" s="4">
        <f t="shared" si="0"/>
        <v>200</v>
      </c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5</v>
      </c>
    </row>
    <row r="23" spans="1:6" x14ac:dyDescent="0.3">
      <c r="B23" s="78"/>
      <c r="C23" s="78"/>
      <c r="E23" s="78" t="s">
        <v>2</v>
      </c>
      <c r="F23" s="78"/>
    </row>
    <row r="24" spans="1:6" x14ac:dyDescent="0.3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3">
      <c r="A25" s="3">
        <v>0</v>
      </c>
      <c r="B25" s="2">
        <v>4432514</v>
      </c>
      <c r="C25" s="2">
        <v>1772434</v>
      </c>
      <c r="D25" s="2">
        <v>546505</v>
      </c>
      <c r="E25" s="4">
        <v>8871967</v>
      </c>
      <c r="F25" s="4">
        <v>177593176780</v>
      </c>
    </row>
    <row r="26" spans="1:6" x14ac:dyDescent="0.3">
      <c r="A26" s="3">
        <v>40010</v>
      </c>
      <c r="B26" s="2">
        <v>71009</v>
      </c>
      <c r="C26" s="2">
        <v>255381</v>
      </c>
      <c r="D26" s="2">
        <v>178007</v>
      </c>
      <c r="E26" s="4">
        <v>1400298</v>
      </c>
      <c r="F26" s="4">
        <v>62921328390</v>
      </c>
    </row>
    <row r="27" spans="1:6" x14ac:dyDescent="0.3">
      <c r="A27" s="3">
        <v>50010</v>
      </c>
      <c r="B27" s="2">
        <v>16257</v>
      </c>
      <c r="C27" s="2">
        <v>54963</v>
      </c>
      <c r="D27" s="2">
        <v>137081</v>
      </c>
      <c r="E27" s="4">
        <v>1275278</v>
      </c>
      <c r="F27" s="4">
        <v>69573167530</v>
      </c>
    </row>
    <row r="28" spans="1:6" x14ac:dyDescent="0.3">
      <c r="A28" s="3">
        <v>60010</v>
      </c>
      <c r="B28" s="2">
        <v>926</v>
      </c>
      <c r="C28" s="2">
        <v>8834</v>
      </c>
      <c r="D28" s="2">
        <v>38949</v>
      </c>
      <c r="E28" s="4">
        <v>780685</v>
      </c>
      <c r="F28" s="4">
        <v>50346365610</v>
      </c>
    </row>
    <row r="29" spans="1:6" x14ac:dyDescent="0.3">
      <c r="A29" s="3">
        <v>70010</v>
      </c>
      <c r="B29" s="2">
        <v>719</v>
      </c>
      <c r="C29" s="2">
        <v>720</v>
      </c>
      <c r="D29" s="2">
        <v>18262</v>
      </c>
      <c r="E29" s="4">
        <v>443714</v>
      </c>
      <c r="F29" s="4">
        <v>33032103530</v>
      </c>
    </row>
    <row r="30" spans="1:6" x14ac:dyDescent="0.3">
      <c r="A30" s="3">
        <v>80010</v>
      </c>
      <c r="B30" s="2">
        <v>652</v>
      </c>
      <c r="C30" s="2">
        <v>166</v>
      </c>
      <c r="D30" s="2">
        <v>4353</v>
      </c>
      <c r="E30" s="4">
        <v>277275</v>
      </c>
      <c r="F30" s="4">
        <v>23516338020</v>
      </c>
    </row>
    <row r="31" spans="1:6" x14ac:dyDescent="0.3">
      <c r="A31" s="3">
        <v>90010</v>
      </c>
      <c r="B31" s="2">
        <v>605</v>
      </c>
      <c r="C31" s="2">
        <v>153</v>
      </c>
      <c r="D31" s="2">
        <v>765</v>
      </c>
      <c r="E31" s="4">
        <v>187405</v>
      </c>
      <c r="F31" s="4">
        <v>17691426060</v>
      </c>
    </row>
    <row r="32" spans="1:6" x14ac:dyDescent="0.3">
      <c r="A32" s="3">
        <v>100010</v>
      </c>
      <c r="B32" s="2">
        <v>538</v>
      </c>
      <c r="C32" s="2">
        <v>273</v>
      </c>
      <c r="D32" s="2">
        <v>418</v>
      </c>
      <c r="E32" s="4">
        <v>187135</v>
      </c>
      <c r="F32" s="4">
        <v>20471533310</v>
      </c>
    </row>
    <row r="33" spans="1:10" x14ac:dyDescent="0.3">
      <c r="A33" s="3">
        <v>125010</v>
      </c>
      <c r="B33" s="2">
        <v>236</v>
      </c>
      <c r="C33" s="2">
        <v>54</v>
      </c>
      <c r="D33" s="2">
        <v>183</v>
      </c>
      <c r="E33" s="4">
        <v>34444</v>
      </c>
      <c r="F33" s="4">
        <v>4612008270</v>
      </c>
    </row>
    <row r="34" spans="1:10" x14ac:dyDescent="0.3">
      <c r="A34" s="3">
        <v>150010</v>
      </c>
      <c r="B34" s="2">
        <v>222</v>
      </c>
      <c r="C34" s="2">
        <v>50</v>
      </c>
      <c r="D34" s="2">
        <v>88</v>
      </c>
      <c r="E34" s="4">
        <v>12842</v>
      </c>
      <c r="F34" s="4">
        <v>2172500320</v>
      </c>
    </row>
    <row r="35" spans="1:10" x14ac:dyDescent="0.3">
      <c r="A35" s="3">
        <v>200010</v>
      </c>
      <c r="B35" s="2">
        <v>91</v>
      </c>
      <c r="C35" s="2">
        <v>21</v>
      </c>
      <c r="D35" s="2">
        <v>41</v>
      </c>
      <c r="E35" s="4">
        <v>4350</v>
      </c>
      <c r="F35" s="4">
        <v>959988530</v>
      </c>
    </row>
    <row r="36" spans="1:10" x14ac:dyDescent="0.3">
      <c r="A36" s="3">
        <v>250010</v>
      </c>
      <c r="B36" s="2">
        <v>63</v>
      </c>
      <c r="C36" s="2">
        <v>20</v>
      </c>
      <c r="D36" s="2">
        <v>38</v>
      </c>
      <c r="E36" s="4">
        <v>2554</v>
      </c>
      <c r="F36" s="4">
        <v>789837060</v>
      </c>
    </row>
    <row r="37" spans="1:10" x14ac:dyDescent="0.3">
      <c r="A37" s="3">
        <v>500010</v>
      </c>
      <c r="B37" s="2">
        <v>7</v>
      </c>
      <c r="C37" s="2">
        <v>2</v>
      </c>
      <c r="D37" s="2">
        <v>5</v>
      </c>
      <c r="E37" s="4">
        <v>154</v>
      </c>
      <c r="F37" s="4">
        <v>101696720</v>
      </c>
    </row>
    <row r="38" spans="1:10" x14ac:dyDescent="0.3">
      <c r="A38" s="3" t="s">
        <v>2</v>
      </c>
      <c r="B38" s="2">
        <v>4523839</v>
      </c>
      <c r="C38" s="2">
        <v>2093071</v>
      </c>
      <c r="D38" s="2">
        <v>924695</v>
      </c>
      <c r="E38" s="4">
        <v>13478101</v>
      </c>
      <c r="F38" s="4">
        <v>463781470130</v>
      </c>
    </row>
    <row r="39" spans="1:10" x14ac:dyDescent="0.3">
      <c r="B39" s="4">
        <f t="shared" ref="B39:F39" si="1">B38-SUM(B25:B37)</f>
        <v>0</v>
      </c>
      <c r="C39" s="4">
        <f t="shared" si="1"/>
        <v>0</v>
      </c>
      <c r="D39" s="4">
        <f t="shared" si="1"/>
        <v>0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4849293</v>
      </c>
      <c r="C44" s="4">
        <f t="shared" ref="C44:F44" si="2">C6+C25</f>
        <v>1775468</v>
      </c>
      <c r="D44" s="4">
        <f t="shared" si="2"/>
        <v>547799</v>
      </c>
      <c r="E44" s="4">
        <f t="shared" si="2"/>
        <v>9312220</v>
      </c>
      <c r="F44" s="4">
        <f t="shared" si="2"/>
        <v>193796795220</v>
      </c>
      <c r="G44">
        <f>1-SUM(E44:$E$56)/$E$57</f>
        <v>0</v>
      </c>
      <c r="I44" s="47">
        <f t="shared" ref="I44:I57" si="3">(B44+C44+D44)/E44</f>
        <v>0.77023094385656699</v>
      </c>
      <c r="J44" s="47">
        <f t="shared" ref="J44:J57" si="4">E25/E44</f>
        <v>0.95272308858682464</v>
      </c>
    </row>
    <row r="45" spans="1:10" x14ac:dyDescent="0.3">
      <c r="A45" s="3">
        <v>40010</v>
      </c>
      <c r="B45" s="4">
        <f t="shared" ref="B45:F57" si="5">B7+B26</f>
        <v>1203761</v>
      </c>
      <c r="C45" s="4">
        <f t="shared" si="5"/>
        <v>340460</v>
      </c>
      <c r="D45" s="4">
        <f t="shared" si="5"/>
        <v>178379</v>
      </c>
      <c r="E45" s="4">
        <f t="shared" si="5"/>
        <v>2623915</v>
      </c>
      <c r="F45" s="4">
        <f t="shared" si="5"/>
        <v>118195039190</v>
      </c>
      <c r="G45">
        <f>1-SUM(E45:$E$56)/$E$57</f>
        <v>0.34035850760852515</v>
      </c>
      <c r="H45">
        <f>SUM(F45:F$56)/(A45*SUM(E45:E$56))</f>
        <v>2.6557076404786826</v>
      </c>
      <c r="I45" s="47">
        <f t="shared" si="3"/>
        <v>0.65649992473079344</v>
      </c>
      <c r="J45" s="47">
        <f t="shared" si="4"/>
        <v>0.5336674396845934</v>
      </c>
    </row>
    <row r="46" spans="1:10" x14ac:dyDescent="0.3">
      <c r="A46" s="3">
        <v>50010</v>
      </c>
      <c r="B46" s="4">
        <f t="shared" si="5"/>
        <v>976436</v>
      </c>
      <c r="C46" s="4">
        <f t="shared" si="5"/>
        <v>339099</v>
      </c>
      <c r="D46" s="4">
        <f t="shared" si="5"/>
        <v>174317</v>
      </c>
      <c r="E46" s="4">
        <f t="shared" si="5"/>
        <v>2670822</v>
      </c>
      <c r="F46" s="4">
        <f t="shared" si="5"/>
        <v>146577647850</v>
      </c>
      <c r="G46">
        <f>1-SUM(E46:$E$56)/$E$57</f>
        <v>0.43626171795918522</v>
      </c>
      <c r="H46">
        <f>SUM(F46:F$56)/(A46*SUM(E46:E$56))</f>
        <v>2.3328902077463236</v>
      </c>
      <c r="I46" s="47">
        <f t="shared" si="3"/>
        <v>0.55782526877493144</v>
      </c>
      <c r="J46" s="47">
        <f t="shared" si="4"/>
        <v>0.4774852086735844</v>
      </c>
    </row>
    <row r="47" spans="1:10" x14ac:dyDescent="0.3">
      <c r="A47" s="3">
        <v>60010</v>
      </c>
      <c r="B47" s="4">
        <f t="shared" si="5"/>
        <v>659487</v>
      </c>
      <c r="C47" s="4">
        <f t="shared" si="5"/>
        <v>231882</v>
      </c>
      <c r="D47" s="4">
        <f t="shared" si="5"/>
        <v>131062</v>
      </c>
      <c r="E47" s="4">
        <f t="shared" si="5"/>
        <v>2181426</v>
      </c>
      <c r="F47" s="4">
        <f t="shared" si="5"/>
        <v>141375339180</v>
      </c>
      <c r="G47">
        <f>1-SUM(E47:$E$56)/$E$57</f>
        <v>0.53387936337649888</v>
      </c>
      <c r="H47">
        <f>SUM(F47:F$56)/(A47*SUM(E47:E$56))</f>
        <v>2.1597662250292919</v>
      </c>
      <c r="I47" s="47">
        <f t="shared" si="3"/>
        <v>0.46869845688095768</v>
      </c>
      <c r="J47" s="47">
        <f t="shared" si="4"/>
        <v>0.35787828695541357</v>
      </c>
    </row>
    <row r="48" spans="1:10" x14ac:dyDescent="0.3">
      <c r="A48" s="3">
        <v>70010</v>
      </c>
      <c r="B48" s="4">
        <f t="shared" si="5"/>
        <v>397954</v>
      </c>
      <c r="C48" s="4">
        <f t="shared" si="5"/>
        <v>154761</v>
      </c>
      <c r="D48" s="4">
        <f t="shared" si="5"/>
        <v>90018</v>
      </c>
      <c r="E48" s="4">
        <f t="shared" si="5"/>
        <v>1608070</v>
      </c>
      <c r="F48" s="4">
        <f t="shared" si="5"/>
        <v>120020430990</v>
      </c>
      <c r="G48">
        <f>1-SUM(E48:$E$56)/$E$57</f>
        <v>0.61360974966660309</v>
      </c>
      <c r="H48">
        <f>SUM(F48:F$56)/(A48*SUM(E48:E$56))</f>
        <v>2.0422598789937538</v>
      </c>
      <c r="I48" s="47">
        <f t="shared" si="3"/>
        <v>0.39969217757933423</v>
      </c>
      <c r="J48" s="47">
        <f t="shared" si="4"/>
        <v>0.27592953043088919</v>
      </c>
    </row>
    <row r="49" spans="1:10" x14ac:dyDescent="0.3">
      <c r="A49" s="3">
        <v>80010</v>
      </c>
      <c r="B49" s="4">
        <f t="shared" si="5"/>
        <v>253153</v>
      </c>
      <c r="C49" s="4">
        <f t="shared" si="5"/>
        <v>96838</v>
      </c>
      <c r="D49" s="4">
        <f t="shared" si="5"/>
        <v>63038</v>
      </c>
      <c r="E49" s="4">
        <f t="shared" si="5"/>
        <v>1323982</v>
      </c>
      <c r="F49" s="4">
        <f t="shared" si="5"/>
        <v>112722417650</v>
      </c>
      <c r="G49">
        <f>1-SUM(E49:$E$56)/$E$57</f>
        <v>0.67238416708050019</v>
      </c>
      <c r="H49">
        <f>SUM(F49:F$56)/(A49*SUM(E49:E$56))</f>
        <v>1.9402480919594609</v>
      </c>
      <c r="I49" s="47">
        <f t="shared" si="3"/>
        <v>0.31195967921014034</v>
      </c>
      <c r="J49" s="47">
        <f t="shared" si="4"/>
        <v>0.20942505260645539</v>
      </c>
    </row>
    <row r="50" spans="1:10" x14ac:dyDescent="0.3">
      <c r="A50" s="3">
        <v>90010</v>
      </c>
      <c r="B50" s="4">
        <f t="shared" si="5"/>
        <v>175844</v>
      </c>
      <c r="C50" s="4">
        <f t="shared" si="5"/>
        <v>88127</v>
      </c>
      <c r="D50" s="4">
        <f t="shared" si="5"/>
        <v>43194</v>
      </c>
      <c r="E50" s="4">
        <f t="shared" si="5"/>
        <v>1209528</v>
      </c>
      <c r="F50" s="4">
        <f t="shared" si="5"/>
        <v>114743402510</v>
      </c>
      <c r="G50">
        <f>1-SUM(E50:$E$56)/$E$57</f>
        <v>0.72077526368480616</v>
      </c>
      <c r="H50">
        <f>SUM(F50:F$56)/(A50*SUM(E50:E$56))</f>
        <v>1.8596600194296855</v>
      </c>
      <c r="I50" s="47">
        <f t="shared" si="3"/>
        <v>0.25395443511849253</v>
      </c>
      <c r="J50" s="47">
        <f t="shared" si="4"/>
        <v>0.15494060493018763</v>
      </c>
    </row>
    <row r="51" spans="1:10" x14ac:dyDescent="0.3">
      <c r="A51" s="3">
        <v>100010</v>
      </c>
      <c r="B51" s="4">
        <f t="shared" si="5"/>
        <v>231919</v>
      </c>
      <c r="C51" s="4">
        <f t="shared" si="5"/>
        <v>131717</v>
      </c>
      <c r="D51" s="4">
        <f t="shared" si="5"/>
        <v>57669</v>
      </c>
      <c r="E51" s="4">
        <f t="shared" si="5"/>
        <v>2243587</v>
      </c>
      <c r="F51" s="4">
        <f t="shared" si="5"/>
        <v>250351246920</v>
      </c>
      <c r="G51">
        <f>1-SUM(E51:$E$56)/$E$57</f>
        <v>0.76498310510078693</v>
      </c>
      <c r="H51">
        <f>SUM(F51:F$56)/(A51*SUM(E51:E$56))</f>
        <v>1.8101159445817576</v>
      </c>
      <c r="I51" s="47">
        <f t="shared" si="3"/>
        <v>0.18778188677327867</v>
      </c>
      <c r="J51" s="47">
        <f t="shared" si="4"/>
        <v>8.340884485424456E-2</v>
      </c>
    </row>
    <row r="52" spans="1:10" x14ac:dyDescent="0.3">
      <c r="A52" s="3">
        <v>125010</v>
      </c>
      <c r="B52" s="4">
        <f t="shared" si="5"/>
        <v>102998</v>
      </c>
      <c r="C52" s="4">
        <f t="shared" si="5"/>
        <v>60096</v>
      </c>
      <c r="D52" s="4">
        <f t="shared" si="5"/>
        <v>26752</v>
      </c>
      <c r="E52" s="4">
        <f t="shared" si="5"/>
        <v>1403519</v>
      </c>
      <c r="F52" s="4">
        <f t="shared" si="5"/>
        <v>191597609420</v>
      </c>
      <c r="G52">
        <f>1-SUM(E52:$E$56)/$E$57</f>
        <v>0.84698545502485323</v>
      </c>
      <c r="H52">
        <f>SUM(F52:F$56)/(A52*SUM(E52:E$56))</f>
        <v>1.7458268035248889</v>
      </c>
      <c r="I52" s="47">
        <f t="shared" si="3"/>
        <v>0.135264289261492</v>
      </c>
      <c r="J52" s="47">
        <f t="shared" si="4"/>
        <v>2.4541171156215198E-2</v>
      </c>
    </row>
    <row r="53" spans="1:10" x14ac:dyDescent="0.3">
      <c r="A53" s="3">
        <v>150010</v>
      </c>
      <c r="B53" s="4">
        <f t="shared" si="5"/>
        <v>81989</v>
      </c>
      <c r="C53" s="4">
        <f t="shared" si="5"/>
        <v>49448</v>
      </c>
      <c r="D53" s="4">
        <f t="shared" si="5"/>
        <v>21778</v>
      </c>
      <c r="E53" s="4">
        <f t="shared" si="5"/>
        <v>1413404</v>
      </c>
      <c r="F53" s="4">
        <f t="shared" si="5"/>
        <v>241860104580</v>
      </c>
      <c r="G53">
        <f>1-SUM(E53:$E$56)/$E$57</f>
        <v>0.89828360221641546</v>
      </c>
      <c r="H53">
        <f>SUM(F53:F$56)/(A53*SUM(E53:E$56))</f>
        <v>1.7296585529795994</v>
      </c>
      <c r="I53" s="47">
        <f t="shared" si="3"/>
        <v>0.10840141955166392</v>
      </c>
      <c r="J53" s="47">
        <f t="shared" si="4"/>
        <v>9.0858664613939107E-3</v>
      </c>
    </row>
    <row r="54" spans="1:10" x14ac:dyDescent="0.3">
      <c r="A54" s="3">
        <v>200010</v>
      </c>
      <c r="B54" s="4">
        <f t="shared" si="5"/>
        <v>30210</v>
      </c>
      <c r="C54" s="4">
        <f t="shared" si="5"/>
        <v>19715</v>
      </c>
      <c r="D54" s="4">
        <f t="shared" si="5"/>
        <v>8446</v>
      </c>
      <c r="E54" s="4">
        <f t="shared" si="5"/>
        <v>577554</v>
      </c>
      <c r="F54" s="4">
        <f t="shared" si="5"/>
        <v>128049554430</v>
      </c>
      <c r="G54">
        <f>1-SUM(E54:$E$56)/$E$57</f>
        <v>0.94994304283185627</v>
      </c>
      <c r="H54">
        <f>SUM(F54:F$56)/(A54*SUM(E54:E$56))</f>
        <v>1.7531201405845769</v>
      </c>
      <c r="I54" s="47">
        <f t="shared" si="3"/>
        <v>0.10106587435980012</v>
      </c>
      <c r="J54" s="47">
        <f t="shared" si="4"/>
        <v>7.5317632636948233E-3</v>
      </c>
    </row>
    <row r="55" spans="1:10" x14ac:dyDescent="0.3">
      <c r="A55" s="3">
        <v>250010</v>
      </c>
      <c r="B55" s="4">
        <f t="shared" si="5"/>
        <v>31382</v>
      </c>
      <c r="C55" s="4">
        <f t="shared" si="5"/>
        <v>21661</v>
      </c>
      <c r="D55" s="4">
        <f t="shared" si="5"/>
        <v>9276</v>
      </c>
      <c r="E55" s="4">
        <f t="shared" si="5"/>
        <v>635972</v>
      </c>
      <c r="F55" s="4">
        <f t="shared" si="5"/>
        <v>208457701080</v>
      </c>
      <c r="G55">
        <f>1-SUM(E55:$E$56)/$E$57</f>
        <v>0.9710524471955132</v>
      </c>
      <c r="H55">
        <f>SUM(F55:F$56)/(A55*SUM(E55:E$56))</f>
        <v>1.7785775012284029</v>
      </c>
      <c r="I55" s="47">
        <f t="shared" si="3"/>
        <v>9.7990163088941026E-2</v>
      </c>
      <c r="J55" s="47">
        <f t="shared" si="4"/>
        <v>4.0159000710723114E-3</v>
      </c>
    </row>
    <row r="56" spans="1:10" x14ac:dyDescent="0.3">
      <c r="A56" s="3">
        <v>500010</v>
      </c>
      <c r="B56" s="4">
        <f t="shared" si="5"/>
        <v>8297</v>
      </c>
      <c r="C56" s="4">
        <f t="shared" si="5"/>
        <v>6140</v>
      </c>
      <c r="D56" s="4">
        <f t="shared" si="5"/>
        <v>2380</v>
      </c>
      <c r="E56" s="4">
        <f t="shared" si="5"/>
        <v>156034</v>
      </c>
      <c r="F56" s="4">
        <f t="shared" si="5"/>
        <v>143717398470</v>
      </c>
      <c r="G56">
        <f>1-SUM(E56:$E$56)/$E$57</f>
        <v>0.99429700980258318</v>
      </c>
      <c r="H56">
        <f>SUM(F56:F$56)/(A56*SUM(E56:E$56))</f>
        <v>1.8420924180565315</v>
      </c>
      <c r="I56" s="47">
        <f t="shared" si="3"/>
        <v>0.10777779201968801</v>
      </c>
      <c r="J56" s="47">
        <f t="shared" si="4"/>
        <v>9.8696437955830135E-4</v>
      </c>
    </row>
    <row r="57" spans="1:10" x14ac:dyDescent="0.3">
      <c r="A57" s="3" t="s">
        <v>2</v>
      </c>
      <c r="B57" s="2">
        <f>B19+B38</f>
        <v>9002723</v>
      </c>
      <c r="C57" s="2">
        <f t="shared" si="5"/>
        <v>3315412</v>
      </c>
      <c r="D57" s="2">
        <f t="shared" si="5"/>
        <v>1354108</v>
      </c>
      <c r="E57" s="4">
        <f t="shared" si="5"/>
        <v>27360033</v>
      </c>
      <c r="F57" s="4">
        <f t="shared" si="5"/>
        <v>2111464687690</v>
      </c>
      <c r="G57">
        <f>F57/(6.55957*E57)</f>
        <v>11764.997380296878</v>
      </c>
      <c r="I57" s="47">
        <f t="shared" si="3"/>
        <v>0.49971588119064037</v>
      </c>
      <c r="J57" s="47">
        <f t="shared" si="4"/>
        <v>0.49262005641586765</v>
      </c>
    </row>
    <row r="58" spans="1:10" x14ac:dyDescent="0.3">
      <c r="B58" s="4">
        <f>B57-SUM(B44:B56)</f>
        <v>0</v>
      </c>
      <c r="C58" s="4">
        <f t="shared" ref="C58:F58" si="6">C57-SUM(C44:C56)</f>
        <v>0</v>
      </c>
      <c r="D58" s="4">
        <f t="shared" si="6"/>
        <v>0</v>
      </c>
      <c r="E58" s="4">
        <f t="shared" si="6"/>
        <v>0</v>
      </c>
      <c r="F58" s="4">
        <f t="shared" si="6"/>
        <v>200</v>
      </c>
      <c r="G58" s="2">
        <f>E57</f>
        <v>27360033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199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267525</v>
      </c>
      <c r="C6" s="2">
        <v>3107</v>
      </c>
      <c r="D6" s="2">
        <v>1229</v>
      </c>
      <c r="E6" s="4">
        <v>288105</v>
      </c>
      <c r="F6" s="4">
        <v>10605208258</v>
      </c>
    </row>
    <row r="7" spans="1:6" x14ac:dyDescent="0.3">
      <c r="A7">
        <v>40010</v>
      </c>
      <c r="B7" s="2">
        <v>1132337</v>
      </c>
      <c r="C7" s="2">
        <v>39115</v>
      </c>
      <c r="D7" s="2">
        <v>389</v>
      </c>
      <c r="E7" s="4">
        <v>1176906</v>
      </c>
      <c r="F7" s="4">
        <v>53075000882</v>
      </c>
    </row>
    <row r="8" spans="1:6" x14ac:dyDescent="0.3">
      <c r="A8">
        <v>50010</v>
      </c>
      <c r="B8" s="2">
        <v>1000474</v>
      </c>
      <c r="C8" s="2">
        <v>281626</v>
      </c>
      <c r="D8" s="2">
        <v>19358</v>
      </c>
      <c r="E8" s="4">
        <v>1354006</v>
      </c>
      <c r="F8" s="4">
        <v>74587826868</v>
      </c>
    </row>
    <row r="9" spans="1:6" x14ac:dyDescent="0.3">
      <c r="A9">
        <v>60010</v>
      </c>
      <c r="B9" s="2">
        <v>730646</v>
      </c>
      <c r="C9" s="2">
        <v>240125</v>
      </c>
      <c r="D9" s="2">
        <v>98218</v>
      </c>
      <c r="E9" s="4">
        <v>1411664</v>
      </c>
      <c r="F9" s="4">
        <v>91704423793</v>
      </c>
    </row>
    <row r="10" spans="1:6" x14ac:dyDescent="0.3">
      <c r="A10">
        <v>70010</v>
      </c>
      <c r="B10" s="2">
        <v>467727</v>
      </c>
      <c r="C10" s="2">
        <v>180664</v>
      </c>
      <c r="D10" s="2">
        <v>81074</v>
      </c>
      <c r="E10" s="4">
        <v>1256292</v>
      </c>
      <c r="F10" s="4">
        <v>93965593075</v>
      </c>
    </row>
    <row r="11" spans="1:6" x14ac:dyDescent="0.3">
      <c r="A11">
        <v>80010</v>
      </c>
      <c r="B11" s="2">
        <v>284161</v>
      </c>
      <c r="C11" s="2">
        <v>98695</v>
      </c>
      <c r="D11" s="2">
        <v>65328</v>
      </c>
      <c r="E11" s="4">
        <v>1015968</v>
      </c>
      <c r="F11" s="4">
        <v>86559513855</v>
      </c>
    </row>
    <row r="12" spans="1:6" x14ac:dyDescent="0.3">
      <c r="A12">
        <v>90010</v>
      </c>
      <c r="B12" s="2">
        <v>204919</v>
      </c>
      <c r="C12" s="2">
        <v>99921</v>
      </c>
      <c r="D12" s="2">
        <v>50165</v>
      </c>
      <c r="E12" s="4">
        <v>1046505</v>
      </c>
      <c r="F12" s="4">
        <v>99350452212</v>
      </c>
    </row>
    <row r="13" spans="1:6" x14ac:dyDescent="0.3">
      <c r="A13">
        <v>100010</v>
      </c>
      <c r="B13" s="2">
        <v>279712</v>
      </c>
      <c r="C13" s="2">
        <v>151787</v>
      </c>
      <c r="D13" s="2">
        <v>70053</v>
      </c>
      <c r="E13" s="4">
        <v>2134130</v>
      </c>
      <c r="F13" s="4">
        <v>238661471420</v>
      </c>
    </row>
    <row r="14" spans="1:6" x14ac:dyDescent="0.3">
      <c r="A14">
        <v>125010</v>
      </c>
      <c r="B14" s="2">
        <v>125340</v>
      </c>
      <c r="C14" s="2">
        <v>71415</v>
      </c>
      <c r="D14" s="2">
        <v>32956</v>
      </c>
      <c r="E14" s="4">
        <v>1471622</v>
      </c>
      <c r="F14" s="4">
        <v>201076120483</v>
      </c>
    </row>
    <row r="15" spans="1:6" x14ac:dyDescent="0.3">
      <c r="A15">
        <v>150010</v>
      </c>
      <c r="B15" s="2">
        <v>99193</v>
      </c>
      <c r="C15" s="2">
        <v>59520</v>
      </c>
      <c r="D15" s="2">
        <v>27459</v>
      </c>
      <c r="E15" s="4">
        <v>1566951</v>
      </c>
      <c r="F15" s="4">
        <v>268487073637</v>
      </c>
    </row>
    <row r="16" spans="1:6" x14ac:dyDescent="0.3">
      <c r="A16">
        <v>200010</v>
      </c>
      <c r="B16" s="2">
        <v>35658</v>
      </c>
      <c r="C16" s="2">
        <v>22692</v>
      </c>
      <c r="D16" s="2">
        <v>10209</v>
      </c>
      <c r="E16" s="4">
        <v>662969</v>
      </c>
      <c r="F16" s="4">
        <v>147033067086</v>
      </c>
    </row>
    <row r="17" spans="1:6" x14ac:dyDescent="0.3">
      <c r="A17">
        <v>250010</v>
      </c>
      <c r="B17" s="2">
        <v>36308</v>
      </c>
      <c r="C17" s="2">
        <v>24784</v>
      </c>
      <c r="D17" s="2">
        <v>10989</v>
      </c>
      <c r="E17" s="4">
        <v>735995</v>
      </c>
      <c r="F17" s="4">
        <v>241211540559</v>
      </c>
    </row>
    <row r="18" spans="1:6" x14ac:dyDescent="0.3">
      <c r="A18">
        <v>500010</v>
      </c>
      <c r="B18" s="2">
        <v>8975</v>
      </c>
      <c r="C18" s="2">
        <v>6889</v>
      </c>
      <c r="D18" s="2">
        <v>2876</v>
      </c>
      <c r="E18" s="4">
        <v>175411</v>
      </c>
      <c r="F18" s="4">
        <v>161347446028</v>
      </c>
    </row>
    <row r="19" spans="1:6" x14ac:dyDescent="0.3">
      <c r="A19" t="s">
        <v>2</v>
      </c>
      <c r="B19" s="2">
        <v>4672975</v>
      </c>
      <c r="C19" s="2">
        <v>1280340</v>
      </c>
      <c r="D19" s="2">
        <v>470303</v>
      </c>
      <c r="E19" s="4">
        <v>14296524</v>
      </c>
      <c r="F19" s="4">
        <v>1767664738156</v>
      </c>
    </row>
    <row r="20" spans="1:6" x14ac:dyDescent="0.3">
      <c r="B20" s="4">
        <f t="shared" ref="B20:F20" si="0">B19-SUM(B6:B18)</f>
        <v>0</v>
      </c>
      <c r="C20" s="4">
        <f t="shared" si="0"/>
        <v>0</v>
      </c>
      <c r="D20" s="4">
        <f t="shared" si="0"/>
        <v>0</v>
      </c>
      <c r="E20" s="4">
        <f t="shared" si="0"/>
        <v>0</v>
      </c>
      <c r="F20" s="4">
        <f t="shared" si="0"/>
        <v>0</v>
      </c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5</v>
      </c>
    </row>
    <row r="23" spans="1:6" x14ac:dyDescent="0.3">
      <c r="B23" s="78"/>
      <c r="C23" s="78"/>
      <c r="E23" s="78" t="s">
        <v>2</v>
      </c>
      <c r="F23" s="78"/>
    </row>
    <row r="24" spans="1:6" x14ac:dyDescent="0.3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3">
      <c r="A25" s="3">
        <v>0</v>
      </c>
      <c r="B25" s="2">
        <v>4595389</v>
      </c>
      <c r="C25" s="2">
        <v>1674990</v>
      </c>
      <c r="D25" s="2">
        <v>562613</v>
      </c>
      <c r="E25" s="4">
        <v>8903658</v>
      </c>
      <c r="F25" s="4">
        <v>178520279804</v>
      </c>
    </row>
    <row r="26" spans="1:6" x14ac:dyDescent="0.3">
      <c r="A26" s="3">
        <v>40010</v>
      </c>
      <c r="B26" s="2">
        <v>95328</v>
      </c>
      <c r="C26" s="2">
        <v>315773</v>
      </c>
      <c r="D26" s="2">
        <v>184397</v>
      </c>
      <c r="E26" s="4">
        <v>1383038</v>
      </c>
      <c r="F26" s="4">
        <v>61988118757</v>
      </c>
    </row>
    <row r="27" spans="1:6" x14ac:dyDescent="0.3">
      <c r="A27" s="3">
        <v>50010</v>
      </c>
      <c r="B27" s="2">
        <v>23396</v>
      </c>
      <c r="C27" s="2">
        <v>86143</v>
      </c>
      <c r="D27" s="2">
        <v>169209</v>
      </c>
      <c r="E27" s="4">
        <v>1324916</v>
      </c>
      <c r="F27" s="4">
        <v>72497106121</v>
      </c>
    </row>
    <row r="28" spans="1:6" x14ac:dyDescent="0.3">
      <c r="A28" s="3">
        <v>60010</v>
      </c>
      <c r="B28" s="2">
        <v>892</v>
      </c>
      <c r="C28" s="2">
        <v>12589</v>
      </c>
      <c r="D28" s="2">
        <v>47477</v>
      </c>
      <c r="E28" s="4">
        <v>837142</v>
      </c>
      <c r="F28" s="4">
        <v>54107862428</v>
      </c>
    </row>
    <row r="29" spans="1:6" x14ac:dyDescent="0.3">
      <c r="A29" s="3">
        <v>70010</v>
      </c>
      <c r="B29" s="2">
        <v>672</v>
      </c>
      <c r="C29" s="2">
        <v>1346</v>
      </c>
      <c r="D29" s="2">
        <v>24446</v>
      </c>
      <c r="E29" s="4">
        <v>490548</v>
      </c>
      <c r="F29" s="4">
        <v>36584106294</v>
      </c>
    </row>
    <row r="30" spans="1:6" x14ac:dyDescent="0.3">
      <c r="A30" s="3">
        <v>80010</v>
      </c>
      <c r="B30" s="2">
        <v>609</v>
      </c>
      <c r="C30" s="2">
        <v>145</v>
      </c>
      <c r="D30" s="2">
        <v>7897</v>
      </c>
      <c r="E30" s="4">
        <v>285879</v>
      </c>
      <c r="F30" s="4">
        <v>24244170763</v>
      </c>
    </row>
    <row r="31" spans="1:6" x14ac:dyDescent="0.3">
      <c r="A31" s="3">
        <v>90010</v>
      </c>
      <c r="B31" s="2">
        <v>365</v>
      </c>
      <c r="C31" s="2">
        <v>135</v>
      </c>
      <c r="D31" s="2">
        <v>1283</v>
      </c>
      <c r="E31" s="4">
        <v>212089</v>
      </c>
      <c r="F31" s="4">
        <v>20061662191</v>
      </c>
    </row>
    <row r="32" spans="1:6" x14ac:dyDescent="0.3">
      <c r="A32" s="3">
        <v>100010</v>
      </c>
      <c r="B32" s="2">
        <v>450</v>
      </c>
      <c r="C32" s="2">
        <v>225</v>
      </c>
      <c r="D32" s="2">
        <v>513</v>
      </c>
      <c r="E32" s="4">
        <v>226829</v>
      </c>
      <c r="F32" s="4">
        <v>24894528580</v>
      </c>
    </row>
    <row r="33" spans="1:10" x14ac:dyDescent="0.3">
      <c r="A33" s="3">
        <v>125010</v>
      </c>
      <c r="B33" s="2">
        <v>205</v>
      </c>
      <c r="C33" s="2">
        <v>50</v>
      </c>
      <c r="D33" s="2">
        <v>221</v>
      </c>
      <c r="E33" s="4">
        <v>48830</v>
      </c>
      <c r="F33" s="4">
        <v>6536054192</v>
      </c>
    </row>
    <row r="34" spans="1:10" x14ac:dyDescent="0.3">
      <c r="A34" s="3">
        <v>150010</v>
      </c>
      <c r="B34" s="2">
        <v>97</v>
      </c>
      <c r="C34" s="2">
        <v>45</v>
      </c>
      <c r="D34" s="2">
        <v>110</v>
      </c>
      <c r="E34" s="4">
        <v>15044</v>
      </c>
      <c r="F34" s="4">
        <v>2515176809</v>
      </c>
    </row>
    <row r="35" spans="1:10" x14ac:dyDescent="0.3">
      <c r="A35" s="3">
        <v>200010</v>
      </c>
      <c r="B35" s="2">
        <v>23</v>
      </c>
      <c r="C35" s="2">
        <v>13</v>
      </c>
      <c r="D35" s="2">
        <v>15</v>
      </c>
      <c r="E35" s="4">
        <v>3458</v>
      </c>
      <c r="F35" s="4">
        <v>759735570</v>
      </c>
    </row>
    <row r="36" spans="1:10" x14ac:dyDescent="0.3">
      <c r="A36" s="3">
        <v>250010</v>
      </c>
      <c r="B36" s="2">
        <v>11</v>
      </c>
      <c r="C36" s="2">
        <v>6</v>
      </c>
      <c r="D36" s="2">
        <v>12</v>
      </c>
      <c r="E36" s="4">
        <v>1466</v>
      </c>
      <c r="F36" s="4">
        <v>435013828</v>
      </c>
    </row>
    <row r="37" spans="1:10" x14ac:dyDescent="0.3">
      <c r="A37" s="3">
        <v>500010</v>
      </c>
      <c r="B37" s="2">
        <v>1</v>
      </c>
      <c r="C37" s="2">
        <v>1</v>
      </c>
      <c r="D37" s="2">
        <v>0</v>
      </c>
      <c r="E37" s="4">
        <v>43</v>
      </c>
      <c r="F37" s="4">
        <v>33046838</v>
      </c>
    </row>
    <row r="38" spans="1:10" x14ac:dyDescent="0.3">
      <c r="A38" s="3" t="s">
        <v>2</v>
      </c>
      <c r="B38" s="2">
        <v>4717438</v>
      </c>
      <c r="C38" s="2">
        <v>2091461</v>
      </c>
      <c r="D38" s="2">
        <v>998193</v>
      </c>
      <c r="E38" s="4">
        <v>13732940</v>
      </c>
      <c r="F38" s="4">
        <v>483176862175</v>
      </c>
    </row>
    <row r="39" spans="1:10" x14ac:dyDescent="0.3">
      <c r="B39" s="4">
        <f t="shared" ref="B39:F39" si="1">B38-SUM(B25:B37)</f>
        <v>0</v>
      </c>
      <c r="C39" s="4">
        <f t="shared" si="1"/>
        <v>0</v>
      </c>
      <c r="D39" s="4">
        <f t="shared" si="1"/>
        <v>0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4862914</v>
      </c>
      <c r="C44" s="4">
        <f t="shared" ref="C44:F44" si="2">C6+C25</f>
        <v>1678097</v>
      </c>
      <c r="D44" s="4">
        <f t="shared" si="2"/>
        <v>563842</v>
      </c>
      <c r="E44" s="4">
        <f t="shared" si="2"/>
        <v>9191763</v>
      </c>
      <c r="F44" s="4">
        <f t="shared" si="2"/>
        <v>189125488062</v>
      </c>
      <c r="G44">
        <f>1-SUM(E44:$E$56)/$E$57</f>
        <v>0</v>
      </c>
      <c r="I44" s="47">
        <f t="shared" ref="I44:I57" si="3">(B44+C44+D44)/E44</f>
        <v>0.7729586805055787</v>
      </c>
      <c r="J44" s="47">
        <f t="shared" ref="J44:J57" si="4">E25/E44</f>
        <v>0.96865617618731026</v>
      </c>
    </row>
    <row r="45" spans="1:10" x14ac:dyDescent="0.3">
      <c r="A45" s="3">
        <v>40010</v>
      </c>
      <c r="B45" s="4">
        <f t="shared" ref="B45:F57" si="5">B7+B26</f>
        <v>1227665</v>
      </c>
      <c r="C45" s="4">
        <f t="shared" si="5"/>
        <v>354888</v>
      </c>
      <c r="D45" s="4">
        <f t="shared" si="5"/>
        <v>184786</v>
      </c>
      <c r="E45" s="4">
        <f t="shared" si="5"/>
        <v>2559944</v>
      </c>
      <c r="F45" s="4">
        <f t="shared" si="5"/>
        <v>115063119639</v>
      </c>
      <c r="G45">
        <f>1-SUM(E45:$E$56)/$E$57</f>
        <v>0.32793217166050692</v>
      </c>
      <c r="H45">
        <f>SUM(F45:F$56)/(A45*SUM(E45:E$56))</f>
        <v>2.7354728850218817</v>
      </c>
      <c r="I45" s="47">
        <f t="shared" si="3"/>
        <v>0.69038189897904012</v>
      </c>
      <c r="J45" s="47">
        <f t="shared" si="4"/>
        <v>0.54026103696018346</v>
      </c>
    </row>
    <row r="46" spans="1:10" x14ac:dyDescent="0.3">
      <c r="A46" s="3">
        <v>50010</v>
      </c>
      <c r="B46" s="4">
        <f t="shared" si="5"/>
        <v>1023870</v>
      </c>
      <c r="C46" s="4">
        <f t="shared" si="5"/>
        <v>367769</v>
      </c>
      <c r="D46" s="4">
        <f t="shared" si="5"/>
        <v>188567</v>
      </c>
      <c r="E46" s="4">
        <f t="shared" si="5"/>
        <v>2678922</v>
      </c>
      <c r="F46" s="4">
        <f t="shared" si="5"/>
        <v>147084932989</v>
      </c>
      <c r="G46">
        <f>1-SUM(E46:$E$56)/$E$57</f>
        <v>0.41926263734475977</v>
      </c>
      <c r="H46">
        <f>SUM(F46:F$56)/(A46*SUM(E46:E$56))</f>
        <v>2.3913168624915873</v>
      </c>
      <c r="I46" s="47">
        <f t="shared" si="3"/>
        <v>0.58986637162261535</v>
      </c>
      <c r="J46" s="47">
        <f t="shared" si="4"/>
        <v>0.49457057726951364</v>
      </c>
    </row>
    <row r="47" spans="1:10" x14ac:dyDescent="0.3">
      <c r="A47" s="3">
        <v>60010</v>
      </c>
      <c r="B47" s="4">
        <f t="shared" si="5"/>
        <v>731538</v>
      </c>
      <c r="C47" s="4">
        <f t="shared" si="5"/>
        <v>252714</v>
      </c>
      <c r="D47" s="4">
        <f t="shared" si="5"/>
        <v>145695</v>
      </c>
      <c r="E47" s="4">
        <f t="shared" si="5"/>
        <v>2248806</v>
      </c>
      <c r="F47" s="4">
        <f t="shared" si="5"/>
        <v>145812286221</v>
      </c>
      <c r="G47">
        <f>1-SUM(E47:$E$56)/$E$57</f>
        <v>0.51483785062746823</v>
      </c>
      <c r="H47">
        <f>SUM(F47:F$56)/(A47*SUM(E47:E$56))</f>
        <v>2.2051744158117605</v>
      </c>
      <c r="I47" s="47">
        <f t="shared" si="3"/>
        <v>0.50246530825691504</v>
      </c>
      <c r="J47" s="47">
        <f t="shared" si="4"/>
        <v>0.37226065743332237</v>
      </c>
    </row>
    <row r="48" spans="1:10" x14ac:dyDescent="0.3">
      <c r="A48" s="3">
        <v>70010</v>
      </c>
      <c r="B48" s="4">
        <f t="shared" si="5"/>
        <v>468399</v>
      </c>
      <c r="C48" s="4">
        <f t="shared" si="5"/>
        <v>182010</v>
      </c>
      <c r="D48" s="4">
        <f t="shared" si="5"/>
        <v>105520</v>
      </c>
      <c r="E48" s="4">
        <f t="shared" si="5"/>
        <v>1746840</v>
      </c>
      <c r="F48" s="4">
        <f t="shared" si="5"/>
        <v>130549699369</v>
      </c>
      <c r="G48">
        <f>1-SUM(E48:$E$56)/$E$57</f>
        <v>0.59506792566564948</v>
      </c>
      <c r="H48">
        <f>SUM(F48:F$56)/(A48*SUM(E48:E$56))</f>
        <v>2.081202431088216</v>
      </c>
      <c r="I48" s="47">
        <f t="shared" si="3"/>
        <v>0.43274083487898146</v>
      </c>
      <c r="J48" s="47">
        <f t="shared" si="4"/>
        <v>0.28082022394724188</v>
      </c>
    </row>
    <row r="49" spans="1:10" x14ac:dyDescent="0.3">
      <c r="A49" s="3">
        <v>80010</v>
      </c>
      <c r="B49" s="4">
        <f t="shared" si="5"/>
        <v>284770</v>
      </c>
      <c r="C49" s="4">
        <f t="shared" si="5"/>
        <v>98840</v>
      </c>
      <c r="D49" s="4">
        <f t="shared" si="5"/>
        <v>73225</v>
      </c>
      <c r="E49" s="4">
        <f t="shared" si="5"/>
        <v>1301847</v>
      </c>
      <c r="F49" s="4">
        <f t="shared" si="5"/>
        <v>110803684618</v>
      </c>
      <c r="G49">
        <f>1-SUM(E49:$E$56)/$E$57</f>
        <v>0.65738948843260081</v>
      </c>
      <c r="H49">
        <f>SUM(F49:F$56)/(A49*SUM(E49:E$56))</f>
        <v>1.982434815519178</v>
      </c>
      <c r="I49" s="47">
        <f t="shared" si="3"/>
        <v>0.35091297210808953</v>
      </c>
      <c r="J49" s="47">
        <f t="shared" si="4"/>
        <v>0.21959492935805822</v>
      </c>
    </row>
    <row r="50" spans="1:10" x14ac:dyDescent="0.3">
      <c r="A50" s="3">
        <v>90010</v>
      </c>
      <c r="B50" s="4">
        <f t="shared" si="5"/>
        <v>205284</v>
      </c>
      <c r="C50" s="4">
        <f t="shared" si="5"/>
        <v>100056</v>
      </c>
      <c r="D50" s="4">
        <f t="shared" si="5"/>
        <v>51448</v>
      </c>
      <c r="E50" s="4">
        <f t="shared" si="5"/>
        <v>1258594</v>
      </c>
      <c r="F50" s="4">
        <f t="shared" si="5"/>
        <v>119412114403</v>
      </c>
      <c r="G50">
        <f>1-SUM(E50:$E$56)/$E$57</f>
        <v>0.70383515004068575</v>
      </c>
      <c r="H50">
        <f>SUM(F50:F$56)/(A50*SUM(E50:E$56))</f>
        <v>1.8902505606513895</v>
      </c>
      <c r="I50" s="47">
        <f t="shared" si="3"/>
        <v>0.28348140861945947</v>
      </c>
      <c r="J50" s="47">
        <f t="shared" si="4"/>
        <v>0.16851264188451559</v>
      </c>
    </row>
    <row r="51" spans="1:10" x14ac:dyDescent="0.3">
      <c r="A51" s="3">
        <v>100010</v>
      </c>
      <c r="B51" s="4">
        <f t="shared" si="5"/>
        <v>280162</v>
      </c>
      <c r="C51" s="4">
        <f t="shared" si="5"/>
        <v>152012</v>
      </c>
      <c r="D51" s="4">
        <f t="shared" si="5"/>
        <v>70566</v>
      </c>
      <c r="E51" s="4">
        <f t="shared" si="5"/>
        <v>2360959</v>
      </c>
      <c r="F51" s="4">
        <f t="shared" si="5"/>
        <v>263556000000</v>
      </c>
      <c r="G51">
        <f>1-SUM(E51:$E$56)/$E$57</f>
        <v>0.74873768545841624</v>
      </c>
      <c r="H51">
        <f>SUM(F51:F$56)/(A51*SUM(E51:E$56))</f>
        <v>1.8357337064042429</v>
      </c>
      <c r="I51" s="47">
        <f t="shared" si="3"/>
        <v>0.2129388947457368</v>
      </c>
      <c r="J51" s="47">
        <f t="shared" si="4"/>
        <v>9.6074942428055712E-2</v>
      </c>
    </row>
    <row r="52" spans="1:10" x14ac:dyDescent="0.3">
      <c r="A52" s="3">
        <v>125010</v>
      </c>
      <c r="B52" s="4">
        <f t="shared" si="5"/>
        <v>125545</v>
      </c>
      <c r="C52" s="4">
        <f t="shared" si="5"/>
        <v>71465</v>
      </c>
      <c r="D52" s="4">
        <f t="shared" si="5"/>
        <v>33177</v>
      </c>
      <c r="E52" s="4">
        <f t="shared" si="5"/>
        <v>1520452</v>
      </c>
      <c r="F52" s="4">
        <f t="shared" si="5"/>
        <v>207612174675</v>
      </c>
      <c r="G52">
        <f>1-SUM(E52:$E$56)/$E$57</f>
        <v>0.83296901432007409</v>
      </c>
      <c r="H52">
        <f>SUM(F52:F$56)/(A52*SUM(E52:E$56))</f>
        <v>1.7589035761771408</v>
      </c>
      <c r="I52" s="47">
        <f t="shared" si="3"/>
        <v>0.15139379605538353</v>
      </c>
      <c r="J52" s="47">
        <f t="shared" si="4"/>
        <v>3.2115449879377977E-2</v>
      </c>
    </row>
    <row r="53" spans="1:10" x14ac:dyDescent="0.3">
      <c r="A53" s="3">
        <v>150010</v>
      </c>
      <c r="B53" s="4">
        <f t="shared" si="5"/>
        <v>99290</v>
      </c>
      <c r="C53" s="4">
        <f t="shared" si="5"/>
        <v>59565</v>
      </c>
      <c r="D53" s="4">
        <f t="shared" si="5"/>
        <v>27569</v>
      </c>
      <c r="E53" s="4">
        <f t="shared" si="5"/>
        <v>1581995</v>
      </c>
      <c r="F53" s="4">
        <f t="shared" si="5"/>
        <v>271002250446</v>
      </c>
      <c r="G53">
        <f>1-SUM(E53:$E$56)/$E$57</f>
        <v>0.88721379045992466</v>
      </c>
      <c r="H53">
        <f>SUM(F53:F$56)/(A53*SUM(E53:E$56))</f>
        <v>1.7329531057424448</v>
      </c>
      <c r="I53" s="47">
        <f t="shared" si="3"/>
        <v>0.1178410804079659</v>
      </c>
      <c r="J53" s="47">
        <f t="shared" si="4"/>
        <v>9.5095117241204927E-3</v>
      </c>
    </row>
    <row r="54" spans="1:10" x14ac:dyDescent="0.3">
      <c r="A54" s="3">
        <v>200010</v>
      </c>
      <c r="B54" s="4">
        <f t="shared" si="5"/>
        <v>35681</v>
      </c>
      <c r="C54" s="4">
        <f t="shared" si="5"/>
        <v>22705</v>
      </c>
      <c r="D54" s="4">
        <f t="shared" si="5"/>
        <v>10224</v>
      </c>
      <c r="E54" s="4">
        <f t="shared" si="5"/>
        <v>666427</v>
      </c>
      <c r="F54" s="4">
        <f t="shared" si="5"/>
        <v>147792802656</v>
      </c>
      <c r="G54">
        <f>1-SUM(E54:$E$56)/$E$57</f>
        <v>0.94365422043032998</v>
      </c>
      <c r="H54">
        <f>SUM(F54:F$56)/(A54*SUM(E54:E$56))</f>
        <v>1.743739830554387</v>
      </c>
      <c r="I54" s="47">
        <f t="shared" si="3"/>
        <v>0.10295201124804366</v>
      </c>
      <c r="J54" s="47">
        <f t="shared" si="4"/>
        <v>5.1888653971102613E-3</v>
      </c>
    </row>
    <row r="55" spans="1:10" x14ac:dyDescent="0.3">
      <c r="A55" s="3">
        <v>250010</v>
      </c>
      <c r="B55" s="4">
        <f t="shared" si="5"/>
        <v>36319</v>
      </c>
      <c r="C55" s="4">
        <f t="shared" si="5"/>
        <v>24790</v>
      </c>
      <c r="D55" s="4">
        <f t="shared" si="5"/>
        <v>11001</v>
      </c>
      <c r="E55" s="4">
        <f t="shared" si="5"/>
        <v>737461</v>
      </c>
      <c r="F55" s="4">
        <f t="shared" si="5"/>
        <v>241646554387</v>
      </c>
      <c r="G55">
        <f>1-SUM(E55:$E$56)/$E$57</f>
        <v>0.96743016562856854</v>
      </c>
      <c r="H55">
        <f>SUM(F55:F$56)/(A55*SUM(E55:E$56))</f>
        <v>1.7658201555059447</v>
      </c>
      <c r="I55" s="47">
        <f t="shared" si="3"/>
        <v>9.7781442001678737E-2</v>
      </c>
      <c r="J55" s="47">
        <f t="shared" si="4"/>
        <v>1.9879017331085984E-3</v>
      </c>
    </row>
    <row r="56" spans="1:10" x14ac:dyDescent="0.3">
      <c r="A56" s="3">
        <v>500010</v>
      </c>
      <c r="B56" s="4">
        <f t="shared" si="5"/>
        <v>8976</v>
      </c>
      <c r="C56" s="4">
        <f t="shared" si="5"/>
        <v>6890</v>
      </c>
      <c r="D56" s="4">
        <f t="shared" si="5"/>
        <v>2876</v>
      </c>
      <c r="E56" s="4">
        <f t="shared" si="5"/>
        <v>175454</v>
      </c>
      <c r="F56" s="4">
        <f t="shared" si="5"/>
        <v>161380492866</v>
      </c>
      <c r="G56">
        <f>1-SUM(E56:$E$56)/$E$57</f>
        <v>0.99374037263074311</v>
      </c>
      <c r="H56">
        <f>SUM(F56:F$56)/(A56*SUM(E56:E$56))</f>
        <v>1.8395393131042164</v>
      </c>
      <c r="I56" s="47">
        <f t="shared" si="3"/>
        <v>0.10682002120213845</v>
      </c>
      <c r="J56" s="47">
        <f t="shared" si="4"/>
        <v>2.4507848210927083E-4</v>
      </c>
    </row>
    <row r="57" spans="1:10" x14ac:dyDescent="0.3">
      <c r="A57" s="3" t="s">
        <v>2</v>
      </c>
      <c r="B57" s="2">
        <f>B19+B38</f>
        <v>9390413</v>
      </c>
      <c r="C57" s="2">
        <f t="shared" si="5"/>
        <v>3371801</v>
      </c>
      <c r="D57" s="2">
        <f t="shared" si="5"/>
        <v>1468496</v>
      </c>
      <c r="E57" s="4">
        <f t="shared" si="5"/>
        <v>28029464</v>
      </c>
      <c r="F57" s="4">
        <f t="shared" si="5"/>
        <v>2250841600331</v>
      </c>
      <c r="G57">
        <f>F57/(6.55957*E57)</f>
        <v>12242.067487538863</v>
      </c>
      <c r="I57" s="47">
        <f t="shared" si="3"/>
        <v>0.50770539172636342</v>
      </c>
      <c r="J57" s="47">
        <f t="shared" si="4"/>
        <v>0.48994657907122308</v>
      </c>
    </row>
    <row r="58" spans="1:10" x14ac:dyDescent="0.3">
      <c r="B58" s="4">
        <f>B57-SUM(B44:B56)</f>
        <v>0</v>
      </c>
      <c r="C58" s="4">
        <f t="shared" ref="C58:F58" si="6">C57-SUM(C44:C56)</f>
        <v>0</v>
      </c>
      <c r="D58" s="4">
        <f t="shared" si="6"/>
        <v>0</v>
      </c>
      <c r="E58" s="4">
        <f t="shared" si="6"/>
        <v>0</v>
      </c>
      <c r="F58" s="4">
        <f t="shared" si="6"/>
        <v>0</v>
      </c>
      <c r="G58" s="2">
        <f>E57</f>
        <v>28029464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198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137758</v>
      </c>
      <c r="C6" s="2">
        <v>2714</v>
      </c>
      <c r="D6" s="2">
        <v>1175</v>
      </c>
      <c r="E6" s="2">
        <v>157328</v>
      </c>
      <c r="F6" s="2">
        <v>5628450528</v>
      </c>
    </row>
    <row r="7" spans="1:6" x14ac:dyDescent="0.3">
      <c r="A7">
        <v>40010</v>
      </c>
      <c r="B7" s="2">
        <v>1091265</v>
      </c>
      <c r="C7" s="2">
        <v>4102</v>
      </c>
      <c r="D7" s="2">
        <v>288</v>
      </c>
      <c r="E7" s="2">
        <v>1100058</v>
      </c>
      <c r="F7" s="2">
        <v>49560977420</v>
      </c>
    </row>
    <row r="8" spans="1:6" x14ac:dyDescent="0.3">
      <c r="A8">
        <v>50010</v>
      </c>
      <c r="B8" s="2">
        <v>1024653</v>
      </c>
      <c r="C8" s="2">
        <v>272205</v>
      </c>
      <c r="D8" s="2">
        <v>1904</v>
      </c>
      <c r="E8" s="2">
        <v>1307765</v>
      </c>
      <c r="F8" s="2">
        <v>71888544365</v>
      </c>
    </row>
    <row r="9" spans="1:6" x14ac:dyDescent="0.3">
      <c r="A9">
        <v>60010</v>
      </c>
      <c r="B9" s="2">
        <v>783272</v>
      </c>
      <c r="C9" s="2">
        <v>259189</v>
      </c>
      <c r="D9" s="2">
        <v>102553</v>
      </c>
      <c r="E9" s="2">
        <v>1421333</v>
      </c>
      <c r="F9" s="2">
        <v>92234325344</v>
      </c>
    </row>
    <row r="10" spans="1:6" x14ac:dyDescent="0.3">
      <c r="A10">
        <v>70010</v>
      </c>
      <c r="B10" s="2">
        <v>539155</v>
      </c>
      <c r="C10" s="2">
        <v>199255</v>
      </c>
      <c r="D10" s="2">
        <v>92570</v>
      </c>
      <c r="E10" s="2">
        <v>1349131</v>
      </c>
      <c r="F10" s="2">
        <v>100990276984</v>
      </c>
    </row>
    <row r="11" spans="1:6" x14ac:dyDescent="0.3">
      <c r="A11">
        <v>80010</v>
      </c>
      <c r="B11" s="2">
        <v>324536</v>
      </c>
      <c r="C11" s="2">
        <v>111572</v>
      </c>
      <c r="D11" s="2">
        <v>73959</v>
      </c>
      <c r="E11" s="2">
        <v>1010272</v>
      </c>
      <c r="F11" s="2">
        <v>85747174972</v>
      </c>
    </row>
    <row r="12" spans="1:6" x14ac:dyDescent="0.3">
      <c r="A12">
        <v>90010</v>
      </c>
      <c r="B12" s="2">
        <v>232690</v>
      </c>
      <c r="C12" s="2">
        <v>111718</v>
      </c>
      <c r="D12" s="2">
        <v>59257</v>
      </c>
      <c r="E12" s="2">
        <v>1077791</v>
      </c>
      <c r="F12" s="2">
        <v>102291278900</v>
      </c>
    </row>
    <row r="13" spans="1:6" x14ac:dyDescent="0.3">
      <c r="A13">
        <v>100010</v>
      </c>
      <c r="B13" s="2">
        <v>323176</v>
      </c>
      <c r="C13" s="2">
        <v>172708</v>
      </c>
      <c r="D13" s="2">
        <v>84421</v>
      </c>
      <c r="E13" s="2">
        <v>2209630</v>
      </c>
      <c r="F13" s="2">
        <v>247151442680</v>
      </c>
    </row>
    <row r="14" spans="1:6" x14ac:dyDescent="0.3">
      <c r="A14">
        <v>125010</v>
      </c>
      <c r="B14" s="2">
        <v>144229</v>
      </c>
      <c r="C14" s="2">
        <v>83125</v>
      </c>
      <c r="D14" s="2">
        <v>39573</v>
      </c>
      <c r="E14" s="2">
        <v>1562714</v>
      </c>
      <c r="F14" s="2">
        <v>213644625128</v>
      </c>
    </row>
    <row r="15" spans="1:6" x14ac:dyDescent="0.3">
      <c r="A15">
        <v>150010</v>
      </c>
      <c r="B15" s="2">
        <v>113556</v>
      </c>
      <c r="C15" s="2">
        <v>67435</v>
      </c>
      <c r="D15" s="2">
        <v>32264</v>
      </c>
      <c r="E15" s="2">
        <v>1709115</v>
      </c>
      <c r="F15" s="2">
        <v>293010834057</v>
      </c>
    </row>
    <row r="16" spans="1:6" x14ac:dyDescent="0.3">
      <c r="A16">
        <v>200010</v>
      </c>
      <c r="B16" s="2">
        <v>39906</v>
      </c>
      <c r="C16" s="2">
        <v>25961</v>
      </c>
      <c r="D16" s="2">
        <v>12031</v>
      </c>
      <c r="E16" s="2">
        <v>740839</v>
      </c>
      <c r="F16" s="2">
        <v>164305553852</v>
      </c>
    </row>
    <row r="17" spans="1:6" x14ac:dyDescent="0.3">
      <c r="A17">
        <v>250010</v>
      </c>
      <c r="B17" s="2">
        <v>38905</v>
      </c>
      <c r="C17" s="2">
        <v>27520</v>
      </c>
      <c r="D17" s="2">
        <v>12315</v>
      </c>
      <c r="E17" s="2">
        <v>813650</v>
      </c>
      <c r="F17" s="2">
        <v>266264804348</v>
      </c>
    </row>
    <row r="18" spans="1:6" x14ac:dyDescent="0.3">
      <c r="A18">
        <v>500010</v>
      </c>
      <c r="B18" s="2">
        <v>9087</v>
      </c>
      <c r="C18" s="2">
        <v>7208</v>
      </c>
      <c r="D18" s="2">
        <v>3056</v>
      </c>
      <c r="E18" s="2">
        <v>183121</v>
      </c>
      <c r="F18" s="2">
        <v>164786238942</v>
      </c>
    </row>
    <row r="19" spans="1:6" x14ac:dyDescent="0.3">
      <c r="A19" t="s">
        <v>2</v>
      </c>
      <c r="B19" s="2">
        <v>4802188</v>
      </c>
      <c r="C19" s="2">
        <v>1344712</v>
      </c>
      <c r="D19" s="2">
        <v>515366</v>
      </c>
      <c r="E19" s="2">
        <v>14642747</v>
      </c>
      <c r="F19" s="2">
        <v>1857504527520</v>
      </c>
    </row>
    <row r="20" spans="1:6" x14ac:dyDescent="0.3">
      <c r="B20" s="4">
        <f t="shared" ref="B20:F20" si="0">B19-SUM(B6:B18)</f>
        <v>0</v>
      </c>
      <c r="C20" s="4">
        <f t="shared" si="0"/>
        <v>0</v>
      </c>
      <c r="D20" s="4">
        <f t="shared" si="0"/>
        <v>0</v>
      </c>
      <c r="E20" s="4">
        <f t="shared" si="0"/>
        <v>0</v>
      </c>
      <c r="F20" s="4">
        <f t="shared" si="0"/>
        <v>0</v>
      </c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5</v>
      </c>
    </row>
    <row r="23" spans="1:6" x14ac:dyDescent="0.3">
      <c r="B23" s="78"/>
      <c r="C23" s="78"/>
      <c r="E23" s="78" t="s">
        <v>2</v>
      </c>
      <c r="F23" s="78"/>
    </row>
    <row r="24" spans="1:6" x14ac:dyDescent="0.3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3">
      <c r="A25" s="3">
        <v>0</v>
      </c>
      <c r="B25" s="2">
        <v>4682634</v>
      </c>
      <c r="C25" s="2">
        <v>1673061</v>
      </c>
      <c r="D25" s="2">
        <v>559218</v>
      </c>
      <c r="E25" s="2">
        <v>8940008</v>
      </c>
      <c r="F25" s="2">
        <v>179800971259</v>
      </c>
    </row>
    <row r="26" spans="1:6" x14ac:dyDescent="0.3">
      <c r="A26" s="3">
        <v>40010</v>
      </c>
      <c r="B26" s="2">
        <v>118216</v>
      </c>
      <c r="C26" s="2">
        <v>379833</v>
      </c>
      <c r="D26" s="2">
        <v>183203</v>
      </c>
      <c r="E26" s="2">
        <v>1381118</v>
      </c>
      <c r="F26" s="2">
        <v>61776119266</v>
      </c>
    </row>
    <row r="27" spans="1:6" x14ac:dyDescent="0.3">
      <c r="A27" s="3">
        <v>50010</v>
      </c>
      <c r="B27" s="2">
        <v>29531</v>
      </c>
      <c r="C27" s="2">
        <v>117219</v>
      </c>
      <c r="D27" s="2">
        <v>197852</v>
      </c>
      <c r="E27" s="2">
        <v>1366762</v>
      </c>
      <c r="F27" s="2">
        <v>75119084824</v>
      </c>
    </row>
    <row r="28" spans="1:6" x14ac:dyDescent="0.3">
      <c r="A28" s="3">
        <v>60010</v>
      </c>
      <c r="B28" s="2">
        <v>1608</v>
      </c>
      <c r="C28" s="2">
        <v>18532</v>
      </c>
      <c r="D28" s="2">
        <v>56244</v>
      </c>
      <c r="E28" s="2">
        <v>878159</v>
      </c>
      <c r="F28" s="2">
        <v>56921300197</v>
      </c>
    </row>
    <row r="29" spans="1:6" x14ac:dyDescent="0.3">
      <c r="A29" s="3">
        <v>70010</v>
      </c>
      <c r="B29" s="2">
        <v>959</v>
      </c>
      <c r="C29" s="2">
        <v>2800</v>
      </c>
      <c r="D29" s="2">
        <v>29722</v>
      </c>
      <c r="E29" s="2">
        <v>536056</v>
      </c>
      <c r="F29" s="2">
        <v>40071256250</v>
      </c>
    </row>
    <row r="30" spans="1:6" x14ac:dyDescent="0.3">
      <c r="A30" s="3">
        <v>80010</v>
      </c>
      <c r="B30" s="2">
        <v>812</v>
      </c>
      <c r="C30" s="2">
        <v>291</v>
      </c>
      <c r="D30" s="2">
        <v>12385</v>
      </c>
      <c r="E30" s="2">
        <v>297794</v>
      </c>
      <c r="F30" s="2">
        <v>25216684882</v>
      </c>
    </row>
    <row r="31" spans="1:6" x14ac:dyDescent="0.3">
      <c r="A31" s="3">
        <v>90010</v>
      </c>
      <c r="B31" s="2">
        <v>434</v>
      </c>
      <c r="C31" s="2">
        <v>219</v>
      </c>
      <c r="D31" s="2">
        <v>2172</v>
      </c>
      <c r="E31" s="2">
        <v>224230</v>
      </c>
      <c r="F31" s="2">
        <v>21247474367</v>
      </c>
    </row>
    <row r="32" spans="1:6" x14ac:dyDescent="0.3">
      <c r="A32" s="3">
        <v>100010</v>
      </c>
      <c r="B32" s="2">
        <v>472</v>
      </c>
      <c r="C32" s="2">
        <v>356</v>
      </c>
      <c r="D32" s="2">
        <v>896</v>
      </c>
      <c r="E32" s="2">
        <v>251232</v>
      </c>
      <c r="F32" s="2">
        <v>27626435473</v>
      </c>
    </row>
    <row r="33" spans="1:10" x14ac:dyDescent="0.3">
      <c r="A33" s="3">
        <v>125010</v>
      </c>
      <c r="B33" s="2">
        <v>242</v>
      </c>
      <c r="C33" s="2">
        <v>66</v>
      </c>
      <c r="D33" s="2">
        <v>288</v>
      </c>
      <c r="E33" s="2">
        <v>62111</v>
      </c>
      <c r="F33" s="2">
        <v>8334707430</v>
      </c>
    </row>
    <row r="34" spans="1:10" x14ac:dyDescent="0.3">
      <c r="A34" s="3">
        <v>150010</v>
      </c>
      <c r="B34" s="2">
        <v>111</v>
      </c>
      <c r="C34" s="2">
        <v>51</v>
      </c>
      <c r="D34" s="2">
        <v>142</v>
      </c>
      <c r="E34" s="2">
        <v>20429</v>
      </c>
      <c r="F34" s="2">
        <v>3411961681</v>
      </c>
    </row>
    <row r="35" spans="1:10" x14ac:dyDescent="0.3">
      <c r="A35" s="3">
        <v>200010</v>
      </c>
      <c r="B35" s="2">
        <v>30</v>
      </c>
      <c r="C35" s="2">
        <v>18</v>
      </c>
      <c r="D35" s="2">
        <v>39</v>
      </c>
      <c r="E35" s="2">
        <v>4181</v>
      </c>
      <c r="F35" s="2">
        <v>919393215</v>
      </c>
    </row>
    <row r="36" spans="1:10" x14ac:dyDescent="0.3">
      <c r="A36" s="3">
        <v>250010</v>
      </c>
      <c r="B36" s="2">
        <v>17</v>
      </c>
      <c r="C36" s="2">
        <v>2</v>
      </c>
      <c r="D36" s="2">
        <v>12</v>
      </c>
      <c r="E36" s="2">
        <v>1782</v>
      </c>
      <c r="F36" s="2">
        <v>529190371</v>
      </c>
    </row>
    <row r="37" spans="1:10" x14ac:dyDescent="0.3">
      <c r="A37" s="3">
        <v>500010</v>
      </c>
      <c r="B37" s="2">
        <v>1</v>
      </c>
      <c r="C37" s="2">
        <v>0</v>
      </c>
      <c r="D37" s="2">
        <v>2</v>
      </c>
      <c r="E37" s="2">
        <v>34</v>
      </c>
      <c r="F37" s="2">
        <v>25039616</v>
      </c>
    </row>
    <row r="38" spans="1:10" x14ac:dyDescent="0.3">
      <c r="A38" s="3" t="s">
        <v>2</v>
      </c>
      <c r="B38" s="2">
        <v>4835067</v>
      </c>
      <c r="C38" s="2">
        <v>2192448</v>
      </c>
      <c r="D38" s="2">
        <v>1042175</v>
      </c>
      <c r="E38" s="2">
        <v>13963896</v>
      </c>
      <c r="F38" s="2">
        <v>500999618831</v>
      </c>
    </row>
    <row r="39" spans="1:10" x14ac:dyDescent="0.3">
      <c r="B39" s="4">
        <f t="shared" ref="B39:F39" si="1">B38-SUM(B25:B37)</f>
        <v>0</v>
      </c>
      <c r="C39" s="4">
        <f t="shared" si="1"/>
        <v>0</v>
      </c>
      <c r="D39" s="4">
        <f t="shared" si="1"/>
        <v>0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4820392</v>
      </c>
      <c r="C44" s="4">
        <f t="shared" ref="C44:F44" si="2">C6+C25</f>
        <v>1675775</v>
      </c>
      <c r="D44" s="4">
        <f t="shared" si="2"/>
        <v>560393</v>
      </c>
      <c r="E44" s="4">
        <f t="shared" si="2"/>
        <v>9097336</v>
      </c>
      <c r="F44" s="4">
        <f t="shared" si="2"/>
        <v>185429421787</v>
      </c>
      <c r="G44">
        <f>1-SUM(E44:$E$56)/$E$57</f>
        <v>0</v>
      </c>
      <c r="I44" s="47">
        <f t="shared" ref="I44:I57" si="3">(B44+C44+D44)/E44</f>
        <v>0.77567323005328148</v>
      </c>
      <c r="J44" s="47">
        <f t="shared" ref="J44:J57" si="4">E25/E44</f>
        <v>0.98270614606297935</v>
      </c>
    </row>
    <row r="45" spans="1:10" x14ac:dyDescent="0.3">
      <c r="A45" s="3">
        <v>40010</v>
      </c>
      <c r="B45" s="4">
        <f t="shared" ref="B45:F57" si="5">B7+B26</f>
        <v>1209481</v>
      </c>
      <c r="C45" s="4">
        <f t="shared" si="5"/>
        <v>383935</v>
      </c>
      <c r="D45" s="4">
        <f t="shared" si="5"/>
        <v>183491</v>
      </c>
      <c r="E45" s="4">
        <f t="shared" si="5"/>
        <v>2481176</v>
      </c>
      <c r="F45" s="4">
        <f t="shared" si="5"/>
        <v>111337096686</v>
      </c>
      <c r="G45">
        <f>1-SUM(E45:$E$56)/$E$57</f>
        <v>0.31801480516256309</v>
      </c>
      <c r="H45">
        <f>SUM(F45:F$56)/(A45*SUM(E45:E$56))</f>
        <v>2.7839681743514562</v>
      </c>
      <c r="I45" s="47">
        <f t="shared" si="3"/>
        <v>0.71615516190709572</v>
      </c>
      <c r="J45" s="47">
        <f t="shared" si="4"/>
        <v>0.55663846498595826</v>
      </c>
    </row>
    <row r="46" spans="1:10" x14ac:dyDescent="0.3">
      <c r="A46" s="3">
        <v>50010</v>
      </c>
      <c r="B46" s="4">
        <f t="shared" si="5"/>
        <v>1054184</v>
      </c>
      <c r="C46" s="4">
        <f t="shared" si="5"/>
        <v>389424</v>
      </c>
      <c r="D46" s="4">
        <f t="shared" si="5"/>
        <v>199756</v>
      </c>
      <c r="E46" s="4">
        <f t="shared" si="5"/>
        <v>2674527</v>
      </c>
      <c r="F46" s="4">
        <f t="shared" si="5"/>
        <v>147007629189</v>
      </c>
      <c r="G46">
        <f>1-SUM(E46:$E$56)/$E$57</f>
        <v>0.40474906475394545</v>
      </c>
      <c r="H46">
        <f>SUM(F46:F$56)/(A46*SUM(E46:E$56))</f>
        <v>2.4210823405169233</v>
      </c>
      <c r="I46" s="47">
        <f t="shared" si="3"/>
        <v>0.61445033084354728</v>
      </c>
      <c r="J46" s="47">
        <f t="shared" si="4"/>
        <v>0.5110294268855764</v>
      </c>
    </row>
    <row r="47" spans="1:10" x14ac:dyDescent="0.3">
      <c r="A47" s="3">
        <v>60010</v>
      </c>
      <c r="B47" s="4">
        <f t="shared" si="5"/>
        <v>784880</v>
      </c>
      <c r="C47" s="4">
        <f t="shared" si="5"/>
        <v>277721</v>
      </c>
      <c r="D47" s="4">
        <f t="shared" si="5"/>
        <v>158797</v>
      </c>
      <c r="E47" s="4">
        <f t="shared" si="5"/>
        <v>2299492</v>
      </c>
      <c r="F47" s="4">
        <f t="shared" si="5"/>
        <v>149155625541</v>
      </c>
      <c r="G47">
        <f>1-SUM(E47:$E$56)/$E$57</f>
        <v>0.49824227890004436</v>
      </c>
      <c r="H47">
        <f>SUM(F47:F$56)/(A47*SUM(E47:E$56))</f>
        <v>2.2229155016870483</v>
      </c>
      <c r="I47" s="47">
        <f t="shared" si="3"/>
        <v>0.53115992575751514</v>
      </c>
      <c r="J47" s="47">
        <f t="shared" si="4"/>
        <v>0.38189260932414637</v>
      </c>
    </row>
    <row r="48" spans="1:10" x14ac:dyDescent="0.3">
      <c r="A48" s="3">
        <v>70010</v>
      </c>
      <c r="B48" s="4">
        <f t="shared" si="5"/>
        <v>540114</v>
      </c>
      <c r="C48" s="4">
        <f t="shared" si="5"/>
        <v>202055</v>
      </c>
      <c r="D48" s="4">
        <f t="shared" si="5"/>
        <v>122292</v>
      </c>
      <c r="E48" s="4">
        <f t="shared" si="5"/>
        <v>1885187</v>
      </c>
      <c r="F48" s="4">
        <f t="shared" si="5"/>
        <v>141061533234</v>
      </c>
      <c r="G48">
        <f>1-SUM(E48:$E$56)/$E$57</f>
        <v>0.57862542626899627</v>
      </c>
      <c r="H48">
        <f>SUM(F48:F$56)/(A48*SUM(E48:E$56))</f>
        <v>2.0921398728198475</v>
      </c>
      <c r="I48" s="47">
        <f t="shared" si="3"/>
        <v>0.45855450944654297</v>
      </c>
      <c r="J48" s="47">
        <f t="shared" si="4"/>
        <v>0.28435163196011853</v>
      </c>
    </row>
    <row r="49" spans="1:10" x14ac:dyDescent="0.3">
      <c r="A49" s="3">
        <v>80010</v>
      </c>
      <c r="B49" s="4">
        <f t="shared" si="5"/>
        <v>325348</v>
      </c>
      <c r="C49" s="4">
        <f t="shared" si="5"/>
        <v>111863</v>
      </c>
      <c r="D49" s="4">
        <f t="shared" si="5"/>
        <v>86344</v>
      </c>
      <c r="E49" s="4">
        <f t="shared" si="5"/>
        <v>1308066</v>
      </c>
      <c r="F49" s="4">
        <f t="shared" si="5"/>
        <v>110963859854</v>
      </c>
      <c r="G49">
        <f>1-SUM(E49:$E$56)/$E$57</f>
        <v>0.6445257487919851</v>
      </c>
      <c r="H49">
        <f>SUM(F49:F$56)/(A49*SUM(E49:E$56))</f>
        <v>1.996658694489402</v>
      </c>
      <c r="I49" s="47">
        <f t="shared" si="3"/>
        <v>0.40025121056582774</v>
      </c>
      <c r="J49" s="47">
        <f t="shared" si="4"/>
        <v>0.2276597664032243</v>
      </c>
    </row>
    <row r="50" spans="1:10" x14ac:dyDescent="0.3">
      <c r="A50" s="3">
        <v>90010</v>
      </c>
      <c r="B50" s="4">
        <f t="shared" si="5"/>
        <v>233124</v>
      </c>
      <c r="C50" s="4">
        <f t="shared" si="5"/>
        <v>111937</v>
      </c>
      <c r="D50" s="4">
        <f t="shared" si="5"/>
        <v>61429</v>
      </c>
      <c r="E50" s="4">
        <f t="shared" si="5"/>
        <v>1302021</v>
      </c>
      <c r="F50" s="4">
        <f t="shared" si="5"/>
        <v>123538753267</v>
      </c>
      <c r="G50">
        <f>1-SUM(E50:$E$56)/$E$57</f>
        <v>0.69025170132685609</v>
      </c>
      <c r="H50">
        <f>SUM(F50:F$56)/(A50*SUM(E50:E$56))</f>
        <v>1.8977102014787335</v>
      </c>
      <c r="I50" s="47">
        <f t="shared" si="3"/>
        <v>0.31219926560324296</v>
      </c>
      <c r="J50" s="47">
        <f t="shared" si="4"/>
        <v>0.17221688436668839</v>
      </c>
    </row>
    <row r="51" spans="1:10" x14ac:dyDescent="0.3">
      <c r="A51" s="3">
        <v>100010</v>
      </c>
      <c r="B51" s="4">
        <f t="shared" si="5"/>
        <v>323648</v>
      </c>
      <c r="C51" s="4">
        <f t="shared" si="5"/>
        <v>173064</v>
      </c>
      <c r="D51" s="4">
        <f t="shared" si="5"/>
        <v>85317</v>
      </c>
      <c r="E51" s="4">
        <f t="shared" si="5"/>
        <v>2460862</v>
      </c>
      <c r="F51" s="4">
        <f t="shared" si="5"/>
        <v>274777878153</v>
      </c>
      <c r="G51">
        <f>1-SUM(E51:$E$56)/$E$57</f>
        <v>0.7357663393079712</v>
      </c>
      <c r="H51">
        <f>SUM(F51:F$56)/(A51*SUM(E51:E$56))</f>
        <v>1.8387366413581467</v>
      </c>
      <c r="I51" s="47">
        <f t="shared" si="3"/>
        <v>0.2365142783301136</v>
      </c>
      <c r="J51" s="47">
        <f t="shared" si="4"/>
        <v>0.10209105589829905</v>
      </c>
    </row>
    <row r="52" spans="1:10" x14ac:dyDescent="0.3">
      <c r="A52" s="3">
        <v>125010</v>
      </c>
      <c r="B52" s="4">
        <f t="shared" si="5"/>
        <v>144471</v>
      </c>
      <c r="C52" s="4">
        <f t="shared" si="5"/>
        <v>83191</v>
      </c>
      <c r="D52" s="4">
        <f t="shared" si="5"/>
        <v>39861</v>
      </c>
      <c r="E52" s="4">
        <f t="shared" si="5"/>
        <v>1624825</v>
      </c>
      <c r="F52" s="4">
        <f t="shared" si="5"/>
        <v>221979332558</v>
      </c>
      <c r="G52">
        <f>1-SUM(E52:$E$56)/$E$57</f>
        <v>0.82179048411937039</v>
      </c>
      <c r="H52">
        <f>SUM(F52:F$56)/(A52*SUM(E52:E$56))</f>
        <v>1.7499386222124622</v>
      </c>
      <c r="I52" s="47">
        <f t="shared" si="3"/>
        <v>0.16464726970596832</v>
      </c>
      <c r="J52" s="47">
        <f t="shared" si="4"/>
        <v>3.8226270521440772E-2</v>
      </c>
    </row>
    <row r="53" spans="1:10" x14ac:dyDescent="0.3">
      <c r="A53" s="3">
        <v>150010</v>
      </c>
      <c r="B53" s="4">
        <f t="shared" si="5"/>
        <v>113667</v>
      </c>
      <c r="C53" s="4">
        <f t="shared" si="5"/>
        <v>67486</v>
      </c>
      <c r="D53" s="4">
        <f t="shared" si="5"/>
        <v>32406</v>
      </c>
      <c r="E53" s="4">
        <f t="shared" si="5"/>
        <v>1729544</v>
      </c>
      <c r="F53" s="4">
        <f t="shared" si="5"/>
        <v>296422795738</v>
      </c>
      <c r="G53">
        <f>1-SUM(E53:$E$56)/$E$57</f>
        <v>0.87858935422796725</v>
      </c>
      <c r="H53">
        <f>SUM(F53:F$56)/(A53*SUM(E53:E$56))</f>
        <v>1.7144728611966034</v>
      </c>
      <c r="I53" s="47">
        <f t="shared" si="3"/>
        <v>0.12347705522380466</v>
      </c>
      <c r="J53" s="47">
        <f t="shared" si="4"/>
        <v>1.1811783915297904E-2</v>
      </c>
    </row>
    <row r="54" spans="1:10" x14ac:dyDescent="0.3">
      <c r="A54" s="3">
        <v>200010</v>
      </c>
      <c r="B54" s="4">
        <f t="shared" si="5"/>
        <v>39936</v>
      </c>
      <c r="C54" s="4">
        <f t="shared" si="5"/>
        <v>25979</v>
      </c>
      <c r="D54" s="4">
        <f t="shared" si="5"/>
        <v>12070</v>
      </c>
      <c r="E54" s="4">
        <f t="shared" si="5"/>
        <v>745020</v>
      </c>
      <c r="F54" s="4">
        <f t="shared" si="5"/>
        <v>165224947067</v>
      </c>
      <c r="G54">
        <f>1-SUM(E54:$E$56)/$E$57</f>
        <v>0.93904887756315902</v>
      </c>
      <c r="H54">
        <f>SUM(F54:F$56)/(A54*SUM(E54:E$56))</f>
        <v>1.711395917557637</v>
      </c>
      <c r="I54" s="47">
        <f t="shared" si="3"/>
        <v>0.10467504228074415</v>
      </c>
      <c r="J54" s="47">
        <f t="shared" si="4"/>
        <v>5.6119298810770176E-3</v>
      </c>
    </row>
    <row r="55" spans="1:10" x14ac:dyDescent="0.3">
      <c r="A55" s="3">
        <v>250010</v>
      </c>
      <c r="B55" s="4">
        <f t="shared" si="5"/>
        <v>38922</v>
      </c>
      <c r="C55" s="4">
        <f t="shared" si="5"/>
        <v>27522</v>
      </c>
      <c r="D55" s="4">
        <f t="shared" si="5"/>
        <v>12327</v>
      </c>
      <c r="E55" s="4">
        <f t="shared" si="5"/>
        <v>815432</v>
      </c>
      <c r="F55" s="4">
        <f t="shared" si="5"/>
        <v>266793994719</v>
      </c>
      <c r="G55">
        <f>1-SUM(E55:$E$56)/$E$57</f>
        <v>0.96509247869454662</v>
      </c>
      <c r="H55">
        <f>SUM(F55:F$56)/(A55*SUM(E55:E$56))</f>
        <v>1.7287948261157404</v>
      </c>
      <c r="I55" s="47">
        <f t="shared" si="3"/>
        <v>9.6600329641220853E-2</v>
      </c>
      <c r="J55" s="47">
        <f t="shared" si="4"/>
        <v>2.1853447007230522E-3</v>
      </c>
    </row>
    <row r="56" spans="1:10" x14ac:dyDescent="0.3">
      <c r="A56" s="3">
        <v>500010</v>
      </c>
      <c r="B56" s="4">
        <f t="shared" si="5"/>
        <v>9088</v>
      </c>
      <c r="C56" s="4">
        <f t="shared" si="5"/>
        <v>7208</v>
      </c>
      <c r="D56" s="4">
        <f t="shared" si="5"/>
        <v>3058</v>
      </c>
      <c r="E56" s="4">
        <f t="shared" si="5"/>
        <v>183155</v>
      </c>
      <c r="F56" s="4">
        <f t="shared" si="5"/>
        <v>164811278558</v>
      </c>
      <c r="G56">
        <f>1-SUM(E56:$E$56)/$E$57</f>
        <v>0.99359746615497668</v>
      </c>
      <c r="H56">
        <f>SUM(F56:F$56)/(A56*SUM(E56:E$56))</f>
        <v>1.7996558368414952</v>
      </c>
      <c r="I56" s="47">
        <f t="shared" si="3"/>
        <v>0.10567006087739893</v>
      </c>
      <c r="J56" s="47">
        <f t="shared" si="4"/>
        <v>1.8563511779640197E-4</v>
      </c>
    </row>
    <row r="57" spans="1:10" x14ac:dyDescent="0.3">
      <c r="A57" s="3" t="s">
        <v>2</v>
      </c>
      <c r="B57" s="2">
        <f>B19+B38</f>
        <v>9637255</v>
      </c>
      <c r="C57" s="2">
        <f t="shared" si="5"/>
        <v>3537160</v>
      </c>
      <c r="D57" s="2">
        <f t="shared" si="5"/>
        <v>1557541</v>
      </c>
      <c r="E57" s="4">
        <f t="shared" si="5"/>
        <v>28606643</v>
      </c>
      <c r="F57" s="4">
        <f t="shared" si="5"/>
        <v>2358504146351</v>
      </c>
      <c r="G57">
        <f>F57/(6.55957*E57)</f>
        <v>12568.816245288463</v>
      </c>
      <c r="I57" s="47">
        <f t="shared" si="3"/>
        <v>0.51498373996557378</v>
      </c>
      <c r="J57" s="47">
        <f t="shared" si="4"/>
        <v>0.48813473150274922</v>
      </c>
    </row>
    <row r="58" spans="1:10" x14ac:dyDescent="0.3">
      <c r="B58" s="4">
        <f>B57-SUM(B44:B56)</f>
        <v>0</v>
      </c>
      <c r="C58" s="4">
        <f t="shared" ref="C58:F58" si="6">C57-SUM(C44:C56)</f>
        <v>0</v>
      </c>
      <c r="D58" s="4">
        <f t="shared" si="6"/>
        <v>0</v>
      </c>
      <c r="E58" s="4">
        <f t="shared" si="6"/>
        <v>0</v>
      </c>
      <c r="F58" s="4">
        <f t="shared" si="6"/>
        <v>0</v>
      </c>
      <c r="G58" s="2">
        <f>E57</f>
        <v>28606643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1927</v>
      </c>
      <c r="C1" s="8" t="s">
        <v>24</v>
      </c>
      <c r="D1" s="10">
        <f>1000*[1]TD1!$C$34</f>
        <v>16253636.967614509</v>
      </c>
      <c r="E1" s="8" t="s">
        <v>30</v>
      </c>
      <c r="F1" s="21">
        <f>(SUMPRODUCT(D4:D14,H4:H14,I4:I14)/(D2*B2))/((1-SUMPRODUCT(D4:D14,H4:H14,I4:I14)/B2)/(1-D2))</f>
        <v>0.58833841657255059</v>
      </c>
      <c r="G1" s="19"/>
      <c r="H1" s="16"/>
    </row>
    <row r="2" spans="1:12" x14ac:dyDescent="0.3">
      <c r="A2" s="8" t="s">
        <v>12</v>
      </c>
      <c r="B2" s="11">
        <f>[1]TD2!$M$34</f>
        <v>7603.8647543132465</v>
      </c>
      <c r="C2" s="8" t="s">
        <v>15</v>
      </c>
      <c r="D2" s="14">
        <f>[1]TD1!$F$34</f>
        <v>0.21893220458434604</v>
      </c>
      <c r="E2" s="18" t="s">
        <v>26</v>
      </c>
      <c r="I2" s="8"/>
      <c r="L2" s="14">
        <f>D2</f>
        <v>0.21893220458434604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0.29534868895329391</v>
      </c>
      <c r="E4" s="14"/>
      <c r="F4" s="8"/>
      <c r="G4" s="8"/>
      <c r="H4" s="17">
        <f>((1-B4)*B2-(1-B5)*C5*A5)/(B5-B4)</f>
        <v>2657.4290200055048</v>
      </c>
      <c r="I4" s="18">
        <f t="shared" ref="I4" si="0">B5-B4</f>
        <v>0.60882008075714111</v>
      </c>
      <c r="L4" s="14"/>
    </row>
    <row r="5" spans="1:12" x14ac:dyDescent="0.3">
      <c r="A5" s="11">
        <v>7000</v>
      </c>
      <c r="B5" s="12">
        <v>0.60882008075714111</v>
      </c>
      <c r="C5" s="8">
        <v>2.1860487461090088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8462.3061443179085</v>
      </c>
      <c r="I5" s="18">
        <f t="shared" ref="I5:I12" si="3">B6-B5</f>
        <v>0.21480238437652588</v>
      </c>
      <c r="L5" s="14">
        <v>0.1</v>
      </c>
    </row>
    <row r="6" spans="1:12" x14ac:dyDescent="0.3">
      <c r="A6" s="11">
        <v>10000</v>
      </c>
      <c r="B6" s="12">
        <v>0.82362246513366699</v>
      </c>
      <c r="C6" s="8">
        <v>2.3632516860961914</v>
      </c>
      <c r="D6" s="14">
        <f t="shared" si="1"/>
        <v>0.1</v>
      </c>
      <c r="E6" s="14"/>
      <c r="F6" s="8"/>
      <c r="G6" s="8"/>
      <c r="H6" s="17">
        <f t="shared" si="2"/>
        <v>14281.95900113674</v>
      </c>
      <c r="I6" s="18">
        <f t="shared" si="3"/>
        <v>0.12550592422485352</v>
      </c>
      <c r="L6" s="14">
        <v>0.1</v>
      </c>
    </row>
    <row r="7" spans="1:12" x14ac:dyDescent="0.3">
      <c r="A7" s="11">
        <v>20000</v>
      </c>
      <c r="B7" s="12">
        <v>0.94912838935852051</v>
      </c>
      <c r="C7" s="8">
        <v>2.3350691795349121</v>
      </c>
      <c r="D7" s="14">
        <f t="shared" si="1"/>
        <v>0.1</v>
      </c>
      <c r="E7" s="14"/>
      <c r="H7" s="17">
        <f t="shared" si="2"/>
        <v>24159.414384055068</v>
      </c>
      <c r="I7" s="18">
        <f t="shared" si="3"/>
        <v>2.7252852916717529E-2</v>
      </c>
      <c r="L7" s="14">
        <v>0.1</v>
      </c>
    </row>
    <row r="8" spans="1:12" x14ac:dyDescent="0.3">
      <c r="A8" s="11">
        <v>30000</v>
      </c>
      <c r="B8" s="12">
        <v>0.97638124227523804</v>
      </c>
      <c r="C8" s="8">
        <v>2.4237256050109863</v>
      </c>
      <c r="D8" s="14">
        <f t="shared" si="1"/>
        <v>0.1</v>
      </c>
      <c r="E8" s="14"/>
      <c r="H8" s="17">
        <f t="shared" si="2"/>
        <v>37876.551265478804</v>
      </c>
      <c r="I8" s="18">
        <f t="shared" si="3"/>
        <v>1.3967812061309814E-2</v>
      </c>
      <c r="L8" s="14">
        <v>0.1</v>
      </c>
    </row>
    <row r="9" spans="1:12" x14ac:dyDescent="0.3">
      <c r="A9" s="11">
        <v>50000</v>
      </c>
      <c r="B9" s="12">
        <v>0.99034905433654785</v>
      </c>
      <c r="C9" s="12">
        <v>2.4625754356384277</v>
      </c>
      <c r="D9" s="14">
        <f t="shared" si="1"/>
        <v>0.1</v>
      </c>
      <c r="E9" s="14"/>
      <c r="H9" s="17">
        <f t="shared" si="2"/>
        <v>67780.300507500884</v>
      </c>
      <c r="I9" s="18">
        <f t="shared" si="3"/>
        <v>6.4323544502258301E-3</v>
      </c>
      <c r="L9" s="14">
        <v>0.1</v>
      </c>
    </row>
    <row r="10" spans="1:12" x14ac:dyDescent="0.3">
      <c r="A10" s="11">
        <v>100000</v>
      </c>
      <c r="B10" s="12">
        <v>0.99678140878677368</v>
      </c>
      <c r="C10" s="12">
        <v>2.3374269008636475</v>
      </c>
      <c r="D10" s="14">
        <f t="shared" si="1"/>
        <v>0.1</v>
      </c>
      <c r="E10" s="14"/>
      <c r="H10" s="17">
        <f t="shared" si="2"/>
        <v>136058.0274073405</v>
      </c>
      <c r="I10" s="18">
        <f t="shared" si="3"/>
        <v>2.1719932556152344E-3</v>
      </c>
      <c r="L10" s="14">
        <v>0.1</v>
      </c>
    </row>
    <row r="11" spans="1:12" x14ac:dyDescent="0.3">
      <c r="A11" s="11">
        <v>200000</v>
      </c>
      <c r="B11" s="12">
        <v>0.99895340204238892</v>
      </c>
      <c r="C11" s="12">
        <v>2.1823329925537109</v>
      </c>
      <c r="D11" s="14">
        <f t="shared" si="1"/>
        <v>0.1</v>
      </c>
      <c r="E11" s="14"/>
      <c r="H11" s="17">
        <f t="shared" si="2"/>
        <v>245545.62948374249</v>
      </c>
      <c r="I11" s="18">
        <f t="shared" si="3"/>
        <v>5.2320957183837891E-4</v>
      </c>
      <c r="L11" s="14">
        <v>0.1</v>
      </c>
    </row>
    <row r="12" spans="1:12" x14ac:dyDescent="0.3">
      <c r="A12" s="11">
        <v>300000</v>
      </c>
      <c r="B12" s="12">
        <v>0.99947661161422729</v>
      </c>
      <c r="C12" s="12">
        <v>2.0910744667053223</v>
      </c>
      <c r="D12" s="14">
        <f t="shared" si="1"/>
        <v>0.1</v>
      </c>
      <c r="E12" s="14"/>
      <c r="H12" s="17">
        <f t="shared" si="2"/>
        <v>383995.40880478622</v>
      </c>
      <c r="I12" s="18">
        <f t="shared" si="3"/>
        <v>3.2532215118408203E-4</v>
      </c>
      <c r="L12" s="14">
        <v>0.1</v>
      </c>
    </row>
    <row r="13" spans="1:12" x14ac:dyDescent="0.3">
      <c r="A13" s="11">
        <v>500000</v>
      </c>
      <c r="B13" s="12">
        <v>0.99980193376541138</v>
      </c>
      <c r="C13" s="12">
        <v>2.0539696216583252</v>
      </c>
      <c r="D13" s="14">
        <f t="shared" si="1"/>
        <v>0.1</v>
      </c>
      <c r="E13" s="14"/>
      <c r="H13" s="17">
        <f t="shared" ref="H13" si="4">((1-B13)*C13*A13-(1-B14)*C14*A14)/(B14-B13)</f>
        <v>675374.15454035287</v>
      </c>
      <c r="I13" s="18">
        <f t="shared" ref="I13" si="5">B14-B13</f>
        <v>1.5163421630859375E-4</v>
      </c>
      <c r="L13" s="14">
        <v>0.1</v>
      </c>
    </row>
    <row r="14" spans="1:12" x14ac:dyDescent="0.3">
      <c r="A14" s="17">
        <v>1000000</v>
      </c>
      <c r="B14" s="18">
        <v>0.99995356798171997</v>
      </c>
      <c r="C14" s="18">
        <v>2.1752486228942871</v>
      </c>
      <c r="D14" s="14">
        <f t="shared" ref="D14" si="6">L14*D$2/L$2</f>
        <v>0.1</v>
      </c>
      <c r="E14" s="14"/>
      <c r="H14" s="17">
        <f>C14*A14</f>
        <v>2175248.6228942871</v>
      </c>
      <c r="I14" s="18">
        <f>1-B14</f>
        <v>4.6432018280029297E-5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197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29044</v>
      </c>
      <c r="C6" s="2">
        <v>3205</v>
      </c>
      <c r="D6" s="2">
        <v>1122</v>
      </c>
      <c r="E6" s="2">
        <v>49601</v>
      </c>
      <c r="F6" s="2">
        <v>1362417752</v>
      </c>
    </row>
    <row r="7" spans="1:6" x14ac:dyDescent="0.3">
      <c r="A7">
        <v>40010</v>
      </c>
      <c r="B7" s="2">
        <v>1050835</v>
      </c>
      <c r="C7" s="2">
        <v>2129</v>
      </c>
      <c r="D7" s="2">
        <v>318</v>
      </c>
      <c r="E7" s="2">
        <v>1057852</v>
      </c>
      <c r="F7" s="2">
        <v>47724558684</v>
      </c>
    </row>
    <row r="8" spans="1:6" x14ac:dyDescent="0.3">
      <c r="A8">
        <v>50010</v>
      </c>
      <c r="B8" s="2">
        <v>1003414</v>
      </c>
      <c r="C8" s="2">
        <v>235851</v>
      </c>
      <c r="D8" s="2">
        <v>451</v>
      </c>
      <c r="E8" s="2">
        <v>1246104</v>
      </c>
      <c r="F8" s="2">
        <v>68691455914</v>
      </c>
    </row>
    <row r="9" spans="1:6" x14ac:dyDescent="0.3">
      <c r="A9">
        <v>60010</v>
      </c>
      <c r="B9" s="2">
        <v>801649</v>
      </c>
      <c r="C9" s="2">
        <v>279823</v>
      </c>
      <c r="D9" s="2">
        <v>81840</v>
      </c>
      <c r="E9" s="2">
        <v>1384308</v>
      </c>
      <c r="F9" s="2">
        <v>90028804973</v>
      </c>
    </row>
    <row r="10" spans="1:6" x14ac:dyDescent="0.3">
      <c r="A10">
        <v>70010</v>
      </c>
      <c r="B10" s="2">
        <v>572237</v>
      </c>
      <c r="C10" s="2">
        <v>213399</v>
      </c>
      <c r="D10" s="2">
        <v>98820</v>
      </c>
      <c r="E10" s="2">
        <v>1351809</v>
      </c>
      <c r="F10" s="2">
        <v>101324393916</v>
      </c>
    </row>
    <row r="11" spans="1:6" x14ac:dyDescent="0.3">
      <c r="A11">
        <v>80010</v>
      </c>
      <c r="B11" s="2">
        <v>361202</v>
      </c>
      <c r="C11" s="2">
        <v>133633</v>
      </c>
      <c r="D11" s="2">
        <v>80349</v>
      </c>
      <c r="E11" s="2">
        <v>1043960</v>
      </c>
      <c r="F11" s="2">
        <v>88347330953</v>
      </c>
    </row>
    <row r="12" spans="1:6" x14ac:dyDescent="0.3">
      <c r="A12">
        <v>90010</v>
      </c>
      <c r="B12" s="2">
        <v>248429</v>
      </c>
      <c r="C12" s="2">
        <v>113649</v>
      </c>
      <c r="D12" s="2">
        <v>66381</v>
      </c>
      <c r="E12" s="2">
        <v>1064654</v>
      </c>
      <c r="F12" s="2">
        <v>101208504982</v>
      </c>
    </row>
    <row r="13" spans="1:6" x14ac:dyDescent="0.3">
      <c r="A13">
        <v>100010</v>
      </c>
      <c r="B13" s="2">
        <v>357640</v>
      </c>
      <c r="C13" s="2">
        <v>192221</v>
      </c>
      <c r="D13" s="2">
        <v>98544</v>
      </c>
      <c r="E13" s="2">
        <v>2256308</v>
      </c>
      <c r="F13" s="2">
        <v>252471897465</v>
      </c>
    </row>
    <row r="14" spans="1:6" x14ac:dyDescent="0.3">
      <c r="A14">
        <v>125010</v>
      </c>
      <c r="B14" s="2">
        <v>158861</v>
      </c>
      <c r="C14" s="2">
        <v>95171</v>
      </c>
      <c r="D14" s="2">
        <v>45811</v>
      </c>
      <c r="E14" s="2">
        <v>1623592</v>
      </c>
      <c r="F14" s="2">
        <v>222047267363</v>
      </c>
    </row>
    <row r="15" spans="1:6" x14ac:dyDescent="0.3">
      <c r="A15">
        <v>150010</v>
      </c>
      <c r="B15" s="2">
        <v>122830</v>
      </c>
      <c r="C15" s="2">
        <v>75458</v>
      </c>
      <c r="D15" s="2">
        <v>37158</v>
      </c>
      <c r="E15" s="2">
        <v>1818306</v>
      </c>
      <c r="F15" s="2">
        <v>311983831126</v>
      </c>
    </row>
    <row r="16" spans="1:6" x14ac:dyDescent="0.3">
      <c r="A16">
        <v>200010</v>
      </c>
      <c r="B16" s="2">
        <v>42604</v>
      </c>
      <c r="C16" s="2">
        <v>28801</v>
      </c>
      <c r="D16" s="2">
        <v>13111</v>
      </c>
      <c r="E16" s="2">
        <v>803428</v>
      </c>
      <c r="F16" s="2">
        <v>178176855880</v>
      </c>
    </row>
    <row r="17" spans="1:6" x14ac:dyDescent="0.3">
      <c r="A17">
        <v>250010</v>
      </c>
      <c r="B17" s="2">
        <v>40104</v>
      </c>
      <c r="C17" s="2">
        <v>29938</v>
      </c>
      <c r="D17" s="2">
        <v>13113</v>
      </c>
      <c r="E17" s="2">
        <v>868123</v>
      </c>
      <c r="F17" s="2">
        <v>283497600544</v>
      </c>
    </row>
    <row r="18" spans="1:6" x14ac:dyDescent="0.3">
      <c r="A18">
        <v>500010</v>
      </c>
      <c r="B18" s="2">
        <v>8920</v>
      </c>
      <c r="C18" s="2">
        <v>7496</v>
      </c>
      <c r="D18" s="2">
        <v>3033</v>
      </c>
      <c r="E18" s="2">
        <v>185668</v>
      </c>
      <c r="F18" s="2">
        <v>164282421845</v>
      </c>
    </row>
    <row r="19" spans="1:6" x14ac:dyDescent="0.3">
      <c r="A19" t="s">
        <v>2</v>
      </c>
      <c r="B19" s="2">
        <v>4797770</v>
      </c>
      <c r="C19" s="2">
        <v>1410774</v>
      </c>
      <c r="D19" s="2">
        <v>540051</v>
      </c>
      <c r="E19" s="2">
        <v>14753713</v>
      </c>
      <c r="F19" s="2">
        <v>1911147341397</v>
      </c>
    </row>
    <row r="20" spans="1:6" x14ac:dyDescent="0.3">
      <c r="B20" s="4">
        <f t="shared" ref="B20:F20" si="0">B19-SUM(B6:B18)</f>
        <v>1</v>
      </c>
      <c r="C20" s="4">
        <f t="shared" si="0"/>
        <v>0</v>
      </c>
      <c r="D20" s="4">
        <f t="shared" si="0"/>
        <v>0</v>
      </c>
      <c r="E20" s="4">
        <f t="shared" si="0"/>
        <v>0</v>
      </c>
      <c r="F20" s="4">
        <f t="shared" si="0"/>
        <v>0</v>
      </c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5</v>
      </c>
    </row>
    <row r="23" spans="1:6" x14ac:dyDescent="0.3">
      <c r="B23" s="78"/>
      <c r="C23" s="78"/>
      <c r="E23" s="78" t="s">
        <v>2</v>
      </c>
      <c r="F23" s="78"/>
    </row>
    <row r="24" spans="1:6" x14ac:dyDescent="0.3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3">
      <c r="A25" s="3">
        <v>0</v>
      </c>
      <c r="B25" s="2">
        <v>4788779</v>
      </c>
      <c r="C25" s="2">
        <v>1670353</v>
      </c>
      <c r="D25" s="2">
        <v>574497</v>
      </c>
      <c r="E25" s="2">
        <v>9042070</v>
      </c>
      <c r="F25" s="2">
        <v>183292164674</v>
      </c>
    </row>
    <row r="26" spans="1:6" x14ac:dyDescent="0.3">
      <c r="A26" s="3">
        <v>40010</v>
      </c>
      <c r="B26" s="2">
        <v>148153</v>
      </c>
      <c r="C26" s="2">
        <v>445082</v>
      </c>
      <c r="D26" s="2">
        <v>185339</v>
      </c>
      <c r="E26" s="2">
        <v>1428179</v>
      </c>
      <c r="F26" s="2">
        <v>63896965405</v>
      </c>
    </row>
    <row r="27" spans="1:6" x14ac:dyDescent="0.3">
      <c r="A27" s="3">
        <v>50010</v>
      </c>
      <c r="B27" s="2">
        <v>33220</v>
      </c>
      <c r="C27" s="2">
        <v>134906</v>
      </c>
      <c r="D27" s="2">
        <v>202153</v>
      </c>
      <c r="E27" s="2">
        <v>1326376</v>
      </c>
      <c r="F27" s="2">
        <v>73033842737</v>
      </c>
    </row>
    <row r="28" spans="1:6" x14ac:dyDescent="0.3">
      <c r="A28" s="3">
        <v>60010</v>
      </c>
      <c r="B28" s="2">
        <v>3372</v>
      </c>
      <c r="C28" s="2">
        <v>23691</v>
      </c>
      <c r="D28" s="2">
        <v>92472</v>
      </c>
      <c r="E28" s="2">
        <v>944028</v>
      </c>
      <c r="F28" s="2">
        <v>60981976712</v>
      </c>
    </row>
    <row r="29" spans="1:6" x14ac:dyDescent="0.3">
      <c r="A29" s="3">
        <v>70010</v>
      </c>
      <c r="B29" s="2">
        <v>1573</v>
      </c>
      <c r="C29" s="2">
        <v>6964</v>
      </c>
      <c r="D29" s="2">
        <v>34407</v>
      </c>
      <c r="E29" s="2">
        <v>583823</v>
      </c>
      <c r="F29" s="2">
        <v>43542869562</v>
      </c>
    </row>
    <row r="30" spans="1:6" x14ac:dyDescent="0.3">
      <c r="A30" s="3">
        <v>80010</v>
      </c>
      <c r="B30" s="2">
        <v>881</v>
      </c>
      <c r="C30" s="2">
        <v>1834</v>
      </c>
      <c r="D30" s="2">
        <v>16949</v>
      </c>
      <c r="E30" s="2">
        <v>346088</v>
      </c>
      <c r="F30" s="2">
        <v>29222449413</v>
      </c>
    </row>
    <row r="31" spans="1:6" x14ac:dyDescent="0.3">
      <c r="A31" s="3">
        <v>90010</v>
      </c>
      <c r="B31" s="2">
        <v>268</v>
      </c>
      <c r="C31" s="2">
        <v>1278</v>
      </c>
      <c r="D31" s="2">
        <v>3516</v>
      </c>
      <c r="E31" s="2">
        <v>232723</v>
      </c>
      <c r="F31" s="2">
        <v>22063489067</v>
      </c>
    </row>
    <row r="32" spans="1:6" x14ac:dyDescent="0.3">
      <c r="A32" s="3">
        <v>100010</v>
      </c>
      <c r="B32" s="2">
        <v>418</v>
      </c>
      <c r="C32" s="2">
        <v>475</v>
      </c>
      <c r="D32" s="2">
        <v>1481</v>
      </c>
      <c r="E32" s="2">
        <v>288532</v>
      </c>
      <c r="F32" s="2">
        <v>31721506650</v>
      </c>
    </row>
    <row r="33" spans="1:10" x14ac:dyDescent="0.3">
      <c r="A33" s="3">
        <v>125010</v>
      </c>
      <c r="B33" s="2">
        <v>262</v>
      </c>
      <c r="C33" s="2">
        <v>74</v>
      </c>
      <c r="D33" s="2">
        <v>323</v>
      </c>
      <c r="E33" s="2">
        <v>74174</v>
      </c>
      <c r="F33" s="2">
        <v>9982404629</v>
      </c>
    </row>
    <row r="34" spans="1:10" x14ac:dyDescent="0.3">
      <c r="A34" s="3">
        <v>150010</v>
      </c>
      <c r="B34" s="2">
        <v>140</v>
      </c>
      <c r="C34" s="2">
        <v>71</v>
      </c>
      <c r="D34" s="2">
        <v>195</v>
      </c>
      <c r="E34" s="2">
        <v>25379</v>
      </c>
      <c r="F34" s="2">
        <v>4231899961</v>
      </c>
    </row>
    <row r="35" spans="1:10" x14ac:dyDescent="0.3">
      <c r="A35" s="3">
        <v>200010</v>
      </c>
      <c r="B35" s="2">
        <v>40</v>
      </c>
      <c r="C35" s="2">
        <v>16</v>
      </c>
      <c r="D35" s="2">
        <v>39</v>
      </c>
      <c r="E35" s="2">
        <v>4781</v>
      </c>
      <c r="F35" s="2">
        <v>1048385058</v>
      </c>
    </row>
    <row r="36" spans="1:10" x14ac:dyDescent="0.3">
      <c r="A36" s="3">
        <v>250010</v>
      </c>
      <c r="B36" s="2">
        <v>26</v>
      </c>
      <c r="C36" s="2">
        <v>5</v>
      </c>
      <c r="D36" s="2">
        <v>22</v>
      </c>
      <c r="E36" s="2">
        <v>2201</v>
      </c>
      <c r="F36" s="2">
        <v>664263919</v>
      </c>
    </row>
    <row r="37" spans="1:10" x14ac:dyDescent="0.3">
      <c r="A37" s="3">
        <v>500010</v>
      </c>
      <c r="B37" s="2">
        <v>3</v>
      </c>
      <c r="C37" s="2">
        <v>0</v>
      </c>
      <c r="D37" s="2">
        <v>1</v>
      </c>
      <c r="E37" s="2">
        <v>55</v>
      </c>
      <c r="F37" s="2">
        <v>35249271</v>
      </c>
    </row>
    <row r="38" spans="1:10" x14ac:dyDescent="0.3">
      <c r="A38" s="3" t="s">
        <v>2</v>
      </c>
      <c r="B38" s="2">
        <v>4977135</v>
      </c>
      <c r="C38" s="2">
        <v>2284749</v>
      </c>
      <c r="D38" s="2">
        <v>1111394</v>
      </c>
      <c r="E38" s="2">
        <v>14298409</v>
      </c>
      <c r="F38" s="2">
        <v>523717467058</v>
      </c>
    </row>
    <row r="39" spans="1:10" x14ac:dyDescent="0.3">
      <c r="B39" s="4">
        <f t="shared" ref="B39:F39" si="1">B38-SUM(B25:B37)</f>
        <v>0</v>
      </c>
      <c r="C39" s="4">
        <f t="shared" si="1"/>
        <v>0</v>
      </c>
      <c r="D39" s="4">
        <f t="shared" si="1"/>
        <v>0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4817823</v>
      </c>
      <c r="C44" s="4">
        <f t="shared" ref="C44:F44" si="2">C6+C25</f>
        <v>1673558</v>
      </c>
      <c r="D44" s="4">
        <f t="shared" si="2"/>
        <v>575619</v>
      </c>
      <c r="E44" s="4">
        <f t="shared" si="2"/>
        <v>9091671</v>
      </c>
      <c r="F44" s="4">
        <f t="shared" si="2"/>
        <v>184654582426</v>
      </c>
      <c r="G44">
        <f>1-SUM(E44:$E$56)/$E$57</f>
        <v>0</v>
      </c>
      <c r="I44" s="47">
        <f t="shared" ref="I44:I57" si="3">(B44+C44+D44)/E44</f>
        <v>0.77730485408017957</v>
      </c>
      <c r="J44" s="47">
        <f t="shared" ref="J44:J57" si="4">E25/E44</f>
        <v>0.99454434723825791</v>
      </c>
    </row>
    <row r="45" spans="1:10" x14ac:dyDescent="0.3">
      <c r="A45" s="3">
        <v>40010</v>
      </c>
      <c r="B45" s="4">
        <f t="shared" ref="B45:F57" si="5">B7+B26</f>
        <v>1198988</v>
      </c>
      <c r="C45" s="4">
        <f t="shared" si="5"/>
        <v>447211</v>
      </c>
      <c r="D45" s="4">
        <f t="shared" si="5"/>
        <v>185657</v>
      </c>
      <c r="E45" s="4">
        <f t="shared" si="5"/>
        <v>2486031</v>
      </c>
      <c r="F45" s="4">
        <f t="shared" si="5"/>
        <v>111621524089</v>
      </c>
      <c r="G45">
        <f>1-SUM(E45:$E$56)/$E$57</f>
        <v>0.31294344006954122</v>
      </c>
      <c r="H45">
        <f>SUM(F45:F$56)/(A45*SUM(E45:E$56))</f>
        <v>2.8176314929901647</v>
      </c>
      <c r="I45" s="47">
        <f t="shared" si="3"/>
        <v>0.73685967713194245</v>
      </c>
      <c r="J45" s="47">
        <f t="shared" si="4"/>
        <v>0.57448157323862814</v>
      </c>
    </row>
    <row r="46" spans="1:10" x14ac:dyDescent="0.3">
      <c r="A46" s="3">
        <v>50010</v>
      </c>
      <c r="B46" s="4">
        <f t="shared" si="5"/>
        <v>1036634</v>
      </c>
      <c r="C46" s="4">
        <f t="shared" si="5"/>
        <v>370757</v>
      </c>
      <c r="D46" s="4">
        <f t="shared" si="5"/>
        <v>202604</v>
      </c>
      <c r="E46" s="4">
        <f t="shared" si="5"/>
        <v>2572480</v>
      </c>
      <c r="F46" s="4">
        <f t="shared" si="5"/>
        <v>141725298651</v>
      </c>
      <c r="G46">
        <f>1-SUM(E46:$E$56)/$E$57</f>
        <v>0.39851484858834063</v>
      </c>
      <c r="H46">
        <f>SUM(F46:F$56)/(A46*SUM(E46:E$56))</f>
        <v>2.4471897433231602</v>
      </c>
      <c r="I46" s="47">
        <f t="shared" si="3"/>
        <v>0.62585326222166937</v>
      </c>
      <c r="J46" s="47">
        <f t="shared" si="4"/>
        <v>0.5156020649334494</v>
      </c>
    </row>
    <row r="47" spans="1:10" x14ac:dyDescent="0.3">
      <c r="A47" s="3">
        <v>60010</v>
      </c>
      <c r="B47" s="4">
        <f t="shared" si="5"/>
        <v>805021</v>
      </c>
      <c r="C47" s="4">
        <f t="shared" si="5"/>
        <v>303514</v>
      </c>
      <c r="D47" s="4">
        <f t="shared" si="5"/>
        <v>174312</v>
      </c>
      <c r="E47" s="4">
        <f t="shared" si="5"/>
        <v>2328336</v>
      </c>
      <c r="F47" s="4">
        <f t="shared" si="5"/>
        <v>151010781685</v>
      </c>
      <c r="G47">
        <f>1-SUM(E47:$E$56)/$E$57</f>
        <v>0.48706190893732304</v>
      </c>
      <c r="H47">
        <f>SUM(F47:F$56)/(A47*SUM(E47:E$56))</f>
        <v>2.2329650235483545</v>
      </c>
      <c r="I47" s="47">
        <f t="shared" si="3"/>
        <v>0.55097159516495897</v>
      </c>
      <c r="J47" s="47">
        <f t="shared" si="4"/>
        <v>0.4054517904632321</v>
      </c>
    </row>
    <row r="48" spans="1:10" x14ac:dyDescent="0.3">
      <c r="A48" s="3">
        <v>70010</v>
      </c>
      <c r="B48" s="4">
        <f t="shared" si="5"/>
        <v>573810</v>
      </c>
      <c r="C48" s="4">
        <f t="shared" si="5"/>
        <v>220363</v>
      </c>
      <c r="D48" s="4">
        <f t="shared" si="5"/>
        <v>133227</v>
      </c>
      <c r="E48" s="4">
        <f t="shared" si="5"/>
        <v>1935632</v>
      </c>
      <c r="F48" s="4">
        <f t="shared" si="5"/>
        <v>144867263478</v>
      </c>
      <c r="G48">
        <f>1-SUM(E48:$E$56)/$E$57</f>
        <v>0.56720531464104407</v>
      </c>
      <c r="H48">
        <f>SUM(F48:F$56)/(A48*SUM(E48:E$56))</f>
        <v>2.0968973301272631</v>
      </c>
      <c r="I48" s="47">
        <f t="shared" si="3"/>
        <v>0.47911999801615185</v>
      </c>
      <c r="J48" s="47">
        <f t="shared" si="4"/>
        <v>0.30161879944121611</v>
      </c>
    </row>
    <row r="49" spans="1:10" x14ac:dyDescent="0.3">
      <c r="A49" s="3">
        <v>80010</v>
      </c>
      <c r="B49" s="4">
        <f t="shared" si="5"/>
        <v>362083</v>
      </c>
      <c r="C49" s="4">
        <f t="shared" si="5"/>
        <v>135467</v>
      </c>
      <c r="D49" s="4">
        <f t="shared" si="5"/>
        <v>97298</v>
      </c>
      <c r="E49" s="4">
        <f t="shared" si="5"/>
        <v>1390048</v>
      </c>
      <c r="F49" s="4">
        <f t="shared" si="5"/>
        <v>117569780366</v>
      </c>
      <c r="G49">
        <f>1-SUM(E49:$E$56)/$E$57</f>
        <v>0.63383149774739345</v>
      </c>
      <c r="H49">
        <f>SUM(F49:F$56)/(A49*SUM(E49:E$56))</f>
        <v>1.9984692119075993</v>
      </c>
      <c r="I49" s="47">
        <f t="shared" si="3"/>
        <v>0.42793342388176525</v>
      </c>
      <c r="J49" s="47">
        <f t="shared" si="4"/>
        <v>0.24897557494417458</v>
      </c>
    </row>
    <row r="50" spans="1:10" x14ac:dyDescent="0.3">
      <c r="A50" s="3">
        <v>90010</v>
      </c>
      <c r="B50" s="4">
        <f t="shared" si="5"/>
        <v>248697</v>
      </c>
      <c r="C50" s="4">
        <f t="shared" si="5"/>
        <v>114927</v>
      </c>
      <c r="D50" s="4">
        <f t="shared" si="5"/>
        <v>69897</v>
      </c>
      <c r="E50" s="4">
        <f t="shared" si="5"/>
        <v>1297377</v>
      </c>
      <c r="F50" s="4">
        <f t="shared" si="5"/>
        <v>123271994049</v>
      </c>
      <c r="G50">
        <f>1-SUM(E50:$E$56)/$E$57</f>
        <v>0.68167819204394087</v>
      </c>
      <c r="H50">
        <f>SUM(F50:F$56)/(A50*SUM(E50:E$56))</f>
        <v>1.902216303106361</v>
      </c>
      <c r="I50" s="47">
        <f t="shared" si="3"/>
        <v>0.33415190804214967</v>
      </c>
      <c r="J50" s="47">
        <f t="shared" si="4"/>
        <v>0.17937962519761025</v>
      </c>
    </row>
    <row r="51" spans="1:10" x14ac:dyDescent="0.3">
      <c r="A51" s="3">
        <v>100010</v>
      </c>
      <c r="B51" s="4">
        <f t="shared" si="5"/>
        <v>358058</v>
      </c>
      <c r="C51" s="4">
        <f t="shared" si="5"/>
        <v>192696</v>
      </c>
      <c r="D51" s="4">
        <f t="shared" si="5"/>
        <v>100025</v>
      </c>
      <c r="E51" s="4">
        <f t="shared" si="5"/>
        <v>2544840</v>
      </c>
      <c r="F51" s="4">
        <f t="shared" si="5"/>
        <v>284193404115</v>
      </c>
      <c r="G51">
        <f>1-SUM(E51:$E$56)/$E$57</f>
        <v>0.72633506771037237</v>
      </c>
      <c r="H51">
        <f>SUM(F51:F$56)/(A51*SUM(E51:E$56))</f>
        <v>1.8363485983450003</v>
      </c>
      <c r="I51" s="47">
        <f t="shared" si="3"/>
        <v>0.25572491787302937</v>
      </c>
      <c r="J51" s="47">
        <f t="shared" si="4"/>
        <v>0.11337923012841672</v>
      </c>
    </row>
    <row r="52" spans="1:10" x14ac:dyDescent="0.3">
      <c r="A52" s="3">
        <v>125010</v>
      </c>
      <c r="B52" s="4">
        <f t="shared" si="5"/>
        <v>159123</v>
      </c>
      <c r="C52" s="4">
        <f t="shared" si="5"/>
        <v>95245</v>
      </c>
      <c r="D52" s="4">
        <f t="shared" si="5"/>
        <v>46134</v>
      </c>
      <c r="E52" s="4">
        <f t="shared" si="5"/>
        <v>1697766</v>
      </c>
      <c r="F52" s="4">
        <f t="shared" si="5"/>
        <v>232029671992</v>
      </c>
      <c r="G52">
        <f>1-SUM(E52:$E$56)/$E$57</f>
        <v>0.8139307345604565</v>
      </c>
      <c r="H52">
        <f>SUM(F52:F$56)/(A52*SUM(E52:E$56))</f>
        <v>1.7401699516560722</v>
      </c>
      <c r="I52" s="47">
        <f t="shared" si="3"/>
        <v>0.17699847917793146</v>
      </c>
      <c r="J52" s="47">
        <f t="shared" si="4"/>
        <v>4.3689177424921927E-2</v>
      </c>
    </row>
    <row r="53" spans="1:10" x14ac:dyDescent="0.3">
      <c r="A53" s="3">
        <v>150010</v>
      </c>
      <c r="B53" s="4">
        <f t="shared" si="5"/>
        <v>122970</v>
      </c>
      <c r="C53" s="4">
        <f t="shared" si="5"/>
        <v>75529</v>
      </c>
      <c r="D53" s="4">
        <f t="shared" si="5"/>
        <v>37353</v>
      </c>
      <c r="E53" s="4">
        <f t="shared" si="5"/>
        <v>1843685</v>
      </c>
      <c r="F53" s="4">
        <f t="shared" si="5"/>
        <v>316215731087</v>
      </c>
      <c r="G53">
        <f>1-SUM(E53:$E$56)/$E$57</f>
        <v>0.87236935739151855</v>
      </c>
      <c r="H53">
        <f>SUM(F53:F$56)/(A53*SUM(E53:E$56))</f>
        <v>1.6970021615142246</v>
      </c>
      <c r="I53" s="47">
        <f t="shared" si="3"/>
        <v>0.12792423868502484</v>
      </c>
      <c r="J53" s="47">
        <f t="shared" si="4"/>
        <v>1.376536664343421E-2</v>
      </c>
    </row>
    <row r="54" spans="1:10" x14ac:dyDescent="0.3">
      <c r="A54" s="3">
        <v>200010</v>
      </c>
      <c r="B54" s="4">
        <f t="shared" si="5"/>
        <v>42644</v>
      </c>
      <c r="C54" s="4">
        <f t="shared" si="5"/>
        <v>28817</v>
      </c>
      <c r="D54" s="4">
        <f t="shared" si="5"/>
        <v>13150</v>
      </c>
      <c r="E54" s="4">
        <f t="shared" si="5"/>
        <v>808209</v>
      </c>
      <c r="F54" s="4">
        <f t="shared" si="5"/>
        <v>179225240938</v>
      </c>
      <c r="G54">
        <f>1-SUM(E54:$E$56)/$E$57</f>
        <v>0.93583064259471305</v>
      </c>
      <c r="H54">
        <f>SUM(F54:F$56)/(A54*SUM(E54:E$56))</f>
        <v>1.6834420617322878</v>
      </c>
      <c r="I54" s="47">
        <f t="shared" si="3"/>
        <v>0.10468950481867932</v>
      </c>
      <c r="J54" s="47">
        <f t="shared" si="4"/>
        <v>5.9155490720840774E-3</v>
      </c>
    </row>
    <row r="55" spans="1:10" x14ac:dyDescent="0.3">
      <c r="A55" s="3">
        <v>250010</v>
      </c>
      <c r="B55" s="4">
        <f t="shared" si="5"/>
        <v>40130</v>
      </c>
      <c r="C55" s="4">
        <f t="shared" si="5"/>
        <v>29943</v>
      </c>
      <c r="D55" s="4">
        <f t="shared" si="5"/>
        <v>13135</v>
      </c>
      <c r="E55" s="4">
        <f t="shared" si="5"/>
        <v>870324</v>
      </c>
      <c r="F55" s="4">
        <f t="shared" si="5"/>
        <v>284161864463</v>
      </c>
      <c r="G55">
        <f>1-SUM(E55:$E$56)/$E$57</f>
        <v>0.96364991858426041</v>
      </c>
      <c r="H55">
        <f>SUM(F55:F$56)/(A55*SUM(E55:E$56))</f>
        <v>1.6986425684277893</v>
      </c>
      <c r="I55" s="47">
        <f t="shared" si="3"/>
        <v>9.5605774401257462E-2</v>
      </c>
      <c r="J55" s="47">
        <f t="shared" si="4"/>
        <v>2.5289432441251763E-3</v>
      </c>
    </row>
    <row r="56" spans="1:10" x14ac:dyDescent="0.3">
      <c r="A56" s="3">
        <v>500010</v>
      </c>
      <c r="B56" s="4">
        <f t="shared" si="5"/>
        <v>8923</v>
      </c>
      <c r="C56" s="4">
        <f t="shared" si="5"/>
        <v>7496</v>
      </c>
      <c r="D56" s="4">
        <f t="shared" si="5"/>
        <v>3034</v>
      </c>
      <c r="E56" s="4">
        <f t="shared" si="5"/>
        <v>185723</v>
      </c>
      <c r="F56" s="4">
        <f t="shared" si="5"/>
        <v>164317671116</v>
      </c>
      <c r="G56">
        <f>1-SUM(E56:$E$56)/$E$57</f>
        <v>0.99360724837930947</v>
      </c>
      <c r="H56">
        <f>SUM(F56:F$56)/(A56*SUM(E56:E$56))</f>
        <v>1.7694565005767022</v>
      </c>
      <c r="I56" s="47">
        <f t="shared" si="3"/>
        <v>0.10474200825961244</v>
      </c>
      <c r="J56" s="47">
        <f t="shared" si="4"/>
        <v>2.961399503561756E-4</v>
      </c>
    </row>
    <row r="57" spans="1:10" x14ac:dyDescent="0.3">
      <c r="A57" s="3" t="s">
        <v>2</v>
      </c>
      <c r="B57" s="2">
        <f>B19+B38</f>
        <v>9774905</v>
      </c>
      <c r="C57" s="2">
        <f t="shared" si="5"/>
        <v>3695523</v>
      </c>
      <c r="D57" s="2">
        <f t="shared" si="5"/>
        <v>1651445</v>
      </c>
      <c r="E57" s="4">
        <f t="shared" si="5"/>
        <v>29052122</v>
      </c>
      <c r="F57" s="4">
        <f t="shared" si="5"/>
        <v>2434864808455</v>
      </c>
      <c r="G57">
        <f>F57/(6.55957*E57)</f>
        <v>12776.786052148625</v>
      </c>
      <c r="I57" s="47">
        <f t="shared" si="3"/>
        <v>0.52050838145316891</v>
      </c>
      <c r="J57" s="47">
        <f t="shared" si="4"/>
        <v>0.49216401473186711</v>
      </c>
    </row>
    <row r="58" spans="1:10" x14ac:dyDescent="0.3">
      <c r="B58" s="4">
        <f>B57-SUM(B44:B56)</f>
        <v>1</v>
      </c>
      <c r="C58" s="4">
        <f t="shared" ref="C58:F58" si="6">C57-SUM(C44:C56)</f>
        <v>0</v>
      </c>
      <c r="D58" s="4">
        <f t="shared" si="6"/>
        <v>0</v>
      </c>
      <c r="E58" s="4">
        <f t="shared" si="6"/>
        <v>0</v>
      </c>
      <c r="F58" s="4">
        <f t="shared" si="6"/>
        <v>0</v>
      </c>
      <c r="G58" s="2">
        <f>E57</f>
        <v>29052122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196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14846</v>
      </c>
      <c r="C6" s="2">
        <v>4482</v>
      </c>
      <c r="D6" s="2">
        <v>1615</v>
      </c>
      <c r="E6" s="2">
        <v>41048</v>
      </c>
      <c r="F6" s="2">
        <v>819147619</v>
      </c>
    </row>
    <row r="7" spans="1:6" x14ac:dyDescent="0.3">
      <c r="A7">
        <v>40010</v>
      </c>
      <c r="B7" s="2">
        <v>914317</v>
      </c>
      <c r="C7" s="2">
        <v>2014</v>
      </c>
      <c r="D7" s="2">
        <v>384</v>
      </c>
      <c r="E7" s="2">
        <v>921867</v>
      </c>
      <c r="F7" s="2">
        <v>42055715931</v>
      </c>
    </row>
    <row r="8" spans="1:6" x14ac:dyDescent="0.3">
      <c r="A8">
        <v>50010</v>
      </c>
      <c r="B8" s="2">
        <v>985513</v>
      </c>
      <c r="C8" s="2">
        <v>230718</v>
      </c>
      <c r="D8" s="2">
        <v>529</v>
      </c>
      <c r="E8" s="2">
        <v>1223193</v>
      </c>
      <c r="F8" s="2">
        <v>67554993729</v>
      </c>
    </row>
    <row r="9" spans="1:6" x14ac:dyDescent="0.3">
      <c r="A9">
        <v>60010</v>
      </c>
      <c r="B9" s="2">
        <v>793771</v>
      </c>
      <c r="C9" s="2">
        <v>297993</v>
      </c>
      <c r="D9" s="2">
        <v>72040</v>
      </c>
      <c r="E9" s="2">
        <v>1364010</v>
      </c>
      <c r="F9" s="2">
        <v>88885024811</v>
      </c>
    </row>
    <row r="10" spans="1:6" x14ac:dyDescent="0.3">
      <c r="A10">
        <v>70010</v>
      </c>
      <c r="B10" s="2">
        <v>584801</v>
      </c>
      <c r="C10" s="2">
        <v>228112</v>
      </c>
      <c r="D10" s="2">
        <v>111671</v>
      </c>
      <c r="E10" s="2">
        <v>1364048</v>
      </c>
      <c r="F10" s="2">
        <v>102303710449</v>
      </c>
    </row>
    <row r="11" spans="1:6" x14ac:dyDescent="0.3">
      <c r="A11">
        <v>80010</v>
      </c>
      <c r="B11" s="2">
        <v>389588</v>
      </c>
      <c r="C11" s="2">
        <v>159831</v>
      </c>
      <c r="D11" s="2">
        <v>94312</v>
      </c>
      <c r="E11" s="2">
        <v>1139038</v>
      </c>
      <c r="F11" s="2">
        <v>96431770041</v>
      </c>
    </row>
    <row r="12" spans="1:6" x14ac:dyDescent="0.3">
      <c r="A12">
        <v>90010</v>
      </c>
      <c r="B12" s="2">
        <v>257147</v>
      </c>
      <c r="C12" s="2">
        <v>108669</v>
      </c>
      <c r="D12" s="2">
        <v>73096</v>
      </c>
      <c r="E12" s="2">
        <v>1050427</v>
      </c>
      <c r="F12" s="2">
        <v>100056959130</v>
      </c>
    </row>
    <row r="13" spans="1:6" x14ac:dyDescent="0.3">
      <c r="A13">
        <v>100010</v>
      </c>
      <c r="B13" s="2">
        <v>381742</v>
      </c>
      <c r="C13" s="2">
        <v>208409</v>
      </c>
      <c r="D13" s="2">
        <v>110742</v>
      </c>
      <c r="E13" s="2">
        <v>2318645</v>
      </c>
      <c r="F13" s="2">
        <v>259410484919</v>
      </c>
    </row>
    <row r="14" spans="1:6" x14ac:dyDescent="0.3">
      <c r="A14">
        <v>125010</v>
      </c>
      <c r="B14" s="2">
        <v>171011</v>
      </c>
      <c r="C14" s="2">
        <v>107451</v>
      </c>
      <c r="D14" s="2">
        <v>51969</v>
      </c>
      <c r="E14" s="2">
        <v>1659923</v>
      </c>
      <c r="F14" s="2">
        <v>227018230483</v>
      </c>
    </row>
    <row r="15" spans="1:6" x14ac:dyDescent="0.3">
      <c r="A15">
        <v>150010</v>
      </c>
      <c r="B15" s="2">
        <v>130231</v>
      </c>
      <c r="C15" s="2">
        <v>83667</v>
      </c>
      <c r="D15" s="2">
        <v>41544</v>
      </c>
      <c r="E15" s="2">
        <v>1886670</v>
      </c>
      <c r="F15" s="2">
        <v>323839597315</v>
      </c>
    </row>
    <row r="16" spans="1:6" x14ac:dyDescent="0.3">
      <c r="A16">
        <v>200010</v>
      </c>
      <c r="B16" s="2">
        <v>44110</v>
      </c>
      <c r="C16" s="2">
        <v>31285</v>
      </c>
      <c r="D16" s="2">
        <v>14525</v>
      </c>
      <c r="E16" s="2">
        <v>843453</v>
      </c>
      <c r="F16" s="2">
        <v>187073742370</v>
      </c>
    </row>
    <row r="17" spans="1:6" x14ac:dyDescent="0.3">
      <c r="A17">
        <v>250010</v>
      </c>
      <c r="B17" s="2">
        <v>41014</v>
      </c>
      <c r="C17" s="2">
        <v>31687</v>
      </c>
      <c r="D17" s="2">
        <v>13865</v>
      </c>
      <c r="E17" s="2">
        <v>908474</v>
      </c>
      <c r="F17" s="2">
        <v>296182562242</v>
      </c>
    </row>
    <row r="18" spans="1:6" x14ac:dyDescent="0.3">
      <c r="A18">
        <v>500010</v>
      </c>
      <c r="B18" s="2">
        <v>8921</v>
      </c>
      <c r="C18" s="2">
        <v>7631</v>
      </c>
      <c r="D18" s="2">
        <v>3103</v>
      </c>
      <c r="E18" s="2">
        <v>186471</v>
      </c>
      <c r="F18" s="2">
        <v>164379748630</v>
      </c>
    </row>
    <row r="19" spans="1:6" x14ac:dyDescent="0.3">
      <c r="A19" t="s">
        <v>2</v>
      </c>
      <c r="B19" s="2">
        <v>4717012</v>
      </c>
      <c r="C19" s="2">
        <v>1501949</v>
      </c>
      <c r="D19" s="2">
        <v>589395</v>
      </c>
      <c r="E19" s="2">
        <v>14907267</v>
      </c>
      <c r="F19" s="2">
        <v>1956011687669</v>
      </c>
    </row>
    <row r="20" spans="1:6" x14ac:dyDescent="0.3">
      <c r="B20" s="4">
        <f t="shared" ref="B20:F20" si="0">B19-SUM(B6:B18)</f>
        <v>0</v>
      </c>
      <c r="C20" s="4">
        <f t="shared" si="0"/>
        <v>0</v>
      </c>
      <c r="D20" s="4">
        <f t="shared" si="0"/>
        <v>0</v>
      </c>
      <c r="E20" s="4">
        <f t="shared" si="0"/>
        <v>0</v>
      </c>
      <c r="F20" s="4">
        <f t="shared" si="0"/>
        <v>0</v>
      </c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5</v>
      </c>
    </row>
    <row r="23" spans="1:6" x14ac:dyDescent="0.3">
      <c r="B23" s="78"/>
      <c r="C23" s="78"/>
      <c r="E23" s="78" t="s">
        <v>2</v>
      </c>
      <c r="F23" s="78"/>
    </row>
    <row r="24" spans="1:6" x14ac:dyDescent="0.3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3">
      <c r="A25" s="3">
        <v>0</v>
      </c>
      <c r="B25" s="2">
        <v>4971036</v>
      </c>
      <c r="C25" s="2">
        <v>1672536</v>
      </c>
      <c r="D25" s="2">
        <v>607824</v>
      </c>
      <c r="E25" s="2">
        <v>9281548</v>
      </c>
      <c r="F25" s="2">
        <v>186936237771</v>
      </c>
    </row>
    <row r="26" spans="1:6" x14ac:dyDescent="0.3">
      <c r="A26" s="3">
        <v>40010</v>
      </c>
      <c r="B26" s="2">
        <v>284959</v>
      </c>
      <c r="C26" s="2">
        <v>492710</v>
      </c>
      <c r="D26" s="2">
        <v>185777</v>
      </c>
      <c r="E26" s="2">
        <v>1580513</v>
      </c>
      <c r="F26" s="2">
        <v>70284141433</v>
      </c>
    </row>
    <row r="27" spans="1:6" x14ac:dyDescent="0.3">
      <c r="A27" s="3">
        <v>50010</v>
      </c>
      <c r="B27" s="2">
        <v>15264</v>
      </c>
      <c r="C27" s="2">
        <v>130136</v>
      </c>
      <c r="D27" s="2">
        <v>203360</v>
      </c>
      <c r="E27" s="2">
        <v>1264111</v>
      </c>
      <c r="F27" s="2">
        <v>69628641978</v>
      </c>
    </row>
    <row r="28" spans="1:6" x14ac:dyDescent="0.3">
      <c r="A28" s="3">
        <v>60010</v>
      </c>
      <c r="B28" s="2">
        <v>3016</v>
      </c>
      <c r="C28" s="2">
        <v>28744</v>
      </c>
      <c r="D28" s="2">
        <v>109194</v>
      </c>
      <c r="E28" s="2">
        <v>967847</v>
      </c>
      <c r="F28" s="2">
        <v>62367631636</v>
      </c>
    </row>
    <row r="29" spans="1:6" x14ac:dyDescent="0.3">
      <c r="A29" s="3">
        <v>70010</v>
      </c>
      <c r="B29" s="2">
        <v>2077</v>
      </c>
      <c r="C29" s="2">
        <v>8610</v>
      </c>
      <c r="D29" s="2">
        <v>28137</v>
      </c>
      <c r="E29" s="2">
        <v>594879</v>
      </c>
      <c r="F29" s="2">
        <v>44327870166</v>
      </c>
    </row>
    <row r="30" spans="1:6" x14ac:dyDescent="0.3">
      <c r="A30" s="3">
        <v>80010</v>
      </c>
      <c r="B30" s="2">
        <v>1607</v>
      </c>
      <c r="C30" s="2">
        <v>3346</v>
      </c>
      <c r="D30" s="2">
        <v>11847</v>
      </c>
      <c r="E30" s="2">
        <v>347699</v>
      </c>
      <c r="F30" s="2">
        <v>29367854006</v>
      </c>
    </row>
    <row r="31" spans="1:6" x14ac:dyDescent="0.3">
      <c r="A31" s="3">
        <v>90010</v>
      </c>
      <c r="B31" s="2">
        <v>595</v>
      </c>
      <c r="C31" s="2">
        <v>1630</v>
      </c>
      <c r="D31" s="2">
        <v>4520</v>
      </c>
      <c r="E31" s="2">
        <v>210499</v>
      </c>
      <c r="F31" s="2">
        <v>19947224261</v>
      </c>
    </row>
    <row r="32" spans="1:6" x14ac:dyDescent="0.3">
      <c r="A32" s="3">
        <v>100010</v>
      </c>
      <c r="B32" s="2">
        <v>564</v>
      </c>
      <c r="C32" s="2">
        <v>1994</v>
      </c>
      <c r="D32" s="2">
        <v>1961</v>
      </c>
      <c r="E32" s="2">
        <v>275842</v>
      </c>
      <c r="F32" s="2">
        <v>30330843974</v>
      </c>
    </row>
    <row r="33" spans="1:10" x14ac:dyDescent="0.3">
      <c r="A33" s="3">
        <v>125010</v>
      </c>
      <c r="B33" s="2">
        <v>324</v>
      </c>
      <c r="C33" s="2">
        <v>139</v>
      </c>
      <c r="D33" s="2">
        <v>570</v>
      </c>
      <c r="E33" s="2">
        <v>82283</v>
      </c>
      <c r="F33" s="2">
        <v>11116299632</v>
      </c>
    </row>
    <row r="34" spans="1:10" x14ac:dyDescent="0.3">
      <c r="A34" s="3">
        <v>150010</v>
      </c>
      <c r="B34" s="2">
        <v>269</v>
      </c>
      <c r="C34" s="2">
        <v>107</v>
      </c>
      <c r="D34" s="2">
        <v>281</v>
      </c>
      <c r="E34" s="2">
        <v>34186</v>
      </c>
      <c r="F34" s="2">
        <v>5744698428</v>
      </c>
    </row>
    <row r="35" spans="1:10" x14ac:dyDescent="0.3">
      <c r="A35" s="3">
        <v>200010</v>
      </c>
      <c r="B35" s="2">
        <v>65</v>
      </c>
      <c r="C35" s="2">
        <v>43</v>
      </c>
      <c r="D35" s="2">
        <v>61</v>
      </c>
      <c r="E35" s="2">
        <v>7561</v>
      </c>
      <c r="F35" s="2">
        <v>1663797386</v>
      </c>
    </row>
    <row r="36" spans="1:10" x14ac:dyDescent="0.3">
      <c r="A36" s="3">
        <v>250010</v>
      </c>
      <c r="B36" s="2">
        <v>61</v>
      </c>
      <c r="C36" s="2">
        <v>20</v>
      </c>
      <c r="D36" s="2">
        <v>28</v>
      </c>
      <c r="E36" s="2">
        <v>3763</v>
      </c>
      <c r="F36" s="2">
        <v>1144286274</v>
      </c>
    </row>
    <row r="37" spans="1:10" x14ac:dyDescent="0.3">
      <c r="A37" s="3">
        <v>500010</v>
      </c>
      <c r="B37" s="2">
        <v>3</v>
      </c>
      <c r="C37" s="2">
        <v>2</v>
      </c>
      <c r="D37" s="2">
        <v>2</v>
      </c>
      <c r="E37" s="2">
        <v>172</v>
      </c>
      <c r="F37" s="2">
        <v>113208869</v>
      </c>
    </row>
    <row r="38" spans="1:10" x14ac:dyDescent="0.3">
      <c r="A38" s="3" t="s">
        <v>2</v>
      </c>
      <c r="B38" s="2">
        <v>5279840</v>
      </c>
      <c r="C38" s="2">
        <v>2340017</v>
      </c>
      <c r="D38" s="2">
        <v>1153562</v>
      </c>
      <c r="E38" s="2">
        <v>14650903</v>
      </c>
      <c r="F38" s="2">
        <v>532972735814</v>
      </c>
    </row>
    <row r="39" spans="1:10" x14ac:dyDescent="0.3">
      <c r="B39" s="4">
        <f t="shared" ref="B39:F39" si="1">B38-SUM(B25:B37)</f>
        <v>0</v>
      </c>
      <c r="C39" s="4">
        <f t="shared" si="1"/>
        <v>0</v>
      </c>
      <c r="D39" s="4">
        <f t="shared" si="1"/>
        <v>0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4985882</v>
      </c>
      <c r="C44" s="4">
        <f t="shared" ref="C44:F44" si="2">C6+C25</f>
        <v>1677018</v>
      </c>
      <c r="D44" s="4">
        <f t="shared" si="2"/>
        <v>609439</v>
      </c>
      <c r="E44" s="4">
        <f t="shared" si="2"/>
        <v>9322596</v>
      </c>
      <c r="F44" s="4">
        <f t="shared" si="2"/>
        <v>187755385390</v>
      </c>
      <c r="G44">
        <f>1-SUM(E44:$E$56)/$E$57</f>
        <v>0</v>
      </c>
      <c r="I44" s="47">
        <f t="shared" ref="I44:I57" si="3">(B44+C44+D44)/E44</f>
        <v>0.7800766009811001</v>
      </c>
      <c r="J44" s="47">
        <f t="shared" ref="J44:J57" si="4">E25/E44</f>
        <v>0.99559693458774789</v>
      </c>
    </row>
    <row r="45" spans="1:10" x14ac:dyDescent="0.3">
      <c r="A45" s="3">
        <v>40010</v>
      </c>
      <c r="B45" s="4">
        <f t="shared" ref="B45:F57" si="5">B7+B26</f>
        <v>1199276</v>
      </c>
      <c r="C45" s="4">
        <f t="shared" si="5"/>
        <v>494724</v>
      </c>
      <c r="D45" s="4">
        <f t="shared" si="5"/>
        <v>186161</v>
      </c>
      <c r="E45" s="4">
        <f t="shared" si="5"/>
        <v>2502380</v>
      </c>
      <c r="F45" s="4">
        <f t="shared" si="5"/>
        <v>112339857364</v>
      </c>
      <c r="G45">
        <f>1-SUM(E45:$E$56)/$E$57</f>
        <v>0.31539828074606779</v>
      </c>
      <c r="H45">
        <f>SUM(F45:F$56)/(A45*SUM(E45:E$56))</f>
        <v>2.8423382932260086</v>
      </c>
      <c r="I45" s="47">
        <f t="shared" si="3"/>
        <v>0.75134911564190887</v>
      </c>
      <c r="J45" s="47">
        <f t="shared" si="4"/>
        <v>0.63160391307475283</v>
      </c>
    </row>
    <row r="46" spans="1:10" x14ac:dyDescent="0.3">
      <c r="A46" s="3">
        <v>50010</v>
      </c>
      <c r="B46" s="4">
        <f t="shared" si="5"/>
        <v>1000777</v>
      </c>
      <c r="C46" s="4">
        <f t="shared" si="5"/>
        <v>360854</v>
      </c>
      <c r="D46" s="4">
        <f t="shared" si="5"/>
        <v>203889</v>
      </c>
      <c r="E46" s="4">
        <f t="shared" si="5"/>
        <v>2487304</v>
      </c>
      <c r="F46" s="4">
        <f t="shared" si="5"/>
        <v>137183635707</v>
      </c>
      <c r="G46">
        <f>1-SUM(E46:$E$56)/$E$57</f>
        <v>0.40005778436215778</v>
      </c>
      <c r="H46">
        <f>SUM(F46:F$56)/(A46*SUM(E46:E$56))</f>
        <v>2.4681977656488887</v>
      </c>
      <c r="I46" s="47">
        <f t="shared" si="3"/>
        <v>0.62940436713807402</v>
      </c>
      <c r="J46" s="47">
        <f t="shared" si="4"/>
        <v>0.50822537172778237</v>
      </c>
    </row>
    <row r="47" spans="1:10" x14ac:dyDescent="0.3">
      <c r="A47" s="3">
        <v>60010</v>
      </c>
      <c r="B47" s="4">
        <f t="shared" si="5"/>
        <v>796787</v>
      </c>
      <c r="C47" s="4">
        <f t="shared" si="5"/>
        <v>326737</v>
      </c>
      <c r="D47" s="4">
        <f t="shared" si="5"/>
        <v>181234</v>
      </c>
      <c r="E47" s="4">
        <f t="shared" si="5"/>
        <v>2331857</v>
      </c>
      <c r="F47" s="4">
        <f t="shared" si="5"/>
        <v>151252656447</v>
      </c>
      <c r="G47">
        <f>1-SUM(E47:$E$56)/$E$57</f>
        <v>0.4842072428705837</v>
      </c>
      <c r="H47">
        <f>SUM(F47:F$56)/(A47*SUM(E47:E$56))</f>
        <v>2.2425318682391926</v>
      </c>
      <c r="I47" s="47">
        <f t="shared" si="3"/>
        <v>0.55953602643729872</v>
      </c>
      <c r="J47" s="47">
        <f t="shared" si="4"/>
        <v>0.41505418213895623</v>
      </c>
    </row>
    <row r="48" spans="1:10" x14ac:dyDescent="0.3">
      <c r="A48" s="3">
        <v>70010</v>
      </c>
      <c r="B48" s="4">
        <f t="shared" si="5"/>
        <v>586878</v>
      </c>
      <c r="C48" s="4">
        <f t="shared" si="5"/>
        <v>236722</v>
      </c>
      <c r="D48" s="4">
        <f t="shared" si="5"/>
        <v>139808</v>
      </c>
      <c r="E48" s="4">
        <f t="shared" si="5"/>
        <v>1958927</v>
      </c>
      <c r="F48" s="4">
        <f t="shared" si="5"/>
        <v>146631580615</v>
      </c>
      <c r="G48">
        <f>1-SUM(E48:$E$56)/$E$57</f>
        <v>0.56309768162237384</v>
      </c>
      <c r="H48">
        <f>SUM(F48:F$56)/(A48*SUM(E48:E$56))</f>
        <v>2.1020117463188153</v>
      </c>
      <c r="I48" s="47">
        <f t="shared" si="3"/>
        <v>0.49180393143797602</v>
      </c>
      <c r="J48" s="47">
        <f t="shared" si="4"/>
        <v>0.30367594096155703</v>
      </c>
    </row>
    <row r="49" spans="1:10" x14ac:dyDescent="0.3">
      <c r="A49" s="3">
        <v>80010</v>
      </c>
      <c r="B49" s="4">
        <f t="shared" si="5"/>
        <v>391195</v>
      </c>
      <c r="C49" s="4">
        <f t="shared" si="5"/>
        <v>163177</v>
      </c>
      <c r="D49" s="4">
        <f t="shared" si="5"/>
        <v>106159</v>
      </c>
      <c r="E49" s="4">
        <f t="shared" si="5"/>
        <v>1486737</v>
      </c>
      <c r="F49" s="4">
        <f t="shared" si="5"/>
        <v>125799624047</v>
      </c>
      <c r="G49">
        <f>1-SUM(E49:$E$56)/$E$57</f>
        <v>0.62937130410982811</v>
      </c>
      <c r="H49">
        <f>SUM(F49:F$56)/(A49*SUM(E49:E$56))</f>
        <v>2.0008958695796029</v>
      </c>
      <c r="I49" s="47">
        <f t="shared" si="3"/>
        <v>0.44428234448998039</v>
      </c>
      <c r="J49" s="47">
        <f t="shared" si="4"/>
        <v>0.23386718700079437</v>
      </c>
    </row>
    <row r="50" spans="1:10" x14ac:dyDescent="0.3">
      <c r="A50" s="3">
        <v>90010</v>
      </c>
      <c r="B50" s="4">
        <f t="shared" si="5"/>
        <v>257742</v>
      </c>
      <c r="C50" s="4">
        <f t="shared" si="5"/>
        <v>110299</v>
      </c>
      <c r="D50" s="4">
        <f t="shared" si="5"/>
        <v>77616</v>
      </c>
      <c r="E50" s="4">
        <f t="shared" si="5"/>
        <v>1260926</v>
      </c>
      <c r="F50" s="4">
        <f t="shared" si="5"/>
        <v>120004183391</v>
      </c>
      <c r="G50">
        <f>1-SUM(E50:$E$56)/$E$57</f>
        <v>0.6796699863354192</v>
      </c>
      <c r="H50">
        <f>SUM(F50:F$56)/(A50*SUM(E50:E$56))</f>
        <v>1.9102677706413704</v>
      </c>
      <c r="I50" s="47">
        <f t="shared" si="3"/>
        <v>0.35343628412769662</v>
      </c>
      <c r="J50" s="47">
        <f t="shared" si="4"/>
        <v>0.16694001075400142</v>
      </c>
    </row>
    <row r="51" spans="1:10" x14ac:dyDescent="0.3">
      <c r="A51" s="3">
        <v>100010</v>
      </c>
      <c r="B51" s="4">
        <f t="shared" si="5"/>
        <v>382306</v>
      </c>
      <c r="C51" s="4">
        <f t="shared" si="5"/>
        <v>210403</v>
      </c>
      <c r="D51" s="4">
        <f t="shared" si="5"/>
        <v>112703</v>
      </c>
      <c r="E51" s="4">
        <f t="shared" si="5"/>
        <v>2594487</v>
      </c>
      <c r="F51" s="4">
        <f t="shared" si="5"/>
        <v>289741328893</v>
      </c>
      <c r="G51">
        <f>1-SUM(E51:$E$56)/$E$57</f>
        <v>0.72232912254040083</v>
      </c>
      <c r="H51">
        <f>SUM(F51:F$56)/(A51*SUM(E51:E$56))</f>
        <v>1.8371942562995747</v>
      </c>
      <c r="I51" s="47">
        <f t="shared" si="3"/>
        <v>0.2718888165560282</v>
      </c>
      <c r="J51" s="47">
        <f t="shared" si="4"/>
        <v>0.10631851306250523</v>
      </c>
    </row>
    <row r="52" spans="1:10" x14ac:dyDescent="0.3">
      <c r="A52" s="3">
        <v>125010</v>
      </c>
      <c r="B52" s="4">
        <f t="shared" si="5"/>
        <v>171335</v>
      </c>
      <c r="C52" s="4">
        <f t="shared" si="5"/>
        <v>107590</v>
      </c>
      <c r="D52" s="4">
        <f t="shared" si="5"/>
        <v>52539</v>
      </c>
      <c r="E52" s="4">
        <f t="shared" si="5"/>
        <v>1742206</v>
      </c>
      <c r="F52" s="4">
        <f t="shared" si="5"/>
        <v>238134530115</v>
      </c>
      <c r="G52">
        <f>1-SUM(E52:$E$56)/$E$57</f>
        <v>0.81010475276378746</v>
      </c>
      <c r="H52">
        <f>SUM(F52:F$56)/(A52*SUM(E52:E$56))</f>
        <v>1.7362383989208017</v>
      </c>
      <c r="I52" s="47">
        <f t="shared" si="3"/>
        <v>0.19025534293877991</v>
      </c>
      <c r="J52" s="47">
        <f t="shared" si="4"/>
        <v>4.7229202516809149E-2</v>
      </c>
    </row>
    <row r="53" spans="1:10" x14ac:dyDescent="0.3">
      <c r="A53" s="3">
        <v>150010</v>
      </c>
      <c r="B53" s="4">
        <f t="shared" si="5"/>
        <v>130500</v>
      </c>
      <c r="C53" s="4">
        <f t="shared" si="5"/>
        <v>83774</v>
      </c>
      <c r="D53" s="4">
        <f t="shared" si="5"/>
        <v>41825</v>
      </c>
      <c r="E53" s="4">
        <f t="shared" si="5"/>
        <v>1920856</v>
      </c>
      <c r="F53" s="4">
        <f t="shared" si="5"/>
        <v>329584295743</v>
      </c>
      <c r="G53">
        <f>1-SUM(E53:$E$56)/$E$57</f>
        <v>0.86904635841799405</v>
      </c>
      <c r="H53">
        <f>SUM(F53:F$56)/(A53*SUM(E53:E$56))</f>
        <v>1.6880041388943465</v>
      </c>
      <c r="I53" s="47">
        <f t="shared" si="3"/>
        <v>0.13332545490135647</v>
      </c>
      <c r="J53" s="47">
        <f t="shared" si="4"/>
        <v>1.779727371546852E-2</v>
      </c>
    </row>
    <row r="54" spans="1:10" x14ac:dyDescent="0.3">
      <c r="A54" s="3">
        <v>200010</v>
      </c>
      <c r="B54" s="4">
        <f t="shared" si="5"/>
        <v>44175</v>
      </c>
      <c r="C54" s="4">
        <f t="shared" si="5"/>
        <v>31328</v>
      </c>
      <c r="D54" s="4">
        <f t="shared" si="5"/>
        <v>14586</v>
      </c>
      <c r="E54" s="4">
        <f t="shared" si="5"/>
        <v>851014</v>
      </c>
      <c r="F54" s="4">
        <f t="shared" si="5"/>
        <v>188737539756</v>
      </c>
      <c r="G54">
        <f>1-SUM(E54:$E$56)/$E$57</f>
        <v>0.93403197829906248</v>
      </c>
      <c r="H54">
        <f>SUM(F54:F$56)/(A54*SUM(E54:E$56))</f>
        <v>1.6681030341393519</v>
      </c>
      <c r="I54" s="47">
        <f t="shared" si="3"/>
        <v>0.10586077314826783</v>
      </c>
      <c r="J54" s="47">
        <f t="shared" si="4"/>
        <v>8.8846951989038966E-3</v>
      </c>
    </row>
    <row r="55" spans="1:10" x14ac:dyDescent="0.3">
      <c r="A55" s="3">
        <v>250010</v>
      </c>
      <c r="B55" s="4">
        <f t="shared" si="5"/>
        <v>41075</v>
      </c>
      <c r="C55" s="4">
        <f t="shared" si="5"/>
        <v>31707</v>
      </c>
      <c r="D55" s="4">
        <f t="shared" si="5"/>
        <v>13893</v>
      </c>
      <c r="E55" s="4">
        <f t="shared" si="5"/>
        <v>912237</v>
      </c>
      <c r="F55" s="4">
        <f t="shared" si="5"/>
        <v>297326848516</v>
      </c>
      <c r="G55">
        <f>1-SUM(E55:$E$56)/$E$57</f>
        <v>0.96282313823893695</v>
      </c>
      <c r="H55">
        <f>SUM(F55:F$56)/(A55*SUM(E55:E$56))</f>
        <v>1.6809891306116829</v>
      </c>
      <c r="I55" s="47">
        <f t="shared" si="3"/>
        <v>9.5013686136387804E-2</v>
      </c>
      <c r="J55" s="47">
        <f t="shared" si="4"/>
        <v>4.1250245276172751E-3</v>
      </c>
    </row>
    <row r="56" spans="1:10" x14ac:dyDescent="0.3">
      <c r="A56" s="3">
        <v>500010</v>
      </c>
      <c r="B56" s="4">
        <f t="shared" si="5"/>
        <v>8924</v>
      </c>
      <c r="C56" s="4">
        <f t="shared" si="5"/>
        <v>7633</v>
      </c>
      <c r="D56" s="4">
        <f t="shared" si="5"/>
        <v>3105</v>
      </c>
      <c r="E56" s="4">
        <f t="shared" si="5"/>
        <v>186643</v>
      </c>
      <c r="F56" s="4">
        <f t="shared" si="5"/>
        <v>164492957499</v>
      </c>
      <c r="G56">
        <f>1-SUM(E56:$E$56)/$E$57</f>
        <v>0.99368556984414125</v>
      </c>
      <c r="H56">
        <f>SUM(F56:F$56)/(A56*SUM(E56:E$56))</f>
        <v>1.7626127709653818</v>
      </c>
      <c r="I56" s="47">
        <f t="shared" si="3"/>
        <v>0.10534549916150084</v>
      </c>
      <c r="J56" s="47">
        <f t="shared" si="4"/>
        <v>9.2154541022165316E-4</v>
      </c>
    </row>
    <row r="57" spans="1:10" x14ac:dyDescent="0.3">
      <c r="A57" s="3" t="s">
        <v>2</v>
      </c>
      <c r="B57" s="2">
        <f>B19+B38</f>
        <v>9996852</v>
      </c>
      <c r="C57" s="2">
        <f t="shared" si="5"/>
        <v>3841966</v>
      </c>
      <c r="D57" s="2">
        <f t="shared" si="5"/>
        <v>1742957</v>
      </c>
      <c r="E57" s="4">
        <f t="shared" si="5"/>
        <v>29558170</v>
      </c>
      <c r="F57" s="4">
        <f t="shared" si="5"/>
        <v>2488984423483</v>
      </c>
      <c r="G57">
        <f>F57/(6.55957*E57)</f>
        <v>12837.169191435256</v>
      </c>
      <c r="I57" s="47">
        <f t="shared" si="3"/>
        <v>0.52715628200257325</v>
      </c>
      <c r="J57" s="47">
        <f t="shared" si="4"/>
        <v>0.49566339864748055</v>
      </c>
    </row>
    <row r="58" spans="1:10" x14ac:dyDescent="0.3">
      <c r="B58" s="4">
        <f>B57-SUM(B44:B56)</f>
        <v>0</v>
      </c>
      <c r="C58" s="4">
        <f t="shared" ref="C58:F58" si="6">C57-SUM(C44:C56)</f>
        <v>0</v>
      </c>
      <c r="D58" s="4">
        <f t="shared" si="6"/>
        <v>0</v>
      </c>
      <c r="E58" s="4">
        <f t="shared" si="6"/>
        <v>0</v>
      </c>
      <c r="F58" s="4">
        <f t="shared" si="6"/>
        <v>0</v>
      </c>
      <c r="G58" s="2">
        <f>E57</f>
        <v>29558170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1" workbookViewId="0"/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195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15163</v>
      </c>
      <c r="C6" s="2">
        <v>5853</v>
      </c>
      <c r="D6" s="2">
        <v>1774</v>
      </c>
      <c r="E6" s="2">
        <v>42746</v>
      </c>
      <c r="F6" s="2">
        <v>849349304</v>
      </c>
    </row>
    <row r="7" spans="1:6" x14ac:dyDescent="0.3">
      <c r="A7">
        <v>40010</v>
      </c>
      <c r="B7" s="2">
        <v>828913</v>
      </c>
      <c r="C7" s="2">
        <v>2743</v>
      </c>
      <c r="D7" s="2">
        <v>484</v>
      </c>
      <c r="E7" s="2">
        <v>837259</v>
      </c>
      <c r="F7" s="2">
        <v>38440136637</v>
      </c>
    </row>
    <row r="8" spans="1:6" x14ac:dyDescent="0.3">
      <c r="A8">
        <v>50010</v>
      </c>
      <c r="B8" s="2">
        <v>955738</v>
      </c>
      <c r="C8" s="2">
        <v>201315</v>
      </c>
      <c r="D8" s="2">
        <v>531</v>
      </c>
      <c r="E8" s="2">
        <v>1164072</v>
      </c>
      <c r="F8" s="2">
        <v>64364165118</v>
      </c>
    </row>
    <row r="9" spans="1:6" x14ac:dyDescent="0.3">
      <c r="A9">
        <v>60010</v>
      </c>
      <c r="B9" s="2">
        <v>792043</v>
      </c>
      <c r="C9" s="2">
        <v>309529</v>
      </c>
      <c r="D9" s="2">
        <v>63510</v>
      </c>
      <c r="E9" s="2">
        <v>1330067</v>
      </c>
      <c r="F9" s="2">
        <v>86712250767</v>
      </c>
    </row>
    <row r="10" spans="1:6" x14ac:dyDescent="0.3">
      <c r="A10">
        <v>70010</v>
      </c>
      <c r="B10" s="2">
        <v>598161</v>
      </c>
      <c r="C10" s="2">
        <v>240642</v>
      </c>
      <c r="D10" s="2">
        <v>115373</v>
      </c>
      <c r="E10" s="2">
        <v>1364819</v>
      </c>
      <c r="F10" s="2">
        <v>102359276639</v>
      </c>
    </row>
    <row r="11" spans="1:6" x14ac:dyDescent="0.3">
      <c r="A11">
        <v>80010</v>
      </c>
      <c r="B11" s="2">
        <v>417043</v>
      </c>
      <c r="C11" s="2">
        <v>180967</v>
      </c>
      <c r="D11" s="2">
        <v>100088</v>
      </c>
      <c r="E11" s="2">
        <v>1201396</v>
      </c>
      <c r="F11" s="2">
        <v>101822086281</v>
      </c>
    </row>
    <row r="12" spans="1:6" x14ac:dyDescent="0.3">
      <c r="A12">
        <v>90010</v>
      </c>
      <c r="B12" s="2">
        <v>267543</v>
      </c>
      <c r="C12" s="2">
        <v>104365</v>
      </c>
      <c r="D12" s="2">
        <v>78599</v>
      </c>
      <c r="E12" s="2">
        <v>1022331</v>
      </c>
      <c r="F12" s="2">
        <v>97469525180</v>
      </c>
    </row>
    <row r="13" spans="1:6" x14ac:dyDescent="0.3">
      <c r="A13">
        <v>100010</v>
      </c>
      <c r="B13" s="2">
        <v>404102</v>
      </c>
      <c r="C13" s="2">
        <v>224092</v>
      </c>
      <c r="D13" s="2">
        <v>122683</v>
      </c>
      <c r="E13" s="2">
        <v>2359414</v>
      </c>
      <c r="F13" s="2">
        <v>264007884987</v>
      </c>
    </row>
    <row r="14" spans="1:6" x14ac:dyDescent="0.3">
      <c r="A14">
        <v>125010</v>
      </c>
      <c r="B14" s="2">
        <v>181985</v>
      </c>
      <c r="C14" s="2">
        <v>115741</v>
      </c>
      <c r="D14" s="2">
        <v>57959</v>
      </c>
      <c r="E14" s="2">
        <v>1693761</v>
      </c>
      <c r="F14" s="2">
        <v>231642890759</v>
      </c>
    </row>
    <row r="15" spans="1:6" x14ac:dyDescent="0.3">
      <c r="A15">
        <v>150010</v>
      </c>
      <c r="B15" s="2">
        <v>137518</v>
      </c>
      <c r="C15" s="2">
        <v>90296</v>
      </c>
      <c r="D15" s="2">
        <v>46283</v>
      </c>
      <c r="E15" s="2">
        <v>1949526</v>
      </c>
      <c r="F15" s="2">
        <v>334720307892</v>
      </c>
    </row>
    <row r="16" spans="1:6" x14ac:dyDescent="0.3">
      <c r="A16">
        <v>200010</v>
      </c>
      <c r="B16" s="2">
        <v>46532</v>
      </c>
      <c r="C16" s="2">
        <v>33648</v>
      </c>
      <c r="D16" s="2">
        <v>15752</v>
      </c>
      <c r="E16" s="2">
        <v>884623</v>
      </c>
      <c r="F16" s="2">
        <v>196224817950</v>
      </c>
    </row>
    <row r="17" spans="1:6" x14ac:dyDescent="0.3">
      <c r="A17">
        <v>250010</v>
      </c>
      <c r="B17" s="2">
        <v>42309</v>
      </c>
      <c r="C17" s="2">
        <v>33309</v>
      </c>
      <c r="D17" s="2">
        <v>14583</v>
      </c>
      <c r="E17" s="2">
        <v>947650</v>
      </c>
      <c r="F17" s="2">
        <v>308576418187</v>
      </c>
    </row>
    <row r="18" spans="1:6" x14ac:dyDescent="0.3">
      <c r="A18">
        <v>500010</v>
      </c>
      <c r="B18" s="2">
        <v>9385</v>
      </c>
      <c r="C18" s="2">
        <v>8052</v>
      </c>
      <c r="D18" s="2">
        <v>3233</v>
      </c>
      <c r="E18" s="2">
        <v>192473</v>
      </c>
      <c r="F18" s="2">
        <v>171112166704</v>
      </c>
    </row>
    <row r="19" spans="1:6" x14ac:dyDescent="0.3">
      <c r="A19" t="s">
        <v>2</v>
      </c>
      <c r="B19" s="2">
        <v>4696435</v>
      </c>
      <c r="C19" s="2">
        <v>1550552</v>
      </c>
      <c r="D19" s="2">
        <v>620852</v>
      </c>
      <c r="E19" s="2">
        <v>14990137</v>
      </c>
      <c r="F19" s="2">
        <v>1998301276405</v>
      </c>
    </row>
    <row r="20" spans="1:6" x14ac:dyDescent="0.3">
      <c r="B20" s="4">
        <f t="shared" ref="B20:F20" si="0">B19-SUM(B6:B18)</f>
        <v>0</v>
      </c>
      <c r="C20" s="4">
        <f t="shared" si="0"/>
        <v>0</v>
      </c>
      <c r="D20" s="4">
        <f t="shared" si="0"/>
        <v>0</v>
      </c>
      <c r="E20" s="4">
        <f t="shared" si="0"/>
        <v>0</v>
      </c>
      <c r="F20" s="4">
        <f t="shared" si="0"/>
        <v>0</v>
      </c>
    </row>
    <row r="21" spans="1:6" x14ac:dyDescent="0.3">
      <c r="B21" s="2"/>
      <c r="C21" s="2"/>
      <c r="D21" s="2"/>
      <c r="E21" s="2"/>
      <c r="F21" s="2"/>
    </row>
    <row r="22" spans="1:6" x14ac:dyDescent="0.3">
      <c r="A22" t="s">
        <v>5</v>
      </c>
    </row>
    <row r="23" spans="1:6" x14ac:dyDescent="0.3">
      <c r="B23" s="78"/>
      <c r="C23" s="78"/>
      <c r="E23" s="78" t="s">
        <v>2</v>
      </c>
      <c r="F23" s="78"/>
    </row>
    <row r="24" spans="1:6" x14ac:dyDescent="0.3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3">
      <c r="A25" s="3">
        <v>0</v>
      </c>
      <c r="B25" s="2">
        <v>5152594</v>
      </c>
      <c r="C25" s="2">
        <v>1691301</v>
      </c>
      <c r="D25" s="2">
        <v>635864</v>
      </c>
      <c r="E25" s="2">
        <v>9529465</v>
      </c>
      <c r="F25" s="2">
        <v>189582705812</v>
      </c>
    </row>
    <row r="26" spans="1:6" x14ac:dyDescent="0.3">
      <c r="A26" s="3">
        <v>40010</v>
      </c>
      <c r="B26" s="2">
        <v>365142</v>
      </c>
      <c r="C26" s="2">
        <v>528484</v>
      </c>
      <c r="D26" s="2">
        <v>182232</v>
      </c>
      <c r="E26" s="2">
        <v>1659260</v>
      </c>
      <c r="F26" s="2">
        <v>73695408812</v>
      </c>
    </row>
    <row r="27" spans="1:6" x14ac:dyDescent="0.3">
      <c r="A27" s="3">
        <v>50010</v>
      </c>
      <c r="B27" s="2">
        <v>19607</v>
      </c>
      <c r="C27" s="2">
        <v>147212</v>
      </c>
      <c r="D27" s="2">
        <v>204392</v>
      </c>
      <c r="E27" s="2">
        <v>1240484</v>
      </c>
      <c r="F27" s="2">
        <v>68374743311</v>
      </c>
    </row>
    <row r="28" spans="1:6" x14ac:dyDescent="0.3">
      <c r="A28" s="3">
        <v>60010</v>
      </c>
      <c r="B28" s="2">
        <v>3704</v>
      </c>
      <c r="C28" s="2">
        <v>37323</v>
      </c>
      <c r="D28" s="2">
        <v>125812</v>
      </c>
      <c r="E28" s="2">
        <v>1001318</v>
      </c>
      <c r="F28" s="2">
        <v>64537686004</v>
      </c>
    </row>
    <row r="29" spans="1:6" x14ac:dyDescent="0.3">
      <c r="A29" s="3">
        <v>70010</v>
      </c>
      <c r="B29" s="2">
        <v>2251</v>
      </c>
      <c r="C29" s="2">
        <v>11410</v>
      </c>
      <c r="D29" s="2">
        <v>30644</v>
      </c>
      <c r="E29" s="2">
        <v>617156</v>
      </c>
      <c r="F29" s="2">
        <v>46029818548</v>
      </c>
    </row>
    <row r="30" spans="1:6" x14ac:dyDescent="0.3">
      <c r="A30" s="3">
        <v>80010</v>
      </c>
      <c r="B30" s="2">
        <v>1769</v>
      </c>
      <c r="C30" s="2">
        <v>4608</v>
      </c>
      <c r="D30" s="2">
        <v>13580</v>
      </c>
      <c r="E30" s="2">
        <v>367461</v>
      </c>
      <c r="F30" s="2">
        <v>31061417381</v>
      </c>
    </row>
    <row r="31" spans="1:6" x14ac:dyDescent="0.3">
      <c r="A31" s="3">
        <v>90010</v>
      </c>
      <c r="B31" s="2">
        <v>776</v>
      </c>
      <c r="C31" s="2">
        <v>1540</v>
      </c>
      <c r="D31" s="2">
        <v>5666</v>
      </c>
      <c r="E31" s="2">
        <v>213461</v>
      </c>
      <c r="F31" s="2">
        <v>20228207792</v>
      </c>
    </row>
    <row r="32" spans="1:6" x14ac:dyDescent="0.3">
      <c r="A32" s="3">
        <v>100010</v>
      </c>
      <c r="B32" s="2">
        <v>570</v>
      </c>
      <c r="C32" s="2">
        <v>2399</v>
      </c>
      <c r="D32" s="2">
        <v>2562</v>
      </c>
      <c r="E32" s="2">
        <v>283264</v>
      </c>
      <c r="F32" s="2">
        <v>31169043322</v>
      </c>
    </row>
    <row r="33" spans="1:10" x14ac:dyDescent="0.3">
      <c r="A33" s="3">
        <v>125010</v>
      </c>
      <c r="B33" s="2">
        <v>384</v>
      </c>
      <c r="C33" s="2">
        <v>178</v>
      </c>
      <c r="D33" s="2">
        <v>670</v>
      </c>
      <c r="E33" s="2">
        <v>84942</v>
      </c>
      <c r="F33" s="2">
        <v>11489146360</v>
      </c>
    </row>
    <row r="34" spans="1:10" x14ac:dyDescent="0.3">
      <c r="A34" s="3">
        <v>150010</v>
      </c>
      <c r="B34" s="2">
        <v>338</v>
      </c>
      <c r="C34" s="2">
        <v>130</v>
      </c>
      <c r="D34" s="2">
        <v>338</v>
      </c>
      <c r="E34" s="2">
        <v>37704</v>
      </c>
      <c r="F34" s="2">
        <v>6344015300</v>
      </c>
    </row>
    <row r="35" spans="1:10" x14ac:dyDescent="0.3">
      <c r="A35" s="3">
        <v>200010</v>
      </c>
      <c r="B35" s="2">
        <v>104</v>
      </c>
      <c r="C35" s="2">
        <v>48</v>
      </c>
      <c r="D35" s="2">
        <v>77</v>
      </c>
      <c r="E35" s="2">
        <v>8840</v>
      </c>
      <c r="F35" s="2">
        <v>1943114531</v>
      </c>
    </row>
    <row r="36" spans="1:10" x14ac:dyDescent="0.3">
      <c r="A36" s="3">
        <v>250010</v>
      </c>
      <c r="B36" s="2">
        <v>88</v>
      </c>
      <c r="C36" s="2">
        <v>28</v>
      </c>
      <c r="D36" s="2">
        <v>71</v>
      </c>
      <c r="E36" s="2">
        <v>4515</v>
      </c>
      <c r="F36" s="2">
        <v>1388013223</v>
      </c>
    </row>
    <row r="37" spans="1:10" x14ac:dyDescent="0.3">
      <c r="A37" s="3">
        <v>500010</v>
      </c>
      <c r="B37" s="2">
        <v>4</v>
      </c>
      <c r="C37" s="2">
        <v>1</v>
      </c>
      <c r="D37" s="2">
        <v>5</v>
      </c>
      <c r="E37" s="2">
        <v>229</v>
      </c>
      <c r="F37" s="2">
        <v>154783721</v>
      </c>
    </row>
    <row r="38" spans="1:10" x14ac:dyDescent="0.3">
      <c r="A38" s="3" t="s">
        <v>2</v>
      </c>
      <c r="B38" s="2">
        <v>5547331</v>
      </c>
      <c r="C38" s="2">
        <v>2424662</v>
      </c>
      <c r="D38" s="2">
        <v>1201913</v>
      </c>
      <c r="E38" s="2">
        <v>15048099</v>
      </c>
      <c r="F38" s="2">
        <v>545998104117</v>
      </c>
    </row>
    <row r="39" spans="1:10" x14ac:dyDescent="0.3">
      <c r="B39" s="4">
        <f t="shared" ref="B39:F39" si="1">B38-SUM(B25:B37)</f>
        <v>0</v>
      </c>
      <c r="C39" s="4">
        <f t="shared" si="1"/>
        <v>0</v>
      </c>
      <c r="D39" s="4">
        <f t="shared" si="1"/>
        <v>0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5167757</v>
      </c>
      <c r="C44" s="4">
        <f t="shared" ref="C44:F44" si="2">C6+C25</f>
        <v>1697154</v>
      </c>
      <c r="D44" s="4">
        <f t="shared" si="2"/>
        <v>637638</v>
      </c>
      <c r="E44" s="4">
        <f t="shared" si="2"/>
        <v>9572211</v>
      </c>
      <c r="F44" s="4">
        <f t="shared" si="2"/>
        <v>190432055116</v>
      </c>
      <c r="G44">
        <f>1-SUM(E44:$E$56)/$E$57</f>
        <v>0</v>
      </c>
      <c r="I44" s="47">
        <f t="shared" ref="I44:I57" si="3">(B44+C44+D44)/E44</f>
        <v>0.78378433154053961</v>
      </c>
      <c r="J44" s="47">
        <f t="shared" ref="J44:J57" si="4">E25/E44</f>
        <v>0.9955343650489944</v>
      </c>
    </row>
    <row r="45" spans="1:10" x14ac:dyDescent="0.3">
      <c r="A45" s="3">
        <v>40010</v>
      </c>
      <c r="B45" s="4">
        <f t="shared" ref="B45:F57" si="5">B7+B26</f>
        <v>1194055</v>
      </c>
      <c r="C45" s="4">
        <f t="shared" si="5"/>
        <v>531227</v>
      </c>
      <c r="D45" s="4">
        <f t="shared" si="5"/>
        <v>182716</v>
      </c>
      <c r="E45" s="4">
        <f t="shared" si="5"/>
        <v>2496519</v>
      </c>
      <c r="F45" s="4">
        <f t="shared" si="5"/>
        <v>112135545449</v>
      </c>
      <c r="G45">
        <f>1-SUM(E45:$E$56)/$E$57</f>
        <v>0.31866754758834703</v>
      </c>
      <c r="H45">
        <f>SUM(F45:F$56)/(A45*SUM(E45:E$56))</f>
        <v>2.8746165970853967</v>
      </c>
      <c r="I45" s="47">
        <f t="shared" si="3"/>
        <v>0.76426336030288577</v>
      </c>
      <c r="J45" s="47">
        <f t="shared" si="4"/>
        <v>0.66462943001835761</v>
      </c>
    </row>
    <row r="46" spans="1:10" x14ac:dyDescent="0.3">
      <c r="A46" s="3">
        <v>50010</v>
      </c>
      <c r="B46" s="4">
        <f t="shared" si="5"/>
        <v>975345</v>
      </c>
      <c r="C46" s="4">
        <f t="shared" si="5"/>
        <v>348527</v>
      </c>
      <c r="D46" s="4">
        <f t="shared" si="5"/>
        <v>204923</v>
      </c>
      <c r="E46" s="4">
        <f t="shared" si="5"/>
        <v>2404556</v>
      </c>
      <c r="F46" s="4">
        <f t="shared" si="5"/>
        <v>132738908429</v>
      </c>
      <c r="G46">
        <f>1-SUM(E46:$E$56)/$E$57</f>
        <v>0.4017789193746264</v>
      </c>
      <c r="H46">
        <f>SUM(F46:F$56)/(A46*SUM(E46:E$56))</f>
        <v>2.4945410555552829</v>
      </c>
      <c r="I46" s="47">
        <f t="shared" si="3"/>
        <v>0.63579097346869862</v>
      </c>
      <c r="J46" s="47">
        <f t="shared" si="4"/>
        <v>0.51588900404066285</v>
      </c>
    </row>
    <row r="47" spans="1:10" x14ac:dyDescent="0.3">
      <c r="A47" s="3">
        <v>60010</v>
      </c>
      <c r="B47" s="4">
        <f t="shared" si="5"/>
        <v>795747</v>
      </c>
      <c r="C47" s="4">
        <f t="shared" si="5"/>
        <v>346852</v>
      </c>
      <c r="D47" s="4">
        <f t="shared" si="5"/>
        <v>189322</v>
      </c>
      <c r="E47" s="4">
        <f t="shared" si="5"/>
        <v>2331385</v>
      </c>
      <c r="F47" s="4">
        <f t="shared" si="5"/>
        <v>151249936771</v>
      </c>
      <c r="G47">
        <f>1-SUM(E47:$E$56)/$E$57</f>
        <v>0.4818287598512776</v>
      </c>
      <c r="H47">
        <f>SUM(F47:F$56)/(A47*SUM(E47:E$56))</f>
        <v>2.2578950690380757</v>
      </c>
      <c r="I47" s="47">
        <f t="shared" si="3"/>
        <v>0.57130032148272381</v>
      </c>
      <c r="J47" s="47">
        <f t="shared" si="4"/>
        <v>0.42949491396744854</v>
      </c>
    </row>
    <row r="48" spans="1:10" x14ac:dyDescent="0.3">
      <c r="A48" s="3">
        <v>70010</v>
      </c>
      <c r="B48" s="4">
        <f t="shared" si="5"/>
        <v>600412</v>
      </c>
      <c r="C48" s="4">
        <f t="shared" si="5"/>
        <v>252052</v>
      </c>
      <c r="D48" s="4">
        <f t="shared" si="5"/>
        <v>146017</v>
      </c>
      <c r="E48" s="4">
        <f t="shared" si="5"/>
        <v>1981975</v>
      </c>
      <c r="F48" s="4">
        <f t="shared" si="5"/>
        <v>148389095187</v>
      </c>
      <c r="G48">
        <f>1-SUM(E48:$E$56)/$E$57</f>
        <v>0.55944267166687145</v>
      </c>
      <c r="H48">
        <f>SUM(F48:F$56)/(A48*SUM(E48:E$56))</f>
        <v>2.1130935910133735</v>
      </c>
      <c r="I48" s="47">
        <f t="shared" si="3"/>
        <v>0.50378082468245056</v>
      </c>
      <c r="J48" s="47">
        <f t="shared" si="4"/>
        <v>0.31138435146760174</v>
      </c>
    </row>
    <row r="49" spans="1:10" x14ac:dyDescent="0.3">
      <c r="A49" s="3">
        <v>80010</v>
      </c>
      <c r="B49" s="4">
        <f t="shared" si="5"/>
        <v>418812</v>
      </c>
      <c r="C49" s="4">
        <f t="shared" si="5"/>
        <v>185575</v>
      </c>
      <c r="D49" s="4">
        <f t="shared" si="5"/>
        <v>113668</v>
      </c>
      <c r="E49" s="4">
        <f t="shared" si="5"/>
        <v>1568857</v>
      </c>
      <c r="F49" s="4">
        <f t="shared" si="5"/>
        <v>132883503662</v>
      </c>
      <c r="G49">
        <f>1-SUM(E49:$E$56)/$E$57</f>
        <v>0.62542440907648511</v>
      </c>
      <c r="H49">
        <f>SUM(F49:F$56)/(A49*SUM(E49:E$56))</f>
        <v>2.0098578274355825</v>
      </c>
      <c r="I49" s="47">
        <f t="shared" si="3"/>
        <v>0.45769308483819748</v>
      </c>
      <c r="J49" s="47">
        <f t="shared" si="4"/>
        <v>0.23422211202168203</v>
      </c>
    </row>
    <row r="50" spans="1:10" x14ac:dyDescent="0.3">
      <c r="A50" s="3">
        <v>90010</v>
      </c>
      <c r="B50" s="4">
        <f t="shared" si="5"/>
        <v>268319</v>
      </c>
      <c r="C50" s="4">
        <f t="shared" si="5"/>
        <v>105905</v>
      </c>
      <c r="D50" s="4">
        <f t="shared" si="5"/>
        <v>84265</v>
      </c>
      <c r="E50" s="4">
        <f t="shared" si="5"/>
        <v>1235792</v>
      </c>
      <c r="F50" s="4">
        <f t="shared" si="5"/>
        <v>117697732972</v>
      </c>
      <c r="G50">
        <f>1-SUM(E50:$E$56)/$E$57</f>
        <v>0.67765307523384521</v>
      </c>
      <c r="H50">
        <f>SUM(F50:F$56)/(A50*SUM(E50:E$56))</f>
        <v>1.9235662792968078</v>
      </c>
      <c r="I50" s="47">
        <f t="shared" si="3"/>
        <v>0.37100822792185095</v>
      </c>
      <c r="J50" s="47">
        <f t="shared" si="4"/>
        <v>0.17273214262594352</v>
      </c>
    </row>
    <row r="51" spans="1:10" x14ac:dyDescent="0.3">
      <c r="A51" s="3">
        <v>100010</v>
      </c>
      <c r="B51" s="4">
        <f t="shared" si="5"/>
        <v>404672</v>
      </c>
      <c r="C51" s="4">
        <f t="shared" si="5"/>
        <v>226491</v>
      </c>
      <c r="D51" s="4">
        <f t="shared" si="5"/>
        <v>125245</v>
      </c>
      <c r="E51" s="4">
        <f t="shared" si="5"/>
        <v>2642678</v>
      </c>
      <c r="F51" s="4">
        <f t="shared" si="5"/>
        <v>295176928309</v>
      </c>
      <c r="G51">
        <f>1-SUM(E51:$E$56)/$E$57</f>
        <v>0.71879370679423382</v>
      </c>
      <c r="H51">
        <f>SUM(F51:F$56)/(A51*SUM(E51:E$56))</f>
        <v>1.845184832310151</v>
      </c>
      <c r="I51" s="47">
        <f t="shared" si="3"/>
        <v>0.28622783403804775</v>
      </c>
      <c r="J51" s="47">
        <f t="shared" si="4"/>
        <v>0.10718823859736222</v>
      </c>
    </row>
    <row r="52" spans="1:10" x14ac:dyDescent="0.3">
      <c r="A52" s="3">
        <v>125010</v>
      </c>
      <c r="B52" s="4">
        <f t="shared" si="5"/>
        <v>182369</v>
      </c>
      <c r="C52" s="4">
        <f t="shared" si="5"/>
        <v>115919</v>
      </c>
      <c r="D52" s="4">
        <f t="shared" si="5"/>
        <v>58629</v>
      </c>
      <c r="E52" s="4">
        <f t="shared" si="5"/>
        <v>1778703</v>
      </c>
      <c r="F52" s="4">
        <f t="shared" si="5"/>
        <v>243132037119</v>
      </c>
      <c r="G52">
        <f>1-SUM(E52:$E$56)/$E$57</f>
        <v>0.8067708436673845</v>
      </c>
      <c r="H52">
        <f>SUM(F52:F$56)/(A52*SUM(E52:E$56))</f>
        <v>1.7414711842787209</v>
      </c>
      <c r="I52" s="47">
        <f t="shared" si="3"/>
        <v>0.20066138079263374</v>
      </c>
      <c r="J52" s="47">
        <f t="shared" si="4"/>
        <v>4.7755021496000173E-2</v>
      </c>
    </row>
    <row r="53" spans="1:10" x14ac:dyDescent="0.3">
      <c r="A53" s="3">
        <v>150010</v>
      </c>
      <c r="B53" s="4">
        <f t="shared" si="5"/>
        <v>137856</v>
      </c>
      <c r="C53" s="4">
        <f t="shared" si="5"/>
        <v>90426</v>
      </c>
      <c r="D53" s="4">
        <f t="shared" si="5"/>
        <v>46621</v>
      </c>
      <c r="E53" s="4">
        <f t="shared" si="5"/>
        <v>1987230</v>
      </c>
      <c r="F53" s="4">
        <f t="shared" si="5"/>
        <v>341064323192</v>
      </c>
      <c r="G53">
        <f>1-SUM(E53:$E$56)/$E$57</f>
        <v>0.86598547264892656</v>
      </c>
      <c r="H53">
        <f>SUM(F53:F$56)/(A53*SUM(E53:E$56))</f>
        <v>1.68986113921032</v>
      </c>
      <c r="I53" s="47">
        <f t="shared" si="3"/>
        <v>0.13833476749042636</v>
      </c>
      <c r="J53" s="47">
        <f t="shared" si="4"/>
        <v>1.8973143521384038E-2</v>
      </c>
    </row>
    <row r="54" spans="1:10" x14ac:dyDescent="0.3">
      <c r="A54" s="3">
        <v>200010</v>
      </c>
      <c r="B54" s="4">
        <f t="shared" si="5"/>
        <v>46636</v>
      </c>
      <c r="C54" s="4">
        <f t="shared" si="5"/>
        <v>33696</v>
      </c>
      <c r="D54" s="4">
        <f t="shared" si="5"/>
        <v>15829</v>
      </c>
      <c r="E54" s="4">
        <f t="shared" si="5"/>
        <v>893463</v>
      </c>
      <c r="F54" s="4">
        <f t="shared" si="5"/>
        <v>198167932481</v>
      </c>
      <c r="G54">
        <f>1-SUM(E54:$E$56)/$E$57</f>
        <v>0.93214215375363585</v>
      </c>
      <c r="H54">
        <f>SUM(F54:F$56)/(A54*SUM(E54:E$56))</f>
        <v>1.6664753647561914</v>
      </c>
      <c r="I54" s="47">
        <f t="shared" si="3"/>
        <v>0.10762728842716486</v>
      </c>
      <c r="J54" s="47">
        <f t="shared" si="4"/>
        <v>9.8940862688214285E-3</v>
      </c>
    </row>
    <row r="55" spans="1:10" x14ac:dyDescent="0.3">
      <c r="A55" s="3">
        <v>250010</v>
      </c>
      <c r="B55" s="4">
        <f t="shared" si="5"/>
        <v>42397</v>
      </c>
      <c r="C55" s="4">
        <f t="shared" si="5"/>
        <v>33337</v>
      </c>
      <c r="D55" s="4">
        <f t="shared" si="5"/>
        <v>14654</v>
      </c>
      <c r="E55" s="4">
        <f t="shared" si="5"/>
        <v>952165</v>
      </c>
      <c r="F55" s="4">
        <f t="shared" si="5"/>
        <v>309964431410</v>
      </c>
      <c r="G55">
        <f>1-SUM(E55:$E$56)/$E$57</f>
        <v>0.96188634379195903</v>
      </c>
      <c r="H55">
        <f>SUM(F55:F$56)/(A55*SUM(E55:E$56))</f>
        <v>1.6812857156321774</v>
      </c>
      <c r="I55" s="47">
        <f t="shared" si="3"/>
        <v>9.4928925133774086E-2</v>
      </c>
      <c r="J55" s="47">
        <f t="shared" si="4"/>
        <v>4.74182520886611E-3</v>
      </c>
    </row>
    <row r="56" spans="1:10" x14ac:dyDescent="0.3">
      <c r="A56" s="3">
        <v>500010</v>
      </c>
      <c r="B56" s="4">
        <f t="shared" si="5"/>
        <v>9389</v>
      </c>
      <c r="C56" s="4">
        <f t="shared" si="5"/>
        <v>8053</v>
      </c>
      <c r="D56" s="4">
        <f t="shared" si="5"/>
        <v>3238</v>
      </c>
      <c r="E56" s="4">
        <f t="shared" si="5"/>
        <v>192702</v>
      </c>
      <c r="F56" s="4">
        <f t="shared" si="5"/>
        <v>171266950425</v>
      </c>
      <c r="G56">
        <f>1-SUM(E56:$E$56)/$E$57</f>
        <v>0.99358477641629817</v>
      </c>
      <c r="H56">
        <f>SUM(F56:F$56)/(A56*SUM(E56:E$56))</f>
        <v>1.7774960836368787</v>
      </c>
      <c r="I56" s="47">
        <f t="shared" si="3"/>
        <v>0.10731595935693454</v>
      </c>
      <c r="J56" s="47">
        <f t="shared" si="4"/>
        <v>1.1883633797262095E-3</v>
      </c>
    </row>
    <row r="57" spans="1:10" x14ac:dyDescent="0.3">
      <c r="A57" s="3" t="s">
        <v>2</v>
      </c>
      <c r="B57" s="2">
        <f>B19+B38</f>
        <v>10243766</v>
      </c>
      <c r="C57" s="2">
        <f t="shared" si="5"/>
        <v>3975214</v>
      </c>
      <c r="D57" s="2">
        <f t="shared" si="5"/>
        <v>1822765</v>
      </c>
      <c r="E57" s="4">
        <f t="shared" si="5"/>
        <v>30038236</v>
      </c>
      <c r="F57" s="4">
        <f t="shared" si="5"/>
        <v>2544299380522</v>
      </c>
      <c r="G57">
        <f>F57/(6.55957*E57)</f>
        <v>12912.74028602515</v>
      </c>
      <c r="I57" s="47">
        <f t="shared" si="3"/>
        <v>0.5340441762292566</v>
      </c>
      <c r="J57" s="47">
        <f t="shared" si="4"/>
        <v>0.50096480365890994</v>
      </c>
    </row>
    <row r="58" spans="1:10" x14ac:dyDescent="0.3">
      <c r="B58" s="4">
        <f>B57-SUM(B44:B56)</f>
        <v>0</v>
      </c>
      <c r="C58" s="4">
        <f t="shared" ref="C58:F58" si="6">C57-SUM(C44:C56)</f>
        <v>0</v>
      </c>
      <c r="D58" s="4">
        <f t="shared" si="6"/>
        <v>0</v>
      </c>
      <c r="E58" s="4">
        <f t="shared" si="6"/>
        <v>0</v>
      </c>
      <c r="F58" s="4">
        <f t="shared" si="6"/>
        <v>0</v>
      </c>
      <c r="G58" s="2">
        <f>E57</f>
        <v>30038236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12" workbookViewId="0"/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6" x14ac:dyDescent="0.3">
      <c r="A1" t="s">
        <v>191</v>
      </c>
    </row>
    <row r="3" spans="1:6" x14ac:dyDescent="0.3">
      <c r="A3" t="s">
        <v>0</v>
      </c>
    </row>
    <row r="4" spans="1:6" x14ac:dyDescent="0.3">
      <c r="B4" s="78"/>
      <c r="C4" s="78"/>
      <c r="E4" s="78" t="s">
        <v>2</v>
      </c>
      <c r="F4" s="78"/>
    </row>
    <row r="5" spans="1:6" x14ac:dyDescent="0.3">
      <c r="B5" s="1" t="s">
        <v>53</v>
      </c>
      <c r="C5" s="1" t="s">
        <v>54</v>
      </c>
      <c r="D5" t="s">
        <v>55</v>
      </c>
      <c r="E5" t="s">
        <v>3</v>
      </c>
      <c r="F5" t="s">
        <v>4</v>
      </c>
    </row>
    <row r="6" spans="1:6" x14ac:dyDescent="0.3">
      <c r="A6">
        <v>0</v>
      </c>
      <c r="B6" s="2">
        <v>19356</v>
      </c>
      <c r="C6" s="2">
        <v>10746</v>
      </c>
      <c r="D6" s="2">
        <v>1605</v>
      </c>
      <c r="E6" s="2">
        <v>53014</v>
      </c>
      <c r="F6" s="2">
        <v>1088222073</v>
      </c>
    </row>
    <row r="7" spans="1:6" x14ac:dyDescent="0.3">
      <c r="A7">
        <v>40010</v>
      </c>
      <c r="B7" s="2">
        <v>766860</v>
      </c>
      <c r="C7" s="2">
        <v>5378</v>
      </c>
      <c r="D7" s="2">
        <v>459</v>
      </c>
      <c r="E7" s="2">
        <v>778224</v>
      </c>
      <c r="F7" s="2">
        <v>36015932300</v>
      </c>
    </row>
    <row r="8" spans="1:6" x14ac:dyDescent="0.3">
      <c r="A8">
        <v>50010</v>
      </c>
      <c r="B8" s="2">
        <v>966748</v>
      </c>
      <c r="C8" s="2">
        <v>232393</v>
      </c>
      <c r="D8" s="2">
        <v>421</v>
      </c>
      <c r="E8" s="2">
        <v>1206933</v>
      </c>
      <c r="F8" s="2">
        <v>66863734711</v>
      </c>
    </row>
    <row r="9" spans="1:6" x14ac:dyDescent="0.3">
      <c r="A9">
        <v>60010</v>
      </c>
      <c r="B9" s="2">
        <v>809891</v>
      </c>
      <c r="C9" s="2">
        <v>424510</v>
      </c>
      <c r="D9" s="2">
        <v>28841</v>
      </c>
      <c r="E9" s="2">
        <v>1390362</v>
      </c>
      <c r="F9" s="2">
        <v>90544751968</v>
      </c>
    </row>
    <row r="10" spans="1:6" x14ac:dyDescent="0.3">
      <c r="A10">
        <v>70010</v>
      </c>
      <c r="B10" s="2">
        <v>617001</v>
      </c>
      <c r="C10" s="2">
        <v>347593</v>
      </c>
      <c r="D10" s="2">
        <v>69856</v>
      </c>
      <c r="E10" s="2">
        <v>1405518</v>
      </c>
      <c r="F10" s="2">
        <v>105352332745</v>
      </c>
    </row>
    <row r="11" spans="1:6" x14ac:dyDescent="0.3">
      <c r="A11">
        <v>80010</v>
      </c>
      <c r="B11" s="2">
        <v>448967</v>
      </c>
      <c r="C11" s="2">
        <v>270079</v>
      </c>
      <c r="D11" s="2">
        <v>62118</v>
      </c>
      <c r="E11" s="2">
        <v>1263607</v>
      </c>
      <c r="F11" s="2">
        <v>107158612849</v>
      </c>
    </row>
    <row r="12" spans="1:6" x14ac:dyDescent="0.3">
      <c r="A12">
        <v>90010</v>
      </c>
      <c r="B12" s="2">
        <v>290275</v>
      </c>
      <c r="C12" s="2">
        <v>164432</v>
      </c>
      <c r="D12" s="2">
        <v>51554</v>
      </c>
      <c r="E12" s="2">
        <v>1018520</v>
      </c>
      <c r="F12" s="2">
        <v>96971776863</v>
      </c>
    </row>
    <row r="13" spans="1:6" x14ac:dyDescent="0.3">
      <c r="A13">
        <v>100010</v>
      </c>
      <c r="B13" s="2">
        <v>439494</v>
      </c>
      <c r="C13" s="2">
        <v>319630</v>
      </c>
      <c r="D13" s="2">
        <v>86342</v>
      </c>
      <c r="E13" s="2">
        <v>2424401</v>
      </c>
      <c r="F13" s="2">
        <v>271214959139</v>
      </c>
    </row>
    <row r="14" spans="1:6" x14ac:dyDescent="0.3">
      <c r="A14">
        <v>125010</v>
      </c>
      <c r="B14" s="2">
        <v>199849</v>
      </c>
      <c r="C14" s="2">
        <v>161849</v>
      </c>
      <c r="D14" s="2">
        <v>41769</v>
      </c>
      <c r="E14" s="2">
        <v>1744859</v>
      </c>
      <c r="F14" s="2">
        <v>238688475957</v>
      </c>
    </row>
    <row r="15" spans="1:6" x14ac:dyDescent="0.3">
      <c r="A15">
        <v>150010</v>
      </c>
      <c r="B15" s="2">
        <v>149323</v>
      </c>
      <c r="C15" s="2">
        <v>126810</v>
      </c>
      <c r="D15" s="2">
        <v>34805</v>
      </c>
      <c r="E15" s="2">
        <v>2034867</v>
      </c>
      <c r="F15" s="2">
        <v>349662403793</v>
      </c>
    </row>
    <row r="16" spans="1:6" x14ac:dyDescent="0.3">
      <c r="A16">
        <v>200010</v>
      </c>
      <c r="B16" s="2">
        <v>50496</v>
      </c>
      <c r="C16" s="2">
        <v>46932</v>
      </c>
      <c r="D16" s="2">
        <v>11981</v>
      </c>
      <c r="E16" s="2">
        <v>939611</v>
      </c>
      <c r="F16" s="2">
        <v>208491160715</v>
      </c>
    </row>
    <row r="17" spans="1:7" x14ac:dyDescent="0.3">
      <c r="A17">
        <v>250010</v>
      </c>
      <c r="B17" s="2">
        <v>45935</v>
      </c>
      <c r="C17" s="2">
        <v>45444</v>
      </c>
      <c r="D17" s="2">
        <v>11749</v>
      </c>
      <c r="E17" s="2">
        <v>1010150</v>
      </c>
      <c r="F17" s="2">
        <v>328914964363</v>
      </c>
    </row>
    <row r="18" spans="1:7" x14ac:dyDescent="0.3">
      <c r="A18">
        <v>500010</v>
      </c>
      <c r="B18" s="2">
        <v>9555</v>
      </c>
      <c r="C18" s="2">
        <v>10548</v>
      </c>
      <c r="D18" s="2">
        <v>2391</v>
      </c>
      <c r="E18" s="2">
        <v>204178</v>
      </c>
      <c r="F18" s="2">
        <v>180186357820</v>
      </c>
    </row>
    <row r="19" spans="1:7" x14ac:dyDescent="0.3">
      <c r="A19" t="s">
        <v>2</v>
      </c>
      <c r="B19" s="2">
        <v>4813754</v>
      </c>
      <c r="C19" s="2">
        <v>2166344</v>
      </c>
      <c r="D19" s="2">
        <v>403891</v>
      </c>
      <c r="E19" s="2">
        <v>15474244</v>
      </c>
      <c r="F19" s="2">
        <v>2081153685196</v>
      </c>
      <c r="G19" s="2"/>
    </row>
    <row r="20" spans="1:7" x14ac:dyDescent="0.3">
      <c r="B20" s="4">
        <f>B19-SUM(B6:B18)</f>
        <v>4</v>
      </c>
      <c r="C20" s="4">
        <f t="shared" ref="C20:F20" si="0">C19-SUM(C6:C18)</f>
        <v>0</v>
      </c>
      <c r="D20" s="4">
        <f t="shared" si="0"/>
        <v>0</v>
      </c>
      <c r="E20" s="4">
        <f t="shared" si="0"/>
        <v>0</v>
      </c>
      <c r="F20" s="4">
        <f t="shared" si="0"/>
        <v>-100</v>
      </c>
    </row>
    <row r="21" spans="1:7" x14ac:dyDescent="0.3">
      <c r="B21" s="2"/>
      <c r="C21" s="2"/>
      <c r="D21" s="2"/>
      <c r="E21" s="2"/>
      <c r="F21" s="2"/>
    </row>
    <row r="22" spans="1:7" x14ac:dyDescent="0.3">
      <c r="A22" t="s">
        <v>5</v>
      </c>
    </row>
    <row r="23" spans="1:7" x14ac:dyDescent="0.3">
      <c r="B23" s="78"/>
      <c r="C23" s="78"/>
      <c r="E23" s="78" t="s">
        <v>2</v>
      </c>
      <c r="F23" s="78"/>
    </row>
    <row r="24" spans="1:7" x14ac:dyDescent="0.3">
      <c r="B24" s="22" t="s">
        <v>53</v>
      </c>
      <c r="C24" s="22" t="s">
        <v>54</v>
      </c>
      <c r="D24" t="s">
        <v>55</v>
      </c>
      <c r="E24" t="s">
        <v>3</v>
      </c>
      <c r="F24" t="s">
        <v>4</v>
      </c>
    </row>
    <row r="25" spans="1:7" x14ac:dyDescent="0.3">
      <c r="A25" s="3">
        <v>0</v>
      </c>
      <c r="B25" s="2">
        <v>5208812</v>
      </c>
      <c r="C25" s="2">
        <v>2115183</v>
      </c>
      <c r="D25" s="2">
        <v>439791</v>
      </c>
      <c r="E25" s="2">
        <v>9600826</v>
      </c>
      <c r="F25" s="2">
        <v>189609094539</v>
      </c>
    </row>
    <row r="26" spans="1:7" x14ac:dyDescent="0.3">
      <c r="A26" s="3">
        <v>40010</v>
      </c>
      <c r="B26" s="2">
        <v>463691</v>
      </c>
      <c r="C26" s="2">
        <v>716417</v>
      </c>
      <c r="D26" s="2">
        <v>92065</v>
      </c>
      <c r="E26" s="2">
        <v>1773985</v>
      </c>
      <c r="F26" s="2">
        <v>78772180870</v>
      </c>
    </row>
    <row r="27" spans="1:7" x14ac:dyDescent="0.3">
      <c r="A27" s="3">
        <v>50010</v>
      </c>
      <c r="B27" s="2">
        <v>23678</v>
      </c>
      <c r="C27" s="2">
        <v>251276</v>
      </c>
      <c r="D27" s="2">
        <v>107069</v>
      </c>
      <c r="E27" s="2">
        <v>1152317</v>
      </c>
      <c r="F27" s="2">
        <v>63441454025</v>
      </c>
    </row>
    <row r="28" spans="1:7" x14ac:dyDescent="0.3">
      <c r="A28" s="3">
        <v>60010</v>
      </c>
      <c r="B28" s="2">
        <v>4474</v>
      </c>
      <c r="C28" s="2">
        <v>69897</v>
      </c>
      <c r="D28" s="2">
        <v>85135</v>
      </c>
      <c r="E28" s="2">
        <v>956357</v>
      </c>
      <c r="F28" s="2">
        <v>61707212910</v>
      </c>
    </row>
    <row r="29" spans="1:7" x14ac:dyDescent="0.3">
      <c r="A29" s="3">
        <v>70010</v>
      </c>
      <c r="B29" s="2">
        <v>2438</v>
      </c>
      <c r="C29" s="2">
        <v>23286</v>
      </c>
      <c r="D29" s="2">
        <v>17181</v>
      </c>
      <c r="E29" s="2">
        <v>596019</v>
      </c>
      <c r="F29" s="2">
        <v>44515352569</v>
      </c>
    </row>
    <row r="30" spans="1:7" x14ac:dyDescent="0.3">
      <c r="A30" s="3">
        <v>80010</v>
      </c>
      <c r="B30" s="2">
        <v>1927</v>
      </c>
      <c r="C30" s="2">
        <v>7684</v>
      </c>
      <c r="D30" s="2">
        <v>8011</v>
      </c>
      <c r="E30" s="2">
        <v>373227</v>
      </c>
      <c r="F30" s="2">
        <v>31572261345</v>
      </c>
    </row>
    <row r="31" spans="1:7" x14ac:dyDescent="0.3">
      <c r="A31" s="3">
        <v>90010</v>
      </c>
      <c r="B31" s="2">
        <v>949</v>
      </c>
      <c r="C31" s="2">
        <v>2469</v>
      </c>
      <c r="D31" s="2">
        <v>4265</v>
      </c>
      <c r="E31" s="2">
        <v>210922</v>
      </c>
      <c r="F31" s="2">
        <v>19977361314</v>
      </c>
    </row>
    <row r="32" spans="1:7" x14ac:dyDescent="0.3">
      <c r="A32" s="3">
        <v>100010</v>
      </c>
      <c r="B32" s="2">
        <v>1291</v>
      </c>
      <c r="C32" s="2">
        <v>5310</v>
      </c>
      <c r="D32" s="2">
        <v>2030</v>
      </c>
      <c r="E32" s="2">
        <v>293488</v>
      </c>
      <c r="F32" s="2">
        <v>32353422986</v>
      </c>
    </row>
    <row r="33" spans="1:10" x14ac:dyDescent="0.3">
      <c r="A33" s="3">
        <v>125010</v>
      </c>
      <c r="B33" s="2">
        <v>723</v>
      </c>
      <c r="C33" s="2">
        <v>2593</v>
      </c>
      <c r="D33" s="2">
        <v>579</v>
      </c>
      <c r="E33" s="2">
        <v>91579</v>
      </c>
      <c r="F33" s="2">
        <v>12373873768</v>
      </c>
    </row>
    <row r="34" spans="1:10" x14ac:dyDescent="0.3">
      <c r="A34" s="3">
        <v>150010</v>
      </c>
      <c r="B34" s="2">
        <v>552</v>
      </c>
      <c r="C34" s="2">
        <v>1842</v>
      </c>
      <c r="D34" s="2">
        <v>457</v>
      </c>
      <c r="E34" s="2">
        <v>45040</v>
      </c>
      <c r="F34" s="2">
        <v>7596536272</v>
      </c>
    </row>
    <row r="35" spans="1:10" x14ac:dyDescent="0.3">
      <c r="A35" s="3">
        <v>200010</v>
      </c>
      <c r="B35" s="2">
        <v>116</v>
      </c>
      <c r="C35" s="2">
        <v>258</v>
      </c>
      <c r="D35" s="2">
        <v>96</v>
      </c>
      <c r="E35" s="2">
        <v>11178</v>
      </c>
      <c r="F35" s="2">
        <v>2457846041</v>
      </c>
    </row>
    <row r="36" spans="1:10" x14ac:dyDescent="0.3">
      <c r="A36" s="3">
        <v>250010</v>
      </c>
      <c r="B36" s="2">
        <v>111</v>
      </c>
      <c r="C36" s="2">
        <v>92</v>
      </c>
      <c r="D36" s="2">
        <v>39</v>
      </c>
      <c r="E36" s="2">
        <v>5677</v>
      </c>
      <c r="F36" s="2">
        <v>1805072841</v>
      </c>
    </row>
    <row r="37" spans="1:10" x14ac:dyDescent="0.3">
      <c r="A37" s="3">
        <v>500010</v>
      </c>
      <c r="B37" s="2">
        <v>7</v>
      </c>
      <c r="C37" s="2">
        <v>9</v>
      </c>
      <c r="D37" s="2">
        <v>3</v>
      </c>
      <c r="E37" s="2">
        <v>271</v>
      </c>
      <c r="F37" s="2">
        <v>167320888</v>
      </c>
    </row>
    <row r="38" spans="1:10" x14ac:dyDescent="0.3">
      <c r="A38" s="3" t="s">
        <v>2</v>
      </c>
      <c r="B38" s="2">
        <v>5708769</v>
      </c>
      <c r="C38" s="2">
        <v>3196316</v>
      </c>
      <c r="D38" s="2">
        <v>756721</v>
      </c>
      <c r="E38" s="2">
        <v>15110886</v>
      </c>
      <c r="F38" s="2">
        <v>546348990368</v>
      </c>
      <c r="G38" s="2"/>
      <c r="H38" s="2"/>
    </row>
    <row r="39" spans="1:10" x14ac:dyDescent="0.3">
      <c r="B39" s="4">
        <f>B38-SUM(B25:B37)</f>
        <v>0</v>
      </c>
      <c r="C39" s="4">
        <f t="shared" ref="C39:F39" si="1">C38-SUM(C25:C37)</f>
        <v>0</v>
      </c>
      <c r="D39" s="4">
        <f t="shared" si="1"/>
        <v>0</v>
      </c>
      <c r="E39" s="4">
        <f t="shared" si="1"/>
        <v>0</v>
      </c>
      <c r="F39" s="4">
        <f t="shared" si="1"/>
        <v>0</v>
      </c>
    </row>
    <row r="41" spans="1:10" x14ac:dyDescent="0.3">
      <c r="A41" t="s">
        <v>6</v>
      </c>
    </row>
    <row r="42" spans="1:10" x14ac:dyDescent="0.3">
      <c r="B42" s="78"/>
      <c r="C42" s="78"/>
      <c r="E42" s="78" t="s">
        <v>2</v>
      </c>
      <c r="F42" s="78"/>
    </row>
    <row r="43" spans="1:10" x14ac:dyDescent="0.3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52</v>
      </c>
      <c r="J43" t="s">
        <v>189</v>
      </c>
    </row>
    <row r="44" spans="1:10" x14ac:dyDescent="0.3">
      <c r="A44" s="3">
        <v>0</v>
      </c>
      <c r="B44" s="4">
        <f>B6+B25</f>
        <v>5228168</v>
      </c>
      <c r="C44" s="4">
        <f t="shared" ref="C44:D44" si="2">C6+C25</f>
        <v>2125929</v>
      </c>
      <c r="D44" s="4">
        <f t="shared" si="2"/>
        <v>441396</v>
      </c>
      <c r="E44" s="4">
        <f t="shared" ref="E44:F44" si="3">E6+E25</f>
        <v>9653840</v>
      </c>
      <c r="F44" s="4">
        <f t="shared" si="3"/>
        <v>190697316612</v>
      </c>
      <c r="G44">
        <f>1-SUM(E44:$E$56)/$E$57</f>
        <v>0</v>
      </c>
      <c r="I44" s="47">
        <f>E25/E44</f>
        <v>0.99450850645960576</v>
      </c>
      <c r="J44" s="47">
        <f t="shared" ref="J44:J57" si="4">(B44+C44+D44)/E44</f>
        <v>0.80750178167444253</v>
      </c>
    </row>
    <row r="45" spans="1:10" x14ac:dyDescent="0.3">
      <c r="A45" s="3">
        <v>40010</v>
      </c>
      <c r="B45" s="4">
        <f t="shared" ref="B45:F56" si="5">B7+B26</f>
        <v>1230551</v>
      </c>
      <c r="C45" s="4">
        <f t="shared" si="5"/>
        <v>721795</v>
      </c>
      <c r="D45" s="4">
        <f t="shared" si="5"/>
        <v>92524</v>
      </c>
      <c r="E45" s="4">
        <f t="shared" si="5"/>
        <v>2552209</v>
      </c>
      <c r="F45" s="4">
        <f t="shared" si="5"/>
        <v>114788113170</v>
      </c>
      <c r="G45">
        <f>1-SUM(E45:$E$56)/$E$57</f>
        <v>0.31563835105490801</v>
      </c>
      <c r="H45">
        <f>SUM(F45:F$56)/(A45*SUM(E45:E$56))</f>
        <v>2.9097541407797922</v>
      </c>
      <c r="I45" s="47">
        <f t="shared" ref="I45:I57" si="6">E26/E45</f>
        <v>0.69507826357480906</v>
      </c>
      <c r="J45" s="47">
        <f t="shared" si="4"/>
        <v>0.80121573115681355</v>
      </c>
    </row>
    <row r="46" spans="1:10" x14ac:dyDescent="0.3">
      <c r="A46" s="3">
        <v>50010</v>
      </c>
      <c r="B46" s="4">
        <f t="shared" si="5"/>
        <v>990426</v>
      </c>
      <c r="C46" s="4">
        <f t="shared" si="5"/>
        <v>483669</v>
      </c>
      <c r="D46" s="4">
        <f t="shared" si="5"/>
        <v>107490</v>
      </c>
      <c r="E46" s="4">
        <f t="shared" si="5"/>
        <v>2359250</v>
      </c>
      <c r="F46" s="4">
        <f t="shared" si="5"/>
        <v>130305188736</v>
      </c>
      <c r="G46">
        <f>1-SUM(E46:$E$56)/$E$57</f>
        <v>0.39908442435915759</v>
      </c>
      <c r="H46">
        <f>SUM(F46:F$56)/(A46*SUM(E46:E$56))</f>
        <v>2.5262992587006292</v>
      </c>
      <c r="I46" s="47">
        <f t="shared" si="6"/>
        <v>0.48842513510649571</v>
      </c>
      <c r="J46" s="47">
        <f t="shared" si="4"/>
        <v>0.67037617887040368</v>
      </c>
    </row>
    <row r="47" spans="1:10" x14ac:dyDescent="0.3">
      <c r="A47" s="3">
        <v>60010</v>
      </c>
      <c r="B47" s="4">
        <f t="shared" si="5"/>
        <v>814365</v>
      </c>
      <c r="C47" s="4">
        <f t="shared" si="5"/>
        <v>494407</v>
      </c>
      <c r="D47" s="4">
        <f t="shared" si="5"/>
        <v>113976</v>
      </c>
      <c r="E47" s="4">
        <f t="shared" si="5"/>
        <v>2346719</v>
      </c>
      <c r="F47" s="4">
        <f t="shared" si="5"/>
        <v>152251964878</v>
      </c>
      <c r="G47">
        <f>1-SUM(E47:$E$56)/$E$57</f>
        <v>0.47622158218716093</v>
      </c>
      <c r="H47">
        <f>SUM(F47:F$56)/(A47*SUM(E47:E$56))</f>
        <v>2.2798272473181185</v>
      </c>
      <c r="I47" s="47">
        <f t="shared" si="6"/>
        <v>0.40752940594932757</v>
      </c>
      <c r="J47" s="47">
        <f t="shared" si="4"/>
        <v>0.6062711385555748</v>
      </c>
    </row>
    <row r="48" spans="1:10" x14ac:dyDescent="0.3">
      <c r="A48" s="3">
        <v>70010</v>
      </c>
      <c r="B48" s="4">
        <f t="shared" si="5"/>
        <v>619439</v>
      </c>
      <c r="C48" s="4">
        <f t="shared" si="5"/>
        <v>370879</v>
      </c>
      <c r="D48" s="4">
        <f t="shared" si="5"/>
        <v>87037</v>
      </c>
      <c r="E48" s="4">
        <f t="shared" si="5"/>
        <v>2001537</v>
      </c>
      <c r="F48" s="4">
        <f t="shared" si="5"/>
        <v>149867685314</v>
      </c>
      <c r="G48">
        <f>1-SUM(E48:$E$56)/$E$57</f>
        <v>0.5529490311141394</v>
      </c>
      <c r="H48">
        <f>SUM(F48:F$56)/(A48*SUM(E48:E$56))</f>
        <v>2.1305305336717337</v>
      </c>
      <c r="I48" s="47">
        <f t="shared" si="6"/>
        <v>0.29778065556619737</v>
      </c>
      <c r="J48" s="47">
        <f t="shared" si="4"/>
        <v>0.53826384423570484</v>
      </c>
    </row>
    <row r="49" spans="1:10" x14ac:dyDescent="0.3">
      <c r="A49" s="3">
        <v>80010</v>
      </c>
      <c r="B49" s="4">
        <f t="shared" si="5"/>
        <v>450894</v>
      </c>
      <c r="C49" s="4">
        <f t="shared" si="5"/>
        <v>277763</v>
      </c>
      <c r="D49" s="4">
        <f t="shared" si="5"/>
        <v>70129</v>
      </c>
      <c r="E49" s="4">
        <f t="shared" si="5"/>
        <v>1636834</v>
      </c>
      <c r="F49" s="4">
        <f t="shared" si="5"/>
        <v>138730874194</v>
      </c>
      <c r="G49">
        <f>1-SUM(E49:$E$56)/$E$57</f>
        <v>0.6183905381471323</v>
      </c>
      <c r="H49">
        <f>SUM(F49:F$56)/(A49*SUM(E49:E$56))</f>
        <v>2.0234589562937328</v>
      </c>
      <c r="I49" s="47">
        <f t="shared" si="6"/>
        <v>0.2280176242673356</v>
      </c>
      <c r="J49" s="47">
        <f t="shared" si="4"/>
        <v>0.48800672517799604</v>
      </c>
    </row>
    <row r="50" spans="1:10" x14ac:dyDescent="0.3">
      <c r="A50" s="3">
        <v>90010</v>
      </c>
      <c r="B50" s="4">
        <f t="shared" si="5"/>
        <v>291224</v>
      </c>
      <c r="C50" s="4">
        <f t="shared" si="5"/>
        <v>166901</v>
      </c>
      <c r="D50" s="4">
        <f t="shared" si="5"/>
        <v>55819</v>
      </c>
      <c r="E50" s="4">
        <f t="shared" si="5"/>
        <v>1229442</v>
      </c>
      <c r="F50" s="4">
        <f t="shared" si="5"/>
        <v>116949138177</v>
      </c>
      <c r="G50">
        <f>1-SUM(E50:$E$56)/$E$57</f>
        <v>0.67190785195289338</v>
      </c>
      <c r="H50">
        <f>SUM(F50:F$56)/(A50*SUM(E50:E$56))</f>
        <v>1.9384511980294441</v>
      </c>
      <c r="I50" s="47">
        <f t="shared" si="6"/>
        <v>0.17155913007689666</v>
      </c>
      <c r="J50" s="47">
        <f t="shared" si="4"/>
        <v>0.41803029341766429</v>
      </c>
    </row>
    <row r="51" spans="1:10" x14ac:dyDescent="0.3">
      <c r="A51" s="3">
        <v>100010</v>
      </c>
      <c r="B51" s="4">
        <f t="shared" si="5"/>
        <v>440785</v>
      </c>
      <c r="C51" s="4">
        <f t="shared" si="5"/>
        <v>324940</v>
      </c>
      <c r="D51" s="4">
        <f t="shared" si="5"/>
        <v>88372</v>
      </c>
      <c r="E51" s="4">
        <f t="shared" si="5"/>
        <v>2717889</v>
      </c>
      <c r="F51" s="4">
        <f t="shared" si="5"/>
        <v>303568382125</v>
      </c>
      <c r="G51">
        <f>1-SUM(E51:$E$56)/$E$57</f>
        <v>0.71210522891352757</v>
      </c>
      <c r="H51">
        <f>SUM(F51:F$56)/(A51*SUM(E51:E$56))</f>
        <v>1.8554157214661671</v>
      </c>
      <c r="I51" s="47">
        <f t="shared" si="6"/>
        <v>0.10798380654986278</v>
      </c>
      <c r="J51" s="47">
        <f t="shared" si="4"/>
        <v>0.31425014045827476</v>
      </c>
    </row>
    <row r="52" spans="1:10" x14ac:dyDescent="0.3">
      <c r="A52" s="3">
        <v>125010</v>
      </c>
      <c r="B52" s="4">
        <f t="shared" si="5"/>
        <v>200572</v>
      </c>
      <c r="C52" s="4">
        <f t="shared" si="5"/>
        <v>164442</v>
      </c>
      <c r="D52" s="4">
        <f t="shared" si="5"/>
        <v>42348</v>
      </c>
      <c r="E52" s="4">
        <f t="shared" si="5"/>
        <v>1836438</v>
      </c>
      <c r="F52" s="4">
        <f t="shared" si="5"/>
        <v>251062349725</v>
      </c>
      <c r="G52">
        <f>1-SUM(E52:$E$56)/$E$57</f>
        <v>0.80096831368707599</v>
      </c>
      <c r="H52">
        <f>SUM(F52:F$56)/(A52*SUM(E52:E$56))</f>
        <v>1.7481820261168859</v>
      </c>
      <c r="I52" s="47">
        <f t="shared" si="6"/>
        <v>4.9867733078927792E-2</v>
      </c>
      <c r="J52" s="47">
        <f t="shared" si="4"/>
        <v>0.22182180939405524</v>
      </c>
    </row>
    <row r="53" spans="1:10" x14ac:dyDescent="0.3">
      <c r="A53" s="3">
        <v>150010</v>
      </c>
      <c r="B53" s="4">
        <f t="shared" si="5"/>
        <v>149875</v>
      </c>
      <c r="C53" s="4">
        <f t="shared" si="5"/>
        <v>128652</v>
      </c>
      <c r="D53" s="4">
        <f t="shared" si="5"/>
        <v>35262</v>
      </c>
      <c r="E53" s="4">
        <f t="shared" si="5"/>
        <v>2079907</v>
      </c>
      <c r="F53" s="4">
        <f t="shared" si="5"/>
        <v>357258940065</v>
      </c>
      <c r="G53">
        <f>1-SUM(E53:$E$56)/$E$57</f>
        <v>0.86101180541001465</v>
      </c>
      <c r="H53">
        <f>SUM(F53:F$56)/(A53*SUM(E53:E$56))</f>
        <v>1.6924909023452186</v>
      </c>
      <c r="I53" s="47">
        <f t="shared" si="6"/>
        <v>2.165481437391191E-2</v>
      </c>
      <c r="J53" s="47">
        <f t="shared" si="4"/>
        <v>0.15086684164243883</v>
      </c>
    </row>
    <row r="54" spans="1:10" x14ac:dyDescent="0.3">
      <c r="A54" s="3">
        <v>200010</v>
      </c>
      <c r="B54" s="4">
        <f t="shared" si="5"/>
        <v>50612</v>
      </c>
      <c r="C54" s="4">
        <f t="shared" si="5"/>
        <v>47190</v>
      </c>
      <c r="D54" s="4">
        <f t="shared" si="5"/>
        <v>12077</v>
      </c>
      <c r="E54" s="4">
        <f t="shared" si="5"/>
        <v>950789</v>
      </c>
      <c r="F54" s="4">
        <f t="shared" si="5"/>
        <v>210949006756</v>
      </c>
      <c r="G54">
        <f>1-SUM(E54:$E$56)/$E$57</f>
        <v>0.92901566872529229</v>
      </c>
      <c r="H54">
        <f>SUM(F54:F$56)/(A54*SUM(E54:E$56))</f>
        <v>1.6627475993045653</v>
      </c>
      <c r="I54" s="47">
        <f t="shared" si="6"/>
        <v>1.1756551663933849E-2</v>
      </c>
      <c r="J54" s="47">
        <f t="shared" si="4"/>
        <v>0.11556612455550075</v>
      </c>
    </row>
    <row r="55" spans="1:10" x14ac:dyDescent="0.3">
      <c r="A55" s="3">
        <v>250010</v>
      </c>
      <c r="B55" s="4">
        <f t="shared" si="5"/>
        <v>46046</v>
      </c>
      <c r="C55" s="4">
        <f t="shared" si="5"/>
        <v>45536</v>
      </c>
      <c r="D55" s="4">
        <f t="shared" si="5"/>
        <v>11788</v>
      </c>
      <c r="E55" s="4">
        <f t="shared" si="5"/>
        <v>1015827</v>
      </c>
      <c r="F55" s="4">
        <f t="shared" si="5"/>
        <v>330720037204</v>
      </c>
      <c r="G55">
        <f>1-SUM(E55:$E$56)/$E$57</f>
        <v>0.9601023111557806</v>
      </c>
      <c r="H55">
        <f>SUM(F55:F$56)/(A55*SUM(E55:E$56))</f>
        <v>1.6752055232785001</v>
      </c>
      <c r="I55" s="47">
        <f t="shared" si="6"/>
        <v>5.588550018851635E-3</v>
      </c>
      <c r="J55" s="47">
        <f t="shared" si="4"/>
        <v>0.10175945313522873</v>
      </c>
    </row>
    <row r="56" spans="1:10" x14ac:dyDescent="0.3">
      <c r="A56" s="3">
        <v>500010</v>
      </c>
      <c r="B56" s="4">
        <f t="shared" si="5"/>
        <v>9562</v>
      </c>
      <c r="C56" s="4">
        <f t="shared" si="5"/>
        <v>10557</v>
      </c>
      <c r="D56" s="4">
        <f t="shared" si="5"/>
        <v>2394</v>
      </c>
      <c r="E56" s="4">
        <f t="shared" si="5"/>
        <v>204449</v>
      </c>
      <c r="F56" s="4">
        <f t="shared" si="5"/>
        <v>180353678708</v>
      </c>
      <c r="G56">
        <f>1-SUM(E56:$E$56)/$E$57</f>
        <v>0.99331541177036031</v>
      </c>
      <c r="H56">
        <f>SUM(F56:F$56)/(A56*SUM(E56:E$56))</f>
        <v>1.7642548675372915</v>
      </c>
      <c r="I56" s="47">
        <f t="shared" si="6"/>
        <v>1.3255139423523714E-3</v>
      </c>
      <c r="J56" s="47">
        <f t="shared" si="4"/>
        <v>0.11011548112243151</v>
      </c>
    </row>
    <row r="57" spans="1:10" x14ac:dyDescent="0.3">
      <c r="A57" s="3" t="s">
        <v>2</v>
      </c>
      <c r="B57" s="2">
        <f>B19+B38</f>
        <v>10522523</v>
      </c>
      <c r="C57" s="2">
        <f t="shared" ref="C57:F57" si="7">C19+C38</f>
        <v>5362660</v>
      </c>
      <c r="D57" s="2">
        <f t="shared" si="7"/>
        <v>1160612</v>
      </c>
      <c r="E57" s="4">
        <f t="shared" si="7"/>
        <v>30585130</v>
      </c>
      <c r="F57" s="4">
        <f t="shared" si="7"/>
        <v>2627502675564</v>
      </c>
      <c r="G57">
        <f>F57/(E57*6.55957)</f>
        <v>13096.566883266416</v>
      </c>
      <c r="I57" s="47">
        <f t="shared" si="6"/>
        <v>0.49405989119549271</v>
      </c>
      <c r="J57" s="47">
        <f t="shared" si="4"/>
        <v>0.55732295399757992</v>
      </c>
    </row>
    <row r="58" spans="1:10" x14ac:dyDescent="0.3">
      <c r="B58" s="4">
        <f>B57-SUM(B44:B56)</f>
        <v>4</v>
      </c>
      <c r="C58" s="4">
        <f t="shared" ref="C58:F58" si="8">C57-SUM(C44:C56)</f>
        <v>0</v>
      </c>
      <c r="D58" s="4">
        <f t="shared" si="8"/>
        <v>0</v>
      </c>
      <c r="E58" s="4">
        <f t="shared" si="8"/>
        <v>0</v>
      </c>
      <c r="F58" s="4">
        <f t="shared" si="8"/>
        <v>-100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A50" workbookViewId="0"/>
  </sheetViews>
  <sheetFormatPr baseColWidth="10" defaultRowHeight="15.6" x14ac:dyDescent="0.3"/>
  <cols>
    <col min="3" max="3" width="12.19921875" bestFit="1" customWidth="1"/>
    <col min="6" max="6" width="14.296875" bestFit="1" customWidth="1"/>
  </cols>
  <sheetData>
    <row r="1" spans="1:10" x14ac:dyDescent="0.3">
      <c r="A1" t="s">
        <v>192</v>
      </c>
    </row>
    <row r="3" spans="1:10" x14ac:dyDescent="0.3">
      <c r="A3" t="s">
        <v>0</v>
      </c>
    </row>
    <row r="4" spans="1:10" x14ac:dyDescent="0.3">
      <c r="B4" s="78"/>
      <c r="C4" s="78"/>
      <c r="E4" s="78" t="s">
        <v>2</v>
      </c>
      <c r="F4" s="78"/>
    </row>
    <row r="5" spans="1:10" x14ac:dyDescent="0.3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10" x14ac:dyDescent="0.3">
      <c r="A6">
        <v>0</v>
      </c>
      <c r="B6" s="2">
        <v>21839</v>
      </c>
      <c r="C6" s="2">
        <v>10371</v>
      </c>
      <c r="D6" s="2">
        <v>1654</v>
      </c>
      <c r="E6" s="2">
        <v>57897</v>
      </c>
      <c r="F6" s="2">
        <v>1104494682</v>
      </c>
    </row>
    <row r="7" spans="1:10" x14ac:dyDescent="0.3">
      <c r="A7">
        <v>40010</v>
      </c>
      <c r="B7" s="2">
        <v>685759</v>
      </c>
      <c r="C7" s="2">
        <v>4984</v>
      </c>
      <c r="D7" s="2">
        <v>419</v>
      </c>
      <c r="E7" s="2">
        <v>696555</v>
      </c>
      <c r="F7" s="2">
        <v>32475592132</v>
      </c>
    </row>
    <row r="8" spans="1:10" x14ac:dyDescent="0.3">
      <c r="A8">
        <v>50010</v>
      </c>
      <c r="B8" s="2">
        <v>979309</v>
      </c>
      <c r="C8" s="2">
        <v>143887</v>
      </c>
      <c r="D8" s="2">
        <v>417</v>
      </c>
      <c r="E8" s="2">
        <v>1130486</v>
      </c>
      <c r="F8" s="2">
        <v>62519062155</v>
      </c>
    </row>
    <row r="9" spans="1:10" x14ac:dyDescent="0.3">
      <c r="A9">
        <v>60010</v>
      </c>
      <c r="B9" s="2">
        <v>826813</v>
      </c>
      <c r="C9" s="2">
        <v>407855</v>
      </c>
      <c r="D9" s="2">
        <v>5904</v>
      </c>
      <c r="E9" s="2">
        <v>1275548</v>
      </c>
      <c r="F9" s="2">
        <v>82867984893</v>
      </c>
    </row>
    <row r="10" spans="1:10" x14ac:dyDescent="0.3">
      <c r="A10">
        <v>70010</v>
      </c>
      <c r="B10" s="2">
        <v>626830</v>
      </c>
      <c r="C10" s="2">
        <v>348173</v>
      </c>
      <c r="D10" s="2">
        <v>57283</v>
      </c>
      <c r="E10" s="2">
        <v>1311329</v>
      </c>
      <c r="F10" s="2">
        <v>98298836612</v>
      </c>
    </row>
    <row r="11" spans="1:10" x14ac:dyDescent="0.3">
      <c r="A11">
        <v>80010</v>
      </c>
      <c r="B11" s="2">
        <v>470277</v>
      </c>
      <c r="C11" s="2">
        <v>281180</v>
      </c>
      <c r="D11" s="2">
        <v>60419</v>
      </c>
      <c r="E11" s="2">
        <v>1207490</v>
      </c>
      <c r="F11" s="2">
        <v>102494771320</v>
      </c>
    </row>
    <row r="12" spans="1:10" x14ac:dyDescent="0.3">
      <c r="A12">
        <v>90010</v>
      </c>
      <c r="B12" s="2">
        <v>307188</v>
      </c>
      <c r="C12" s="2">
        <v>173121</v>
      </c>
      <c r="D12" s="2">
        <v>50576</v>
      </c>
      <c r="E12" s="2">
        <v>915900</v>
      </c>
      <c r="F12" s="2">
        <v>87015056217</v>
      </c>
    </row>
    <row r="13" spans="1:10" x14ac:dyDescent="0.3">
      <c r="A13">
        <v>100010</v>
      </c>
      <c r="B13" s="2">
        <v>467241</v>
      </c>
      <c r="C13" s="2">
        <v>340411</v>
      </c>
      <c r="D13" s="2">
        <v>89775</v>
      </c>
      <c r="E13" s="2">
        <v>2366193</v>
      </c>
      <c r="F13" s="2">
        <v>264643565741</v>
      </c>
    </row>
    <row r="14" spans="1:10" x14ac:dyDescent="0.3">
      <c r="A14">
        <v>125010</v>
      </c>
      <c r="B14" s="2">
        <v>212040</v>
      </c>
      <c r="C14" s="2">
        <v>173040</v>
      </c>
      <c r="D14" s="2">
        <v>45544</v>
      </c>
      <c r="E14" s="2">
        <v>1730224</v>
      </c>
      <c r="F14" s="2">
        <v>236758353055</v>
      </c>
      <c r="G14" t="s">
        <v>193</v>
      </c>
    </row>
    <row r="15" spans="1:10" x14ac:dyDescent="0.3">
      <c r="A15">
        <v>150010</v>
      </c>
      <c r="B15" s="2">
        <v>158007</v>
      </c>
      <c r="C15" s="2">
        <v>134575</v>
      </c>
      <c r="D15" s="2">
        <v>37424</v>
      </c>
      <c r="E15" s="2">
        <v>2072012</v>
      </c>
      <c r="F15" s="2">
        <v>356325291077</v>
      </c>
      <c r="G15">
        <v>2092251</v>
      </c>
      <c r="H15">
        <v>359796697.329</v>
      </c>
      <c r="I15" s="50">
        <f>G15/E15</f>
        <v>1.0097678005725836</v>
      </c>
      <c r="J15" s="50">
        <f>1000*H15/F15</f>
        <v>1.0097422392935052</v>
      </c>
    </row>
    <row r="16" spans="1:10" x14ac:dyDescent="0.3">
      <c r="A16">
        <v>200010</v>
      </c>
      <c r="B16" s="2">
        <v>54084</v>
      </c>
      <c r="C16" s="2">
        <v>48473</v>
      </c>
      <c r="D16" s="2">
        <v>12962</v>
      </c>
      <c r="E16" s="2">
        <v>972369</v>
      </c>
      <c r="F16" s="2">
        <v>215842086561</v>
      </c>
      <c r="G16">
        <v>981219</v>
      </c>
      <c r="H16">
        <v>217801596.76300001</v>
      </c>
      <c r="I16" s="50">
        <f t="shared" ref="I16:I19" si="0">G16/E16</f>
        <v>1.0091014830789546</v>
      </c>
      <c r="J16" s="50">
        <f t="shared" ref="J16:J19" si="1">1000*H16/F16</f>
        <v>1.0090784435659457</v>
      </c>
    </row>
    <row r="17" spans="1:10" x14ac:dyDescent="0.3">
      <c r="A17">
        <v>250010</v>
      </c>
      <c r="B17" s="2">
        <v>48394</v>
      </c>
      <c r="C17" s="2">
        <v>47971</v>
      </c>
      <c r="D17" s="2">
        <v>12460</v>
      </c>
      <c r="E17" s="2">
        <v>1062964</v>
      </c>
      <c r="F17" s="2">
        <v>346158648366</v>
      </c>
      <c r="G17">
        <v>1071983</v>
      </c>
      <c r="H17">
        <v>349074495.37699997</v>
      </c>
      <c r="I17" s="50">
        <f t="shared" si="0"/>
        <v>1.008484765241344</v>
      </c>
      <c r="J17" s="50">
        <f t="shared" si="1"/>
        <v>1.0084234411728954</v>
      </c>
    </row>
    <row r="18" spans="1:10" x14ac:dyDescent="0.3">
      <c r="A18">
        <v>500010</v>
      </c>
      <c r="B18" s="2">
        <v>9828</v>
      </c>
      <c r="C18" s="2">
        <v>10549</v>
      </c>
      <c r="D18" s="2">
        <v>2438</v>
      </c>
      <c r="E18" s="2">
        <v>208075</v>
      </c>
      <c r="F18" s="2">
        <v>182947661978</v>
      </c>
      <c r="G18">
        <v>209569</v>
      </c>
      <c r="H18">
        <v>184259649.18400002</v>
      </c>
      <c r="I18" s="50">
        <f t="shared" si="0"/>
        <v>1.0071801033281269</v>
      </c>
      <c r="J18" s="50">
        <f t="shared" si="1"/>
        <v>1.0071713800100806</v>
      </c>
    </row>
    <row r="19" spans="1:10" x14ac:dyDescent="0.3">
      <c r="A19" t="s">
        <v>2</v>
      </c>
      <c r="B19" s="2">
        <v>4867609</v>
      </c>
      <c r="C19" s="2">
        <v>2124590</v>
      </c>
      <c r="D19" s="2">
        <v>377275</v>
      </c>
      <c r="E19" s="2">
        <v>15007042</v>
      </c>
      <c r="F19" s="2">
        <v>2069451404789</v>
      </c>
      <c r="G19" s="2">
        <v>15181132</v>
      </c>
      <c r="H19">
        <v>2091120959.4780002</v>
      </c>
      <c r="I19" s="50">
        <f t="shared" si="0"/>
        <v>1.0116005539266166</v>
      </c>
      <c r="J19" s="50">
        <f t="shared" si="1"/>
        <v>1.0104711589935642</v>
      </c>
    </row>
    <row r="20" spans="1:10" x14ac:dyDescent="0.3">
      <c r="B20" s="4">
        <f>B19-SUM(B6:B18)</f>
        <v>0</v>
      </c>
      <c r="C20" s="4">
        <f t="shared" ref="C20:F20" si="2">C19-SUM(C6:C18)</f>
        <v>0</v>
      </c>
      <c r="D20" s="4">
        <f t="shared" si="2"/>
        <v>0</v>
      </c>
      <c r="E20" s="4">
        <f t="shared" si="2"/>
        <v>0</v>
      </c>
      <c r="F20" s="4">
        <f t="shared" si="2"/>
        <v>0</v>
      </c>
    </row>
    <row r="21" spans="1:10" x14ac:dyDescent="0.3">
      <c r="B21" s="2"/>
      <c r="C21" s="2"/>
      <c r="D21" s="2"/>
      <c r="E21" s="2"/>
      <c r="F21" s="2"/>
    </row>
    <row r="22" spans="1:10" x14ac:dyDescent="0.3">
      <c r="A22" t="s">
        <v>5</v>
      </c>
    </row>
    <row r="23" spans="1:10" x14ac:dyDescent="0.3">
      <c r="B23" s="78"/>
      <c r="C23" s="78"/>
      <c r="E23" s="78" t="s">
        <v>2</v>
      </c>
      <c r="F23" s="78"/>
    </row>
    <row r="24" spans="1:10" x14ac:dyDescent="0.3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10" x14ac:dyDescent="0.3">
      <c r="A25" s="3">
        <v>0</v>
      </c>
      <c r="B25" s="2">
        <v>5138745</v>
      </c>
      <c r="C25" s="2">
        <v>2015085</v>
      </c>
      <c r="D25" s="2">
        <v>435511</v>
      </c>
      <c r="E25" s="2">
        <v>9326076</v>
      </c>
      <c r="F25" s="2">
        <v>184691963293</v>
      </c>
    </row>
    <row r="26" spans="1:10" x14ac:dyDescent="0.3">
      <c r="A26" s="3">
        <v>40010</v>
      </c>
      <c r="B26" s="2">
        <v>597173</v>
      </c>
      <c r="C26" s="2">
        <v>733659</v>
      </c>
      <c r="D26" s="2">
        <v>97947</v>
      </c>
      <c r="E26" s="2">
        <v>1904681</v>
      </c>
      <c r="F26" s="2">
        <v>84504022225</v>
      </c>
    </row>
    <row r="27" spans="1:10" x14ac:dyDescent="0.3">
      <c r="A27" s="3">
        <v>50010</v>
      </c>
      <c r="B27" s="2">
        <v>41984</v>
      </c>
      <c r="C27" s="2">
        <v>367170</v>
      </c>
      <c r="D27" s="2">
        <v>111619</v>
      </c>
      <c r="E27" s="2">
        <v>1227957</v>
      </c>
      <c r="F27" s="2">
        <v>67550145454</v>
      </c>
    </row>
    <row r="28" spans="1:10" x14ac:dyDescent="0.3">
      <c r="A28" s="3">
        <v>60010</v>
      </c>
      <c r="B28" s="2">
        <v>9956</v>
      </c>
      <c r="C28" s="2">
        <v>115238</v>
      </c>
      <c r="D28" s="2">
        <v>113333</v>
      </c>
      <c r="E28" s="2">
        <v>1096837</v>
      </c>
      <c r="F28" s="2">
        <v>71074980696</v>
      </c>
    </row>
    <row r="29" spans="1:10" x14ac:dyDescent="0.3">
      <c r="A29" s="3">
        <v>70010</v>
      </c>
      <c r="B29" s="2">
        <v>3457</v>
      </c>
      <c r="C29" s="2">
        <v>46642</v>
      </c>
      <c r="D29" s="2">
        <v>34514</v>
      </c>
      <c r="E29" s="2">
        <v>698057</v>
      </c>
      <c r="F29" s="2">
        <v>52168929215</v>
      </c>
    </row>
    <row r="30" spans="1:10" x14ac:dyDescent="0.3">
      <c r="A30" s="3">
        <v>80010</v>
      </c>
      <c r="B30" s="2">
        <v>2397</v>
      </c>
      <c r="C30" s="2">
        <v>15749</v>
      </c>
      <c r="D30" s="2">
        <v>13087</v>
      </c>
      <c r="E30" s="2">
        <v>478200</v>
      </c>
      <c r="F30" s="2">
        <v>40462302987</v>
      </c>
    </row>
    <row r="31" spans="1:10" x14ac:dyDescent="0.3">
      <c r="A31" s="3">
        <v>90010</v>
      </c>
      <c r="B31" s="2">
        <v>1345</v>
      </c>
      <c r="C31" s="2">
        <v>4189</v>
      </c>
      <c r="D31" s="2">
        <v>8785</v>
      </c>
      <c r="E31" s="2">
        <v>300148</v>
      </c>
      <c r="F31" s="2">
        <v>28408541791</v>
      </c>
    </row>
    <row r="32" spans="1:10" x14ac:dyDescent="0.3">
      <c r="A32" s="3">
        <v>100010</v>
      </c>
      <c r="B32" s="2">
        <v>1798</v>
      </c>
      <c r="C32" s="2">
        <v>7424</v>
      </c>
      <c r="D32" s="2">
        <v>5557</v>
      </c>
      <c r="E32" s="2">
        <v>419033</v>
      </c>
      <c r="F32" s="2">
        <v>46452714626</v>
      </c>
    </row>
    <row r="33" spans="1:10" x14ac:dyDescent="0.3">
      <c r="A33" s="3">
        <v>125010</v>
      </c>
      <c r="B33" s="2">
        <v>970</v>
      </c>
      <c r="C33" s="2">
        <v>3483</v>
      </c>
      <c r="D33" s="2">
        <v>847</v>
      </c>
      <c r="E33" s="2">
        <v>158446</v>
      </c>
      <c r="F33" s="2">
        <v>21445264346</v>
      </c>
    </row>
    <row r="34" spans="1:10" x14ac:dyDescent="0.3">
      <c r="A34" s="3">
        <v>150010</v>
      </c>
      <c r="B34" s="2">
        <v>739</v>
      </c>
      <c r="C34" s="2">
        <v>2435</v>
      </c>
      <c r="D34" s="2">
        <v>653</v>
      </c>
      <c r="E34" s="2">
        <v>80912</v>
      </c>
      <c r="F34" s="2">
        <v>13581577726</v>
      </c>
    </row>
    <row r="35" spans="1:10" x14ac:dyDescent="0.3">
      <c r="A35" s="3">
        <v>200010</v>
      </c>
      <c r="B35" s="2">
        <v>185</v>
      </c>
      <c r="C35" s="2">
        <v>497</v>
      </c>
      <c r="D35" s="2">
        <v>136</v>
      </c>
      <c r="E35" s="2">
        <v>17834</v>
      </c>
      <c r="F35" s="2">
        <v>3917388767</v>
      </c>
    </row>
    <row r="36" spans="1:10" x14ac:dyDescent="0.3">
      <c r="A36" s="3">
        <v>250010</v>
      </c>
      <c r="B36" s="2">
        <v>126</v>
      </c>
      <c r="C36" s="2">
        <v>115</v>
      </c>
      <c r="D36" s="2">
        <v>73</v>
      </c>
      <c r="E36" s="2">
        <v>9414</v>
      </c>
      <c r="F36" s="2">
        <v>2845892100</v>
      </c>
    </row>
    <row r="37" spans="1:10" x14ac:dyDescent="0.3">
      <c r="A37" s="3">
        <v>500010</v>
      </c>
      <c r="B37" s="2">
        <v>9</v>
      </c>
      <c r="C37" s="2">
        <v>11</v>
      </c>
      <c r="D37" s="2">
        <v>1</v>
      </c>
      <c r="E37" s="2">
        <v>365</v>
      </c>
      <c r="F37" s="2">
        <v>233926511</v>
      </c>
    </row>
    <row r="38" spans="1:10" x14ac:dyDescent="0.3">
      <c r="A38" s="3" t="s">
        <v>2</v>
      </c>
      <c r="B38" s="2">
        <v>5798884</v>
      </c>
      <c r="C38" s="2">
        <v>3311697</v>
      </c>
      <c r="D38" s="2">
        <v>822063</v>
      </c>
      <c r="E38" s="2">
        <v>15717960</v>
      </c>
      <c r="F38" s="2">
        <v>617337649737</v>
      </c>
      <c r="G38" s="2"/>
      <c r="H38" s="2"/>
    </row>
    <row r="39" spans="1:10" x14ac:dyDescent="0.3">
      <c r="B39" s="4">
        <f>B38-SUM(B25:B37)</f>
        <v>0</v>
      </c>
      <c r="C39" s="4">
        <f t="shared" ref="C39:F39" si="3">C38-SUM(C25:C37)</f>
        <v>0</v>
      </c>
      <c r="D39" s="4">
        <f t="shared" si="3"/>
        <v>0</v>
      </c>
      <c r="E39" s="4">
        <f t="shared" si="3"/>
        <v>0</v>
      </c>
      <c r="F39" s="4">
        <f t="shared" si="3"/>
        <v>0</v>
      </c>
    </row>
    <row r="41" spans="1:10" x14ac:dyDescent="0.3">
      <c r="A41" t="s">
        <v>6</v>
      </c>
    </row>
    <row r="42" spans="1:10" x14ac:dyDescent="0.3">
      <c r="B42" s="78" t="s">
        <v>1</v>
      </c>
      <c r="C42" s="78"/>
      <c r="E42" s="78" t="s">
        <v>2</v>
      </c>
      <c r="F42" s="78"/>
    </row>
    <row r="43" spans="1:10" x14ac:dyDescent="0.3">
      <c r="B43" t="s">
        <v>3</v>
      </c>
      <c r="C43" t="s">
        <v>4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3">
      <c r="A44" s="3">
        <v>0</v>
      </c>
      <c r="B44" s="4">
        <f>B6+B25</f>
        <v>5160584</v>
      </c>
      <c r="C44" s="4">
        <f t="shared" ref="C44:D44" si="4">C6+C25</f>
        <v>2025456</v>
      </c>
      <c r="D44" s="4">
        <f t="shared" si="4"/>
        <v>437165</v>
      </c>
      <c r="E44" s="4">
        <f t="shared" ref="E44:F44" si="5">E6+E25</f>
        <v>9383973</v>
      </c>
      <c r="F44" s="4">
        <f t="shared" si="5"/>
        <v>185796457975</v>
      </c>
      <c r="G44">
        <f>1-SUM(E44:$E$56)/$E$57</f>
        <v>0</v>
      </c>
      <c r="I44" s="47">
        <f t="shared" ref="I44:I57" si="6">(B44+C44+D44)/E44</f>
        <v>0.81236433651290341</v>
      </c>
      <c r="J44" s="47">
        <f t="shared" ref="J44:J57" si="7">E25/E44</f>
        <v>0.99383022521484232</v>
      </c>
    </row>
    <row r="45" spans="1:10" x14ac:dyDescent="0.3">
      <c r="A45" s="3">
        <v>40010</v>
      </c>
      <c r="B45" s="4">
        <f t="shared" ref="B45:F57" si="8">B7+B26</f>
        <v>1282932</v>
      </c>
      <c r="C45" s="4">
        <f t="shared" si="8"/>
        <v>738643</v>
      </c>
      <c r="D45" s="4">
        <f t="shared" si="8"/>
        <v>98366</v>
      </c>
      <c r="E45" s="4">
        <f t="shared" si="8"/>
        <v>2601236</v>
      </c>
      <c r="F45" s="4">
        <f t="shared" si="8"/>
        <v>116979614357</v>
      </c>
      <c r="G45">
        <f>1-SUM(E45:$E$56)/$E$57</f>
        <v>0.305418141225833</v>
      </c>
      <c r="H45">
        <f>SUM(F45:F$56)/(A45*SUM(E45:E$56))</f>
        <v>2.929061556350951</v>
      </c>
      <c r="I45" s="47">
        <f t="shared" si="6"/>
        <v>0.81497449673924238</v>
      </c>
      <c r="J45" s="47">
        <f t="shared" si="7"/>
        <v>0.73222152853489653</v>
      </c>
    </row>
    <row r="46" spans="1:10" x14ac:dyDescent="0.3">
      <c r="A46" s="3">
        <v>50010</v>
      </c>
      <c r="B46" s="4">
        <f t="shared" si="8"/>
        <v>1021293</v>
      </c>
      <c r="C46" s="4">
        <f t="shared" si="8"/>
        <v>511057</v>
      </c>
      <c r="D46" s="4">
        <f t="shared" si="8"/>
        <v>112036</v>
      </c>
      <c r="E46" s="4">
        <f t="shared" si="8"/>
        <v>2358443</v>
      </c>
      <c r="F46" s="4">
        <f t="shared" si="8"/>
        <v>130069207609</v>
      </c>
      <c r="G46">
        <f>1-SUM(E46:$E$56)/$E$57</f>
        <v>0.39008000715508495</v>
      </c>
      <c r="H46">
        <f>SUM(F46:F$56)/(A46*SUM(E46:E$56))</f>
        <v>2.5438234829370976</v>
      </c>
      <c r="I46" s="47">
        <f t="shared" si="6"/>
        <v>0.69723372580978216</v>
      </c>
      <c r="J46" s="47">
        <f t="shared" si="7"/>
        <v>0.52066426875697225</v>
      </c>
    </row>
    <row r="47" spans="1:10" x14ac:dyDescent="0.3">
      <c r="A47" s="3">
        <v>60010</v>
      </c>
      <c r="B47" s="4">
        <f t="shared" si="8"/>
        <v>836769</v>
      </c>
      <c r="C47" s="4">
        <f t="shared" si="8"/>
        <v>523093</v>
      </c>
      <c r="D47" s="4">
        <f t="shared" si="8"/>
        <v>119237</v>
      </c>
      <c r="E47" s="4">
        <f t="shared" si="8"/>
        <v>2372385</v>
      </c>
      <c r="F47" s="4">
        <f t="shared" si="8"/>
        <v>153942965589</v>
      </c>
      <c r="G47">
        <f>1-SUM(E47:$E$56)/$E$57</f>
        <v>0.4668397417842316</v>
      </c>
      <c r="H47">
        <f>SUM(F47:F$56)/(A47*SUM(E47:E$56))</f>
        <v>2.292818947449744</v>
      </c>
      <c r="I47" s="47">
        <f t="shared" si="6"/>
        <v>0.62346499408822764</v>
      </c>
      <c r="J47" s="47">
        <f t="shared" si="7"/>
        <v>0.46233516060841728</v>
      </c>
    </row>
    <row r="48" spans="1:10" x14ac:dyDescent="0.3">
      <c r="A48" s="3">
        <v>70010</v>
      </c>
      <c r="B48" s="4">
        <f t="shared" si="8"/>
        <v>630287</v>
      </c>
      <c r="C48" s="4">
        <f t="shared" si="8"/>
        <v>394815</v>
      </c>
      <c r="D48" s="4">
        <f t="shared" si="8"/>
        <v>91797</v>
      </c>
      <c r="E48" s="4">
        <f t="shared" si="8"/>
        <v>2009386</v>
      </c>
      <c r="F48" s="4">
        <f t="shared" si="8"/>
        <v>150467765827</v>
      </c>
      <c r="G48">
        <f>1-SUM(E48:$E$56)/$E$57</f>
        <v>0.54405324367432106</v>
      </c>
      <c r="H48">
        <f>SUM(F48:F$56)/(A48*SUM(E48:E$56))</f>
        <v>2.1411807691222493</v>
      </c>
      <c r="I48" s="47">
        <f t="shared" si="6"/>
        <v>0.55584093847573335</v>
      </c>
      <c r="J48" s="47">
        <f t="shared" si="7"/>
        <v>0.34739816043308752</v>
      </c>
    </row>
    <row r="49" spans="1:10" x14ac:dyDescent="0.3">
      <c r="A49" s="3">
        <v>80010</v>
      </c>
      <c r="B49" s="4">
        <f t="shared" si="8"/>
        <v>472674</v>
      </c>
      <c r="C49" s="4">
        <f t="shared" si="8"/>
        <v>296929</v>
      </c>
      <c r="D49" s="4">
        <f t="shared" si="8"/>
        <v>73506</v>
      </c>
      <c r="E49" s="4">
        <f t="shared" si="8"/>
        <v>1685690</v>
      </c>
      <c r="F49" s="4">
        <f t="shared" si="8"/>
        <v>142957074307</v>
      </c>
      <c r="G49">
        <f>1-SUM(E49:$E$56)/$E$57</f>
        <v>0.60945229556046898</v>
      </c>
      <c r="H49">
        <f>SUM(F49:F$56)/(A49*SUM(E49:E$56))</f>
        <v>2.0305810124632817</v>
      </c>
      <c r="I49" s="47">
        <f t="shared" si="6"/>
        <v>0.50015661242577225</v>
      </c>
      <c r="J49" s="47">
        <f t="shared" si="7"/>
        <v>0.28368205304652694</v>
      </c>
    </row>
    <row r="50" spans="1:10" x14ac:dyDescent="0.3">
      <c r="A50" s="3">
        <v>90010</v>
      </c>
      <c r="B50" s="4">
        <f t="shared" si="8"/>
        <v>308533</v>
      </c>
      <c r="C50" s="4">
        <f t="shared" si="8"/>
        <v>177310</v>
      </c>
      <c r="D50" s="4">
        <f t="shared" si="8"/>
        <v>59361</v>
      </c>
      <c r="E50" s="4">
        <f t="shared" si="8"/>
        <v>1216048</v>
      </c>
      <c r="F50" s="4">
        <f t="shared" si="8"/>
        <v>115423598008</v>
      </c>
      <c r="G50">
        <f>1-SUM(E50:$E$56)/$E$57</f>
        <v>0.66431608368975859</v>
      </c>
      <c r="H50">
        <f>SUM(F50:F$56)/(A50*SUM(E50:E$56))</f>
        <v>1.9460007983191105</v>
      </c>
      <c r="I50" s="47">
        <f t="shared" si="6"/>
        <v>0.44834085496625131</v>
      </c>
      <c r="J50" s="47">
        <f t="shared" si="7"/>
        <v>0.24682249384892702</v>
      </c>
    </row>
    <row r="51" spans="1:10" x14ac:dyDescent="0.3">
      <c r="A51" s="3">
        <v>100010</v>
      </c>
      <c r="B51" s="4">
        <f t="shared" si="8"/>
        <v>469039</v>
      </c>
      <c r="C51" s="4">
        <f t="shared" si="8"/>
        <v>347835</v>
      </c>
      <c r="D51" s="4">
        <f t="shared" si="8"/>
        <v>95332</v>
      </c>
      <c r="E51" s="4">
        <f t="shared" si="8"/>
        <v>2785226</v>
      </c>
      <c r="F51" s="4">
        <f t="shared" si="8"/>
        <v>311096280367</v>
      </c>
      <c r="G51">
        <f>1-SUM(E51:$E$56)/$E$57</f>
        <v>0.70389453514112055</v>
      </c>
      <c r="H51">
        <f>SUM(F51:F$56)/(A51*SUM(E51:E$56))</f>
        <v>1.8586643496261885</v>
      </c>
      <c r="I51" s="47">
        <f t="shared" si="6"/>
        <v>0.32751597177392427</v>
      </c>
      <c r="J51" s="47">
        <f t="shared" si="7"/>
        <v>0.15044847348114659</v>
      </c>
    </row>
    <row r="52" spans="1:10" x14ac:dyDescent="0.3">
      <c r="A52" s="3">
        <v>125010</v>
      </c>
      <c r="B52" s="4">
        <f t="shared" si="8"/>
        <v>213010</v>
      </c>
      <c r="C52" s="4">
        <f t="shared" si="8"/>
        <v>176523</v>
      </c>
      <c r="D52" s="4">
        <f t="shared" si="8"/>
        <v>46391</v>
      </c>
      <c r="E52" s="4">
        <f t="shared" si="8"/>
        <v>1888670</v>
      </c>
      <c r="F52" s="4">
        <f t="shared" si="8"/>
        <v>258203617401</v>
      </c>
      <c r="G52">
        <f>1-SUM(E52:$E$56)/$E$57</f>
        <v>0.79454468383761212</v>
      </c>
      <c r="H52">
        <f>SUM(F52:F$56)/(A52*SUM(E52:E$56))</f>
        <v>1.748810209184515</v>
      </c>
      <c r="I52" s="47">
        <f t="shared" si="6"/>
        <v>0.23081004092827229</v>
      </c>
      <c r="J52" s="47">
        <f t="shared" si="7"/>
        <v>8.3892898177024042E-2</v>
      </c>
    </row>
    <row r="53" spans="1:10" x14ac:dyDescent="0.3">
      <c r="A53" s="3">
        <v>150010</v>
      </c>
      <c r="B53" s="4">
        <f t="shared" si="8"/>
        <v>158746</v>
      </c>
      <c r="C53" s="4">
        <f t="shared" si="8"/>
        <v>137010</v>
      </c>
      <c r="D53" s="4">
        <f t="shared" si="8"/>
        <v>38077</v>
      </c>
      <c r="E53" s="4">
        <f t="shared" si="8"/>
        <v>2152924</v>
      </c>
      <c r="F53" s="4">
        <f t="shared" si="8"/>
        <v>369906868803</v>
      </c>
      <c r="G53">
        <f>1-SUM(E53:$E$56)/$E$57</f>
        <v>0.85601481816014202</v>
      </c>
      <c r="H53">
        <f>SUM(F53:F$56)/(A53*SUM(E53:E$56))</f>
        <v>1.6904635838326896</v>
      </c>
      <c r="I53" s="47">
        <f t="shared" si="6"/>
        <v>0.15506028080879772</v>
      </c>
      <c r="J53" s="47">
        <f t="shared" si="7"/>
        <v>3.7582376340270257E-2</v>
      </c>
    </row>
    <row r="54" spans="1:10" x14ac:dyDescent="0.3">
      <c r="A54" s="3">
        <v>200010</v>
      </c>
      <c r="B54" s="4">
        <f t="shared" si="8"/>
        <v>54269</v>
      </c>
      <c r="C54" s="4">
        <f t="shared" si="8"/>
        <v>48970</v>
      </c>
      <c r="D54" s="4">
        <f t="shared" si="8"/>
        <v>13098</v>
      </c>
      <c r="E54" s="4">
        <f t="shared" si="8"/>
        <v>990203</v>
      </c>
      <c r="F54" s="4">
        <f t="shared" si="8"/>
        <v>219759475328</v>
      </c>
      <c r="G54">
        <f>1-SUM(E54:$E$56)/$E$57</f>
        <v>0.92608557031176109</v>
      </c>
      <c r="H54">
        <f>SUM(F54:F$56)/(A54*SUM(E54:E$56))</f>
        <v>1.6554404580198858</v>
      </c>
      <c r="I54" s="47">
        <f t="shared" si="6"/>
        <v>0.11748803023218471</v>
      </c>
      <c r="J54" s="47">
        <f t="shared" si="7"/>
        <v>1.8010448362608476E-2</v>
      </c>
    </row>
    <row r="55" spans="1:10" x14ac:dyDescent="0.3">
      <c r="A55" s="3">
        <v>250010</v>
      </c>
      <c r="B55" s="4">
        <f t="shared" si="8"/>
        <v>48520</v>
      </c>
      <c r="C55" s="4">
        <f t="shared" si="8"/>
        <v>48086</v>
      </c>
      <c r="D55" s="4">
        <f t="shared" si="8"/>
        <v>12533</v>
      </c>
      <c r="E55" s="4">
        <f t="shared" si="8"/>
        <v>1072378</v>
      </c>
      <c r="F55" s="4">
        <f t="shared" si="8"/>
        <v>349004540466</v>
      </c>
      <c r="G55">
        <f>1-SUM(E55:$E$56)/$E$57</f>
        <v>0.95831349335632265</v>
      </c>
      <c r="H55">
        <f>SUM(F55:F$56)/(A55*SUM(E55:E$56))</f>
        <v>1.6619530405141263</v>
      </c>
      <c r="I55" s="47">
        <f t="shared" si="6"/>
        <v>0.10177288232321066</v>
      </c>
      <c r="J55" s="47">
        <f t="shared" si="7"/>
        <v>8.7786209713365988E-3</v>
      </c>
    </row>
    <row r="56" spans="1:10" x14ac:dyDescent="0.3">
      <c r="A56" s="3">
        <v>500010</v>
      </c>
      <c r="B56" s="4">
        <f t="shared" si="8"/>
        <v>9837</v>
      </c>
      <c r="C56" s="4">
        <f t="shared" si="8"/>
        <v>10560</v>
      </c>
      <c r="D56" s="4">
        <f t="shared" si="8"/>
        <v>2439</v>
      </c>
      <c r="E56" s="4">
        <f t="shared" si="8"/>
        <v>208440</v>
      </c>
      <c r="F56" s="4">
        <f t="shared" si="8"/>
        <v>183181588489</v>
      </c>
      <c r="G56">
        <f>1-SUM(E56:$E$56)/$E$57</f>
        <v>0.99321594836674054</v>
      </c>
      <c r="H56">
        <f>SUM(F56:F$56)/(A56*SUM(E56:E$56))</f>
        <v>1.7576081839426347</v>
      </c>
      <c r="I56" s="47">
        <f t="shared" si="6"/>
        <v>0.1095567069660334</v>
      </c>
      <c r="J56" s="47">
        <f t="shared" si="7"/>
        <v>1.7511034350412588E-3</v>
      </c>
    </row>
    <row r="57" spans="1:10" x14ac:dyDescent="0.3">
      <c r="A57" s="3" t="s">
        <v>2</v>
      </c>
      <c r="B57" s="2">
        <f>B19+B38</f>
        <v>10666493</v>
      </c>
      <c r="C57" s="2">
        <f t="shared" si="8"/>
        <v>5436287</v>
      </c>
      <c r="D57" s="2">
        <f t="shared" si="8"/>
        <v>1199338</v>
      </c>
      <c r="E57" s="4">
        <f t="shared" si="8"/>
        <v>30725002</v>
      </c>
      <c r="F57" s="4">
        <f t="shared" si="8"/>
        <v>2686789054526</v>
      </c>
      <c r="G57">
        <f>F57/(6.55957*E57)</f>
        <v>13331.10900649314</v>
      </c>
      <c r="I57" s="47">
        <f t="shared" si="6"/>
        <v>0.56312829532118502</v>
      </c>
      <c r="J57" s="47">
        <f t="shared" si="7"/>
        <v>0.51156904725343877</v>
      </c>
    </row>
    <row r="58" spans="1:10" x14ac:dyDescent="0.3">
      <c r="B58" s="4">
        <f>B57-SUM(B44:B56)</f>
        <v>0</v>
      </c>
      <c r="C58" s="4">
        <f t="shared" ref="C58:F58" si="9">C57-SUM(C44:C56)</f>
        <v>0</v>
      </c>
      <c r="D58" s="4">
        <f t="shared" si="9"/>
        <v>0</v>
      </c>
      <c r="E58" s="4">
        <f t="shared" si="9"/>
        <v>0</v>
      </c>
      <c r="F58" s="4">
        <f t="shared" si="9"/>
        <v>0</v>
      </c>
      <c r="G58" s="2">
        <f>E57</f>
        <v>30725002</v>
      </c>
    </row>
    <row r="60" spans="1:10" x14ac:dyDescent="0.3">
      <c r="A60" t="s">
        <v>194</v>
      </c>
    </row>
    <row r="61" spans="1:10" x14ac:dyDescent="0.3">
      <c r="B61" s="78" t="s">
        <v>1</v>
      </c>
      <c r="C61" s="78"/>
      <c r="E61" s="78" t="s">
        <v>2</v>
      </c>
      <c r="F61" s="78"/>
    </row>
    <row r="62" spans="1:10" x14ac:dyDescent="0.3">
      <c r="B62" t="s">
        <v>3</v>
      </c>
      <c r="C62" t="s">
        <v>4</v>
      </c>
      <c r="E62" t="s">
        <v>3</v>
      </c>
      <c r="F62" t="s">
        <v>4</v>
      </c>
      <c r="G62" t="s">
        <v>7</v>
      </c>
      <c r="H62" t="s">
        <v>8</v>
      </c>
      <c r="I62" t="s">
        <v>189</v>
      </c>
      <c r="J62" t="s">
        <v>52</v>
      </c>
    </row>
    <row r="63" spans="1:10" x14ac:dyDescent="0.3">
      <c r="A63" s="3">
        <v>0</v>
      </c>
      <c r="B63" s="4">
        <f>B44*$I$19</f>
        <v>5220449.6329848347</v>
      </c>
      <c r="C63" s="4">
        <f t="shared" ref="C63:E63" si="10">C44*$I$19</f>
        <v>2048952.4115539892</v>
      </c>
      <c r="D63" s="4">
        <f t="shared" si="10"/>
        <v>442236.35615732934</v>
      </c>
      <c r="E63" s="4">
        <f t="shared" si="10"/>
        <v>9492832.2848324142</v>
      </c>
      <c r="F63" s="4">
        <f>F44*$J$19</f>
        <v>187741962226.89731</v>
      </c>
      <c r="G63">
        <f>1-SUM(E63:E$75)/$E$76</f>
        <v>0</v>
      </c>
      <c r="I63" s="47">
        <f t="shared" ref="I63:I76" si="11">(B63+C63+D63)/E63</f>
        <v>0.81236433651290341</v>
      </c>
      <c r="J63" s="47">
        <f>J44</f>
        <v>0.99383022521484232</v>
      </c>
    </row>
    <row r="64" spans="1:10" x14ac:dyDescent="0.3">
      <c r="A64" s="3">
        <v>40010</v>
      </c>
      <c r="B64" s="4">
        <f t="shared" ref="B64:E64" si="12">B45*$I$19</f>
        <v>1297814.7218501822</v>
      </c>
      <c r="C64" s="4">
        <f t="shared" si="12"/>
        <v>747211.66795401787</v>
      </c>
      <c r="D64" s="4">
        <f t="shared" si="12"/>
        <v>99507.100087545565</v>
      </c>
      <c r="E64" s="4">
        <f t="shared" si="12"/>
        <v>2631411.7784938565</v>
      </c>
      <c r="F64" s="4">
        <f t="shared" ref="F64:F76" si="13">F45*$J$19</f>
        <v>118204526497.93797</v>
      </c>
      <c r="G64">
        <f>1-SUM(E64:E$75)/$E$76</f>
        <v>0.305418141225833</v>
      </c>
      <c r="H64">
        <f>SUM(F64:F$75)/(A64*SUM(E64:E$75))</f>
        <v>2.9257914244125081</v>
      </c>
      <c r="I64" s="47">
        <f t="shared" si="11"/>
        <v>0.81497449673924238</v>
      </c>
      <c r="J64" s="47">
        <f t="shared" ref="J64:J76" si="14">J45</f>
        <v>0.73222152853489653</v>
      </c>
    </row>
    <row r="65" spans="1:10" x14ac:dyDescent="0.3">
      <c r="A65" s="3">
        <v>50010</v>
      </c>
      <c r="B65" s="4">
        <f t="shared" ref="B65:E65" si="15">B46*$I$19</f>
        <v>1033140.564521376</v>
      </c>
      <c r="C65" s="4">
        <f t="shared" si="15"/>
        <v>516985.54428807489</v>
      </c>
      <c r="D65" s="4">
        <f t="shared" si="15"/>
        <v>113335.67965972242</v>
      </c>
      <c r="E65" s="4">
        <f t="shared" si="15"/>
        <v>2385802.2452043514</v>
      </c>
      <c r="F65" s="4">
        <f t="shared" si="13"/>
        <v>131431182962.04076</v>
      </c>
      <c r="G65">
        <f>1-SUM(E65:E$75)/$E$76</f>
        <v>0.39008000715508495</v>
      </c>
      <c r="H65">
        <f>SUM(F65:F$75)/(A65*SUM(E65:E$75))</f>
        <v>2.5409834475683373</v>
      </c>
      <c r="I65" s="47">
        <f t="shared" si="11"/>
        <v>0.69723372580978205</v>
      </c>
      <c r="J65" s="47">
        <f t="shared" si="14"/>
        <v>0.52066426875697225</v>
      </c>
    </row>
    <row r="66" spans="1:10" x14ac:dyDescent="0.3">
      <c r="A66" s="3">
        <v>60010</v>
      </c>
      <c r="B66" s="4">
        <f t="shared" ref="B66:E66" si="16">B47*$I$19</f>
        <v>846475.98390862113</v>
      </c>
      <c r="C66" s="4">
        <f t="shared" si="16"/>
        <v>529161.16855513572</v>
      </c>
      <c r="D66" s="4">
        <f t="shared" si="16"/>
        <v>120620.21524854799</v>
      </c>
      <c r="E66" s="4">
        <f t="shared" si="16"/>
        <v>2399905.9801271963</v>
      </c>
      <c r="F66" s="4">
        <f t="shared" si="13"/>
        <v>155554926857.6232</v>
      </c>
      <c r="G66">
        <f>1-SUM(E66:E$75)/$E$76</f>
        <v>0.4668397417842316</v>
      </c>
      <c r="H66">
        <f>SUM(F66:F$75)/(A66*SUM(E66:E$75))</f>
        <v>2.2902591444804741</v>
      </c>
      <c r="I66" s="47">
        <f t="shared" si="11"/>
        <v>0.62346499408822775</v>
      </c>
      <c r="J66" s="47">
        <f t="shared" si="14"/>
        <v>0.46233516060841728</v>
      </c>
    </row>
    <row r="67" spans="1:10" x14ac:dyDescent="0.3">
      <c r="A67" s="3">
        <v>70010</v>
      </c>
      <c r="B67" s="4">
        <f t="shared" ref="B67:E67" si="17">B48*$I$19</f>
        <v>637598.67833274545</v>
      </c>
      <c r="C67" s="4">
        <f t="shared" si="17"/>
        <v>399395.07269853714</v>
      </c>
      <c r="D67" s="4">
        <f t="shared" si="17"/>
        <v>92861.896048801631</v>
      </c>
      <c r="E67" s="4">
        <f t="shared" si="17"/>
        <v>2032695.9906523884</v>
      </c>
      <c r="F67" s="4">
        <f t="shared" si="13"/>
        <v>152043337726.38089</v>
      </c>
      <c r="G67">
        <f>1-SUM(E67:E$75)/$E$76</f>
        <v>0.54405324367432106</v>
      </c>
      <c r="H67">
        <f>SUM(F67:F$75)/(A67*SUM(E67:E$75))</f>
        <v>2.1387902616220216</v>
      </c>
      <c r="I67" s="47">
        <f t="shared" si="11"/>
        <v>0.55584093847573346</v>
      </c>
      <c r="J67" s="47">
        <f t="shared" si="14"/>
        <v>0.34739816043308752</v>
      </c>
    </row>
    <row r="68" spans="1:10" x14ac:dyDescent="0.3">
      <c r="A68" s="3">
        <v>80010</v>
      </c>
      <c r="B68" s="4">
        <f t="shared" ref="B68:E68" si="18">B49*$I$19</f>
        <v>478157.28022670961</v>
      </c>
      <c r="C68" s="4">
        <f t="shared" si="18"/>
        <v>300373.54087687633</v>
      </c>
      <c r="D68" s="4">
        <f t="shared" si="18"/>
        <v>74358.710316929879</v>
      </c>
      <c r="E68" s="4">
        <f t="shared" si="18"/>
        <v>1705244.9377485584</v>
      </c>
      <c r="F68" s="4">
        <f t="shared" si="13"/>
        <v>144454000561.32336</v>
      </c>
      <c r="G68">
        <f>1-SUM(E68:E$75)/$E$76</f>
        <v>0.60945229556046898</v>
      </c>
      <c r="H68">
        <f>SUM(F68:F$75)/(A68*SUM(E68:E$75))</f>
        <v>2.0283139833501331</v>
      </c>
      <c r="I68" s="47">
        <f t="shared" si="11"/>
        <v>0.50015661242577214</v>
      </c>
      <c r="J68" s="47">
        <f t="shared" si="14"/>
        <v>0.28368205304652694</v>
      </c>
    </row>
    <row r="69" spans="1:10" x14ac:dyDescent="0.3">
      <c r="A69" s="3">
        <v>90010</v>
      </c>
      <c r="B69" s="4">
        <f t="shared" ref="B69:E69" si="19">B50*$I$19</f>
        <v>312112.1537046408</v>
      </c>
      <c r="C69" s="4">
        <f t="shared" si="19"/>
        <v>179366.8942167284</v>
      </c>
      <c r="D69" s="4">
        <f t="shared" si="19"/>
        <v>60049.620481637889</v>
      </c>
      <c r="E69" s="4">
        <f t="shared" si="19"/>
        <v>1230154.8304013542</v>
      </c>
      <c r="F69" s="4">
        <f t="shared" si="13"/>
        <v>116632216854.35101</v>
      </c>
      <c r="G69">
        <f>1-SUM(E69:E$75)/$E$76</f>
        <v>0.66431608368975859</v>
      </c>
      <c r="H69">
        <f>SUM(F69:F$75)/(A69*SUM(E69:E$75))</f>
        <v>1.943828198242127</v>
      </c>
      <c r="I69" s="47">
        <f t="shared" si="11"/>
        <v>0.44834085496625137</v>
      </c>
      <c r="J69" s="47">
        <f t="shared" si="14"/>
        <v>0.24682249384892702</v>
      </c>
    </row>
    <row r="70" spans="1:10" x14ac:dyDescent="0.3">
      <c r="A70" s="3">
        <v>100010</v>
      </c>
      <c r="B70" s="4">
        <f t="shared" ref="B70:E70" si="20">B51*$I$19</f>
        <v>474480.11221318634</v>
      </c>
      <c r="C70" s="4">
        <f t="shared" si="20"/>
        <v>351870.07867506472</v>
      </c>
      <c r="D70" s="4">
        <f t="shared" si="20"/>
        <v>96437.904006932222</v>
      </c>
      <c r="E70" s="4">
        <f t="shared" si="20"/>
        <v>2817536.1644108146</v>
      </c>
      <c r="F70" s="4">
        <f t="shared" si="13"/>
        <v>314353818981.0293</v>
      </c>
      <c r="G70">
        <f>1-SUM(E70:E$75)/$E$76</f>
        <v>0.70389453514112055</v>
      </c>
      <c r="H70">
        <f>SUM(F70:F$75)/(A70*SUM(E70:E$75))</f>
        <v>1.8565892557657071</v>
      </c>
      <c r="I70" s="47">
        <f t="shared" si="11"/>
        <v>0.32751597177392433</v>
      </c>
      <c r="J70" s="47">
        <f t="shared" si="14"/>
        <v>0.15044847348114659</v>
      </c>
    </row>
    <row r="71" spans="1:10" x14ac:dyDescent="0.3">
      <c r="A71" s="3">
        <v>125010</v>
      </c>
      <c r="B71" s="4">
        <f t="shared" ref="B71:E71" si="21">B52*$I$19</f>
        <v>215481.0339919086</v>
      </c>
      <c r="C71" s="4">
        <f t="shared" si="21"/>
        <v>178570.76458078815</v>
      </c>
      <c r="D71" s="4">
        <f t="shared" si="21"/>
        <v>46929.16129720967</v>
      </c>
      <c r="E71" s="4">
        <f t="shared" si="21"/>
        <v>1910579.618184583</v>
      </c>
      <c r="F71" s="4">
        <f t="shared" si="13"/>
        <v>260907308531.51929</v>
      </c>
      <c r="G71">
        <f>1-SUM(E71:E$75)/$E$76</f>
        <v>0.79454468383761212</v>
      </c>
      <c r="H71">
        <f>SUM(F71:F$75)/(A71*SUM(E71:E$75))</f>
        <v>1.7468577612726821</v>
      </c>
      <c r="I71" s="47">
        <f t="shared" si="11"/>
        <v>0.23081004092827229</v>
      </c>
      <c r="J71" s="47">
        <f t="shared" si="14"/>
        <v>8.3892898177024042E-2</v>
      </c>
    </row>
    <row r="72" spans="1:10" x14ac:dyDescent="0.3">
      <c r="A72" s="3">
        <v>150010</v>
      </c>
      <c r="B72" s="4">
        <f t="shared" ref="B72:E72" si="22">B53*$I$19</f>
        <v>160587.54153363468</v>
      </c>
      <c r="C72" s="4">
        <f t="shared" si="22"/>
        <v>138599.39189348574</v>
      </c>
      <c r="D72" s="4">
        <f t="shared" si="22"/>
        <v>38518.714291863784</v>
      </c>
      <c r="E72" s="4">
        <f t="shared" si="22"/>
        <v>2177899.1109619071</v>
      </c>
      <c r="F72" s="4">
        <f t="shared" si="13"/>
        <v>373780222439.04773</v>
      </c>
      <c r="G72">
        <f>1-SUM(E72:E$75)/$E$76</f>
        <v>0.85601481816014202</v>
      </c>
      <c r="H72">
        <f>SUM(F72:F$75)/(A72*SUM(E72:E$75))</f>
        <v>1.6885762766355161</v>
      </c>
      <c r="I72" s="47">
        <f t="shared" si="11"/>
        <v>0.15506028080879772</v>
      </c>
      <c r="J72" s="47">
        <f t="shared" si="14"/>
        <v>3.7582376340270257E-2</v>
      </c>
    </row>
    <row r="73" spans="1:10" x14ac:dyDescent="0.3">
      <c r="A73" s="3">
        <v>200010</v>
      </c>
      <c r="B73" s="4">
        <f t="shared" ref="B73:E73" si="23">B54*$I$19</f>
        <v>54898.55046104356</v>
      </c>
      <c r="C73" s="4">
        <f t="shared" si="23"/>
        <v>49538.079125786418</v>
      </c>
      <c r="D73" s="4">
        <f t="shared" si="23"/>
        <v>13249.944055330825</v>
      </c>
      <c r="E73" s="4">
        <f t="shared" si="23"/>
        <v>1001689.9032997976</v>
      </c>
      <c r="F73" s="4">
        <f t="shared" si="13"/>
        <v>222060611734.50174</v>
      </c>
      <c r="G73">
        <f>1-SUM(E73:E$75)/$E$76</f>
        <v>0.92608557031176109</v>
      </c>
      <c r="H73">
        <f>SUM(F73:F$75)/(A73*SUM(E73:E$75))</f>
        <v>1.6535922521663002</v>
      </c>
      <c r="I73" s="47">
        <f t="shared" si="11"/>
        <v>0.11748803023218472</v>
      </c>
      <c r="J73" s="47">
        <f t="shared" si="14"/>
        <v>1.8010448362608476E-2</v>
      </c>
    </row>
    <row r="74" spans="1:10" x14ac:dyDescent="0.3">
      <c r="A74" s="3">
        <v>250010</v>
      </c>
      <c r="B74" s="4">
        <f t="shared" ref="B74:E74" si="24">B55*$I$19</f>
        <v>49082.858876519436</v>
      </c>
      <c r="C74" s="4">
        <f t="shared" si="24"/>
        <v>48643.824236115288</v>
      </c>
      <c r="D74" s="4">
        <f t="shared" si="24"/>
        <v>12678.389742362286</v>
      </c>
      <c r="E74" s="4">
        <f t="shared" si="24"/>
        <v>1084818.1788187174</v>
      </c>
      <c r="F74" s="4">
        <f t="shared" si="13"/>
        <v>352659022498.69531</v>
      </c>
      <c r="G74">
        <f>1-SUM(E74:E$75)/$E$76</f>
        <v>0.95831349335632265</v>
      </c>
      <c r="H74">
        <f>SUM(F74:F$75)/(A74*SUM(E74:E$75))</f>
        <v>1.6600975637296957</v>
      </c>
      <c r="I74" s="47">
        <f t="shared" si="11"/>
        <v>0.10177288232321065</v>
      </c>
      <c r="J74" s="47">
        <f t="shared" si="14"/>
        <v>8.7786209713365988E-3</v>
      </c>
    </row>
    <row r="75" spans="1:10" x14ac:dyDescent="0.3">
      <c r="A75" s="3">
        <v>500010</v>
      </c>
      <c r="B75" s="4">
        <f t="shared" ref="B75:E75" si="25">B56*$I$19</f>
        <v>9951.1146489761286</v>
      </c>
      <c r="C75" s="4">
        <f t="shared" si="25"/>
        <v>10682.501849465072</v>
      </c>
      <c r="D75" s="4">
        <f t="shared" si="25"/>
        <v>2467.2937510270181</v>
      </c>
      <c r="E75" s="4">
        <f t="shared" si="25"/>
        <v>210858.01946046398</v>
      </c>
      <c r="F75" s="4">
        <f t="shared" si="13"/>
        <v>185099712026.76196</v>
      </c>
      <c r="G75">
        <f>1-SUM(E75:E$75)/$E$76</f>
        <v>0.99321594836674054</v>
      </c>
      <c r="H75">
        <f>SUM(F75:F$75)/(A75*SUM(E75:E$75))</f>
        <v>1.7556459135884606</v>
      </c>
      <c r="I75" s="47">
        <f t="shared" si="11"/>
        <v>0.1095567069660334</v>
      </c>
      <c r="J75" s="47">
        <f t="shared" si="14"/>
        <v>1.7511034350412588E-3</v>
      </c>
    </row>
    <row r="76" spans="1:10" x14ac:dyDescent="0.3">
      <c r="A76" s="3" t="s">
        <v>2</v>
      </c>
      <c r="B76" s="4">
        <f t="shared" ref="B76:E76" si="26">B57*$I$19</f>
        <v>10790230.22725438</v>
      </c>
      <c r="C76" s="4">
        <f t="shared" si="26"/>
        <v>5499350.9405040648</v>
      </c>
      <c r="D76" s="4">
        <f t="shared" si="26"/>
        <v>1213250.9851452406</v>
      </c>
      <c r="E76" s="4">
        <f t="shared" si="26"/>
        <v>31081429.042596404</v>
      </c>
      <c r="F76" s="4">
        <f t="shared" si="13"/>
        <v>2714922849898.1099</v>
      </c>
      <c r="G76">
        <f>F76/(6.55957*E76)</f>
        <v>13316.225575572247</v>
      </c>
      <c r="I76" s="47">
        <f t="shared" si="11"/>
        <v>0.56312829532118502</v>
      </c>
      <c r="J76" s="47">
        <f t="shared" si="14"/>
        <v>0.51156904725343877</v>
      </c>
    </row>
    <row r="77" spans="1:10" x14ac:dyDescent="0.3">
      <c r="B77" s="4">
        <f>B76-SUM(B63:B75)</f>
        <v>0</v>
      </c>
      <c r="C77" s="4">
        <f t="shared" ref="C77:F77" si="27">C76-SUM(C63:C75)</f>
        <v>0</v>
      </c>
      <c r="D77" s="4">
        <f t="shared" si="27"/>
        <v>0</v>
      </c>
      <c r="E77" s="4">
        <f t="shared" si="27"/>
        <v>0</v>
      </c>
      <c r="F77" s="4">
        <f t="shared" si="27"/>
        <v>0</v>
      </c>
      <c r="G77" s="2">
        <f>E76</f>
        <v>31081429.042596404</v>
      </c>
    </row>
  </sheetData>
  <mergeCells count="8">
    <mergeCell ref="B61:C61"/>
    <mergeCell ref="E61:F61"/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1928</v>
      </c>
      <c r="C1" s="8" t="s">
        <v>24</v>
      </c>
      <c r="D1" s="10">
        <f>1000*[1]TD1!$C$35</f>
        <v>16347017.548874008</v>
      </c>
      <c r="E1" s="8" t="s">
        <v>30</v>
      </c>
      <c r="F1" s="21">
        <f>(SUMPRODUCT(D4:D13,H4:H13,I4:I13)/(D2*B2))/((1-SUMPRODUCT(D4:D13,H4:H13,I4:I13)/B2)/(1-D2))</f>
        <v>0.64176415611500337</v>
      </c>
      <c r="G1" s="19"/>
      <c r="H1" s="16"/>
    </row>
    <row r="2" spans="1:12" x14ac:dyDescent="0.3">
      <c r="A2" s="8" t="s">
        <v>12</v>
      </c>
      <c r="B2" s="11">
        <f>[1]TD2!$M$35</f>
        <v>8140.5975725487797</v>
      </c>
      <c r="C2" s="8" t="s">
        <v>15</v>
      </c>
      <c r="D2" s="14">
        <f>[1]TD1!$F$35</f>
        <v>0.21979747323145293</v>
      </c>
      <c r="E2" s="18" t="s">
        <v>26</v>
      </c>
      <c r="I2" s="8"/>
      <c r="L2" s="14">
        <f>D2</f>
        <v>0.21979747323145293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0.25744799720509925</v>
      </c>
      <c r="E4" s="14"/>
      <c r="F4" s="8"/>
      <c r="G4" s="8"/>
      <c r="H4" s="17">
        <f>((1-B4)*B2-(1-B5)*C5*A5)/(B5-B4)</f>
        <v>3609.2728612923429</v>
      </c>
      <c r="I4" s="18">
        <f t="shared" ref="I4" si="0">B5-B4</f>
        <v>0.76087009906768799</v>
      </c>
      <c r="L4" s="14"/>
    </row>
    <row r="5" spans="1:12" x14ac:dyDescent="0.3">
      <c r="A5" s="11">
        <v>10000</v>
      </c>
      <c r="B5" s="12">
        <v>0.76087009906768799</v>
      </c>
      <c r="C5" s="8">
        <v>2.2558491230010986</v>
      </c>
      <c r="D5" s="14">
        <f t="shared" ref="D5:D13" si="1">L5*D$2/L$2</f>
        <v>0.10000000000000002</v>
      </c>
      <c r="E5" s="14"/>
      <c r="F5" s="8"/>
      <c r="G5" s="8"/>
      <c r="H5" s="17">
        <f t="shared" ref="H5:H12" si="2">((1-B5)*C5*A5-(1-B6)*C6*A6)/(B6-B5)</f>
        <v>15018.201638770972</v>
      </c>
      <c r="I5" s="18">
        <f t="shared" ref="I5:I12" si="3">B6-B5</f>
        <v>0.1813434362411499</v>
      </c>
      <c r="L5" s="14">
        <v>0.1</v>
      </c>
    </row>
    <row r="6" spans="1:12" x14ac:dyDescent="0.3">
      <c r="A6" s="11">
        <v>20000</v>
      </c>
      <c r="B6" s="12">
        <v>0.94221353530883789</v>
      </c>
      <c r="C6" s="8">
        <v>2.3110580444335938</v>
      </c>
      <c r="D6" s="14">
        <f t="shared" si="1"/>
        <v>0.10000000000000002</v>
      </c>
      <c r="E6" s="14"/>
      <c r="F6" s="8"/>
      <c r="G6" s="8"/>
      <c r="H6" s="17">
        <f t="shared" si="2"/>
        <v>24283.590345559882</v>
      </c>
      <c r="I6" s="18">
        <f t="shared" si="3"/>
        <v>3.1553983688354492E-2</v>
      </c>
      <c r="L6" s="14">
        <v>0.1</v>
      </c>
    </row>
    <row r="7" spans="1:12" x14ac:dyDescent="0.3">
      <c r="A7" s="11">
        <v>30000</v>
      </c>
      <c r="B7" s="12">
        <v>0.97376751899719238</v>
      </c>
      <c r="C7" s="8">
        <v>2.4202990531921387</v>
      </c>
      <c r="D7" s="14">
        <f t="shared" si="1"/>
        <v>0.10000000000000002</v>
      </c>
      <c r="E7" s="14"/>
      <c r="H7" s="17">
        <f t="shared" si="2"/>
        <v>37732.989990959031</v>
      </c>
      <c r="I7" s="18">
        <f t="shared" si="3"/>
        <v>1.5600144863128662E-2</v>
      </c>
      <c r="L7" s="14">
        <v>0.1</v>
      </c>
    </row>
    <row r="8" spans="1:12" x14ac:dyDescent="0.3">
      <c r="A8" s="11">
        <v>50000</v>
      </c>
      <c r="B8" s="12">
        <v>0.98936766386032104</v>
      </c>
      <c r="C8" s="8">
        <v>2.4756052494049072</v>
      </c>
      <c r="D8" s="14">
        <f t="shared" si="1"/>
        <v>0.10000000000000002</v>
      </c>
      <c r="E8" s="14"/>
      <c r="H8" s="17">
        <f t="shared" si="2"/>
        <v>68199.784115437928</v>
      </c>
      <c r="I8" s="18">
        <f t="shared" si="3"/>
        <v>7.0600509643554688E-3</v>
      </c>
      <c r="L8" s="14">
        <v>0.1</v>
      </c>
    </row>
    <row r="9" spans="1:12" x14ac:dyDescent="0.3">
      <c r="A9" s="11">
        <v>100000</v>
      </c>
      <c r="B9" s="12">
        <v>0.99642771482467651</v>
      </c>
      <c r="C9" s="12">
        <v>2.3362619876861572</v>
      </c>
      <c r="D9" s="14">
        <f t="shared" si="1"/>
        <v>0.10000000000000002</v>
      </c>
      <c r="E9" s="14"/>
      <c r="H9" s="17">
        <f t="shared" si="2"/>
        <v>135706.10055264889</v>
      </c>
      <c r="I9" s="18">
        <f t="shared" si="3"/>
        <v>2.3977756500244141E-3</v>
      </c>
      <c r="L9" s="14">
        <v>0.1</v>
      </c>
    </row>
    <row r="10" spans="1:12" x14ac:dyDescent="0.3">
      <c r="A10" s="11">
        <v>200000</v>
      </c>
      <c r="B10" s="12">
        <v>0.99882549047470093</v>
      </c>
      <c r="C10" s="12">
        <v>2.167656421661377</v>
      </c>
      <c r="D10" s="14">
        <f t="shared" si="1"/>
        <v>0.10000000000000002</v>
      </c>
      <c r="E10" s="14"/>
      <c r="H10" s="17">
        <f t="shared" si="2"/>
        <v>242621.59746834062</v>
      </c>
      <c r="I10" s="18">
        <f t="shared" si="3"/>
        <v>5.8245658874511719E-4</v>
      </c>
      <c r="L10" s="14">
        <v>0.1</v>
      </c>
    </row>
    <row r="11" spans="1:12" x14ac:dyDescent="0.3">
      <c r="A11" s="11">
        <v>300000</v>
      </c>
      <c r="B11" s="12">
        <v>0.99940794706344604</v>
      </c>
      <c r="C11" s="12">
        <v>2.071155309677124</v>
      </c>
      <c r="D11" s="14">
        <f t="shared" si="1"/>
        <v>0.10000000000000002</v>
      </c>
      <c r="E11" s="14"/>
      <c r="H11" s="17">
        <f t="shared" si="2"/>
        <v>376727.87565636233</v>
      </c>
      <c r="I11" s="18">
        <f t="shared" si="3"/>
        <v>3.6668777465820313E-4</v>
      </c>
      <c r="L11" s="14">
        <v>0.1</v>
      </c>
    </row>
    <row r="12" spans="1:12" x14ac:dyDescent="0.3">
      <c r="A12" s="11">
        <v>500000</v>
      </c>
      <c r="B12" s="12">
        <v>0.99977463483810425</v>
      </c>
      <c r="C12" s="12">
        <v>2.0387229919433594</v>
      </c>
      <c r="D12" s="14">
        <f t="shared" si="1"/>
        <v>0.10000000000000002</v>
      </c>
      <c r="E12" s="14"/>
      <c r="H12" s="17">
        <f t="shared" si="2"/>
        <v>669798.02461618872</v>
      </c>
      <c r="I12" s="18">
        <f t="shared" si="3"/>
        <v>1.7261505126953125E-4</v>
      </c>
      <c r="L12" s="14">
        <v>0.1</v>
      </c>
    </row>
    <row r="13" spans="1:12" x14ac:dyDescent="0.3">
      <c r="A13" s="11">
        <v>1000000</v>
      </c>
      <c r="B13" s="12">
        <v>0.99994724988937378</v>
      </c>
      <c r="C13" s="12">
        <v>2.1632437705993652</v>
      </c>
      <c r="D13" s="14">
        <f t="shared" si="1"/>
        <v>0.10000000000000002</v>
      </c>
      <c r="E13" s="14"/>
      <c r="H13" s="17">
        <f>C13*A13</f>
        <v>2163243.7705993652</v>
      </c>
      <c r="I13" s="18">
        <f>1-B13</f>
        <v>5.2750110626220703E-5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1929</v>
      </c>
      <c r="C1" s="8" t="s">
        <v>24</v>
      </c>
      <c r="D1" s="10">
        <f>1000*[1]TD1!$C$36</f>
        <v>16454095.591251858</v>
      </c>
      <c r="E1" s="8" t="s">
        <v>30</v>
      </c>
      <c r="F1" s="21">
        <f>(SUMPRODUCT(D4:D13,H4:H13,I4:I13)/(D2*B2))/((1-SUMPRODUCT(D4:D13,H4:H13,I4:I13)/B2)/(1-D2))</f>
        <v>0.6242335731075539</v>
      </c>
      <c r="G1" s="19"/>
      <c r="H1" s="16"/>
    </row>
    <row r="2" spans="1:12" x14ac:dyDescent="0.3">
      <c r="A2" s="8" t="s">
        <v>12</v>
      </c>
      <c r="B2" s="11">
        <f>[1]TD2!$M$36</f>
        <v>8778.9067018862897</v>
      </c>
      <c r="C2" s="8" t="s">
        <v>15</v>
      </c>
      <c r="D2" s="14">
        <f>[1]TD1!$F$36</f>
        <v>0.21996472760753671</v>
      </c>
      <c r="E2" s="18" t="s">
        <v>26</v>
      </c>
      <c r="I2" s="8"/>
      <c r="L2" s="14">
        <f>D2</f>
        <v>0.21996472760753671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0.26755003172584468</v>
      </c>
      <c r="E4" s="14"/>
      <c r="F4" s="8"/>
      <c r="G4" s="8"/>
      <c r="H4" s="17">
        <f>((1-B4)*B2-(1-B5)*C5*A5)/(B5-B4)</f>
        <v>3635.6334832885123</v>
      </c>
      <c r="I4" s="18">
        <f t="shared" ref="I4" si="0">B5-B4</f>
        <v>0.71599346399307251</v>
      </c>
      <c r="L4" s="14"/>
    </row>
    <row r="5" spans="1:12" x14ac:dyDescent="0.3">
      <c r="A5" s="11">
        <v>10000</v>
      </c>
      <c r="B5" s="12">
        <v>0.71599346399307251</v>
      </c>
      <c r="C5" s="8">
        <v>2.1745333671569824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14876.479811343472</v>
      </c>
      <c r="I5" s="18">
        <f t="shared" ref="I5:I12" si="3">B6-B5</f>
        <v>0.21649140119552612</v>
      </c>
      <c r="L5" s="14">
        <v>0.1</v>
      </c>
    </row>
    <row r="6" spans="1:12" x14ac:dyDescent="0.3">
      <c r="A6" s="11">
        <v>20000</v>
      </c>
      <c r="B6" s="12">
        <v>0.93248486518859863</v>
      </c>
      <c r="C6" s="8">
        <v>2.1885366439819336</v>
      </c>
      <c r="D6" s="14">
        <f t="shared" si="1"/>
        <v>0.1</v>
      </c>
      <c r="E6" s="14"/>
      <c r="F6" s="8"/>
      <c r="G6" s="8"/>
      <c r="H6" s="17">
        <f t="shared" si="2"/>
        <v>24365.012403624838</v>
      </c>
      <c r="I6" s="18">
        <f t="shared" si="3"/>
        <v>3.7624955177307129E-2</v>
      </c>
      <c r="L6" s="14">
        <v>0.1</v>
      </c>
    </row>
    <row r="7" spans="1:12" x14ac:dyDescent="0.3">
      <c r="A7" s="11">
        <v>30000</v>
      </c>
      <c r="B7" s="12">
        <v>0.97010982036590576</v>
      </c>
      <c r="C7" s="8">
        <v>2.2732710838317871</v>
      </c>
      <c r="D7" s="14">
        <f t="shared" si="1"/>
        <v>0.1</v>
      </c>
      <c r="E7" s="14"/>
      <c r="H7" s="17">
        <f t="shared" si="2"/>
        <v>37659.739898412758</v>
      </c>
      <c r="I7" s="18">
        <f t="shared" si="3"/>
        <v>1.8450558185577393E-2</v>
      </c>
      <c r="L7" s="14">
        <v>0.1</v>
      </c>
    </row>
    <row r="8" spans="1:12" x14ac:dyDescent="0.3">
      <c r="A8" s="11">
        <v>50000</v>
      </c>
      <c r="B8" s="12">
        <v>0.98856037855148315</v>
      </c>
      <c r="C8" s="8">
        <v>2.349048376083374</v>
      </c>
      <c r="D8" s="14">
        <f t="shared" si="1"/>
        <v>0.1</v>
      </c>
      <c r="E8" s="14"/>
      <c r="H8" s="17">
        <f t="shared" si="2"/>
        <v>66588.499534603005</v>
      </c>
      <c r="I8" s="18">
        <f t="shared" si="3"/>
        <v>7.820427417755127E-3</v>
      </c>
      <c r="L8" s="14">
        <v>0.1</v>
      </c>
    </row>
    <row r="9" spans="1:12" x14ac:dyDescent="0.3">
      <c r="A9" s="11">
        <v>100000</v>
      </c>
      <c r="B9" s="12">
        <v>0.99638080596923828</v>
      </c>
      <c r="C9" s="12">
        <v>2.2736020088195801</v>
      </c>
      <c r="D9" s="14">
        <f t="shared" si="1"/>
        <v>0.1</v>
      </c>
      <c r="E9" s="14"/>
      <c r="H9" s="17">
        <f t="shared" si="2"/>
        <v>137007.9877694732</v>
      </c>
      <c r="I9" s="18">
        <f t="shared" si="3"/>
        <v>2.4663209915161133E-3</v>
      </c>
      <c r="L9" s="14">
        <v>0.1</v>
      </c>
    </row>
    <row r="10" spans="1:12" x14ac:dyDescent="0.3">
      <c r="A10" s="11">
        <v>200000</v>
      </c>
      <c r="B10" s="12">
        <v>0.99884712696075439</v>
      </c>
      <c r="C10" s="12">
        <v>2.1032454967498779</v>
      </c>
      <c r="D10" s="14">
        <f t="shared" si="1"/>
        <v>0.1</v>
      </c>
      <c r="E10" s="14"/>
      <c r="H10" s="17">
        <f t="shared" si="2"/>
        <v>241542.80208997228</v>
      </c>
      <c r="I10" s="18">
        <f t="shared" si="3"/>
        <v>5.9288740158081055E-4</v>
      </c>
      <c r="L10" s="14">
        <v>0.1</v>
      </c>
    </row>
    <row r="11" spans="1:12" x14ac:dyDescent="0.3">
      <c r="A11" s="11">
        <v>300000</v>
      </c>
      <c r="B11" s="12">
        <v>0.99944001436233521</v>
      </c>
      <c r="C11" s="12">
        <v>2.0342624187469482</v>
      </c>
      <c r="D11" s="14">
        <f t="shared" si="1"/>
        <v>0.1</v>
      </c>
      <c r="E11" s="14"/>
      <c r="H11" s="17">
        <f t="shared" si="2"/>
        <v>373075.2723500423</v>
      </c>
      <c r="I11" s="18">
        <f t="shared" si="3"/>
        <v>3.5500526428222656E-4</v>
      </c>
      <c r="L11" s="14">
        <v>0.1</v>
      </c>
    </row>
    <row r="12" spans="1:12" x14ac:dyDescent="0.3">
      <c r="A12" s="11">
        <v>500000</v>
      </c>
      <c r="B12" s="12">
        <v>0.99979501962661743</v>
      </c>
      <c r="C12" s="12">
        <v>2.0421822071075439</v>
      </c>
      <c r="D12" s="14">
        <f t="shared" si="1"/>
        <v>0.1</v>
      </c>
      <c r="E12" s="14"/>
      <c r="H12" s="17">
        <f t="shared" si="2"/>
        <v>663195.41657181724</v>
      </c>
      <c r="I12" s="18">
        <f t="shared" si="3"/>
        <v>1.5509128570556641E-4</v>
      </c>
      <c r="L12" s="14">
        <v>0.1</v>
      </c>
    </row>
    <row r="13" spans="1:12" x14ac:dyDescent="0.3">
      <c r="A13" s="11">
        <v>1000000</v>
      </c>
      <c r="B13" s="12">
        <v>0.999950110912323</v>
      </c>
      <c r="C13" s="12">
        <v>2.1336891651153564</v>
      </c>
      <c r="D13" s="14">
        <f t="shared" si="1"/>
        <v>0.1</v>
      </c>
      <c r="E13" s="14"/>
      <c r="H13" s="17">
        <f>C13*A13</f>
        <v>2133689.1651153564</v>
      </c>
      <c r="I13" s="18">
        <f>1-B13</f>
        <v>4.9889087677001953E-5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1930</v>
      </c>
      <c r="C1" s="8" t="s">
        <v>24</v>
      </c>
      <c r="D1" s="10">
        <f>1000*[1]TD1!$C$37</f>
        <v>16555933.031139094</v>
      </c>
      <c r="E1" s="8" t="s">
        <v>30</v>
      </c>
      <c r="F1" s="21">
        <f>(SUMPRODUCT(D4:D13,H4:H13,I4:I13)/(D2*B2))/((1-SUMPRODUCT(D4:D13,H4:H13,I4:I13)/B2)/(1-D2))</f>
        <v>0.59347528097860114</v>
      </c>
      <c r="G1" s="19"/>
      <c r="H1" s="16"/>
    </row>
    <row r="2" spans="1:12" x14ac:dyDescent="0.3">
      <c r="A2" s="8" t="s">
        <v>12</v>
      </c>
      <c r="B2" s="11">
        <f>[1]TD2!$M$37</f>
        <v>9051.6931555075171</v>
      </c>
      <c r="C2" s="8" t="s">
        <v>15</v>
      </c>
      <c r="D2" s="14">
        <f>[1]TD1!$F$37</f>
        <v>0.22092809531279967</v>
      </c>
      <c r="E2" s="18" t="s">
        <v>26</v>
      </c>
      <c r="I2" s="8"/>
      <c r="L2" s="14">
        <f>D2</f>
        <v>0.22092809531279967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0.27874309929448743</v>
      </c>
      <c r="E4" s="14"/>
      <c r="F4" s="8"/>
      <c r="G4" s="8"/>
      <c r="H4" s="17">
        <f>((1-B4)*B2-(1-B5)*C5*A5)/(B5-B4)</f>
        <v>3297.4619996960887</v>
      </c>
      <c r="I4" s="18">
        <f t="shared" ref="I4" si="0">B5-B4</f>
        <v>0.67654693126678467</v>
      </c>
      <c r="L4" s="14"/>
    </row>
    <row r="5" spans="1:12" x14ac:dyDescent="0.3">
      <c r="A5" s="11">
        <v>10000</v>
      </c>
      <c r="B5" s="12">
        <v>0.67654693126678467</v>
      </c>
      <c r="C5" s="8">
        <v>2.1087465286254883</v>
      </c>
      <c r="D5" s="14">
        <f t="shared" ref="D5:D13" si="1">L5*D$2/L$2</f>
        <v>0.10000000000000002</v>
      </c>
      <c r="E5" s="14"/>
      <c r="F5" s="8"/>
      <c r="G5" s="8"/>
      <c r="H5" s="17">
        <f t="shared" ref="H5:H12" si="2">((1-B5)*C5*A5-(1-B6)*C6*A6)/(B6-B5)</f>
        <v>14806.376243127537</v>
      </c>
      <c r="I5" s="18">
        <f t="shared" ref="I5:I12" si="3">B6-B5</f>
        <v>0.24903464317321777</v>
      </c>
      <c r="L5" s="14">
        <v>0.1</v>
      </c>
    </row>
    <row r="6" spans="1:12" x14ac:dyDescent="0.3">
      <c r="A6" s="11">
        <v>20000</v>
      </c>
      <c r="B6" s="12">
        <v>0.92558157444000244</v>
      </c>
      <c r="C6" s="8">
        <v>2.1053285598754883</v>
      </c>
      <c r="D6" s="14">
        <f t="shared" si="1"/>
        <v>0.10000000000000002</v>
      </c>
      <c r="E6" s="14"/>
      <c r="F6" s="8"/>
      <c r="G6" s="8"/>
      <c r="H6" s="17">
        <f t="shared" si="2"/>
        <v>24395.65366705081</v>
      </c>
      <c r="I6" s="18">
        <f t="shared" si="3"/>
        <v>4.2109012603759766E-2</v>
      </c>
      <c r="L6" s="14">
        <v>0.1</v>
      </c>
    </row>
    <row r="7" spans="1:12" x14ac:dyDescent="0.3">
      <c r="A7" s="11">
        <v>30000</v>
      </c>
      <c r="B7" s="12">
        <v>0.96769058704376221</v>
      </c>
      <c r="C7" s="8">
        <v>2.1729764938354492</v>
      </c>
      <c r="D7" s="14">
        <f t="shared" si="1"/>
        <v>0.10000000000000002</v>
      </c>
      <c r="E7" s="14"/>
      <c r="H7" s="17">
        <f t="shared" si="2"/>
        <v>37688.211010207269</v>
      </c>
      <c r="I7" s="18">
        <f t="shared" si="3"/>
        <v>2.0656287670135498E-2</v>
      </c>
      <c r="L7" s="14">
        <v>0.1</v>
      </c>
    </row>
    <row r="8" spans="1:12" x14ac:dyDescent="0.3">
      <c r="A8" s="11">
        <v>50000</v>
      </c>
      <c r="B8" s="12">
        <v>0.98834687471389771</v>
      </c>
      <c r="C8" s="8">
        <v>2.278752326965332</v>
      </c>
      <c r="D8" s="14">
        <f t="shared" si="1"/>
        <v>0.10000000000000002</v>
      </c>
      <c r="E8" s="14"/>
      <c r="H8" s="17">
        <f t="shared" si="2"/>
        <v>67276.399971623221</v>
      </c>
      <c r="I8" s="18">
        <f t="shared" si="3"/>
        <v>8.1309676170349121E-3</v>
      </c>
      <c r="L8" s="14">
        <v>0.1</v>
      </c>
    </row>
    <row r="9" spans="1:12" x14ac:dyDescent="0.3">
      <c r="A9" s="11">
        <v>100000</v>
      </c>
      <c r="B9" s="12">
        <v>0.99647784233093262</v>
      </c>
      <c r="C9" s="12">
        <v>2.2165591716766357</v>
      </c>
      <c r="D9" s="14">
        <f t="shared" si="1"/>
        <v>0.10000000000000002</v>
      </c>
      <c r="E9" s="14"/>
      <c r="H9" s="17">
        <f t="shared" si="2"/>
        <v>135634.99628691041</v>
      </c>
      <c r="I9" s="18">
        <f t="shared" si="3"/>
        <v>2.4492740631103516E-3</v>
      </c>
      <c r="L9" s="14">
        <v>0.1</v>
      </c>
    </row>
    <row r="10" spans="1:12" x14ac:dyDescent="0.3">
      <c r="A10" s="11">
        <v>200000</v>
      </c>
      <c r="B10" s="12">
        <v>0.99892711639404297</v>
      </c>
      <c r="C10" s="12">
        <v>2.090160608291626</v>
      </c>
      <c r="D10" s="14">
        <f t="shared" si="1"/>
        <v>0.10000000000000002</v>
      </c>
      <c r="E10" s="14"/>
      <c r="H10" s="17">
        <f t="shared" si="2"/>
        <v>252903.61783220619</v>
      </c>
      <c r="I10" s="18">
        <f t="shared" si="3"/>
        <v>5.4967403411865234E-4</v>
      </c>
      <c r="L10" s="14">
        <v>0.1</v>
      </c>
    </row>
    <row r="11" spans="1:12" x14ac:dyDescent="0.3">
      <c r="A11" s="11">
        <v>300000</v>
      </c>
      <c r="B11" s="12">
        <v>0.99947679042816162</v>
      </c>
      <c r="C11" s="12">
        <v>1.9717099666595459</v>
      </c>
      <c r="D11" s="14">
        <f t="shared" si="1"/>
        <v>0.10000000000000002</v>
      </c>
      <c r="E11" s="14"/>
      <c r="H11" s="17">
        <f t="shared" si="2"/>
        <v>374643.6279219017</v>
      </c>
      <c r="I11" s="18">
        <f t="shared" si="3"/>
        <v>3.3730268478393555E-4</v>
      </c>
      <c r="L11" s="14">
        <v>0.1</v>
      </c>
    </row>
    <row r="12" spans="1:12" x14ac:dyDescent="0.3">
      <c r="A12" s="11">
        <v>500000</v>
      </c>
      <c r="B12" s="12">
        <v>0.99981409311294556</v>
      </c>
      <c r="C12" s="12">
        <v>1.9699857234954834</v>
      </c>
      <c r="D12" s="14">
        <f t="shared" si="1"/>
        <v>0.10000000000000002</v>
      </c>
      <c r="E12" s="14"/>
      <c r="H12" s="17">
        <f t="shared" si="2"/>
        <v>662469.94948664377</v>
      </c>
      <c r="I12" s="18">
        <f t="shared" si="3"/>
        <v>1.4352798461914063E-4</v>
      </c>
      <c r="L12" s="14">
        <v>0.1</v>
      </c>
    </row>
    <row r="13" spans="1:12" x14ac:dyDescent="0.3">
      <c r="A13" s="11">
        <v>1000000</v>
      </c>
      <c r="B13" s="12">
        <v>0.9999576210975647</v>
      </c>
      <c r="C13" s="12">
        <v>2.0773067474365234</v>
      </c>
      <c r="D13" s="14">
        <f t="shared" si="1"/>
        <v>0.10000000000000002</v>
      </c>
      <c r="E13" s="14"/>
      <c r="H13" s="17">
        <f>C13*A13</f>
        <v>2077306.7474365234</v>
      </c>
      <c r="I13" s="18">
        <f>1-B13</f>
        <v>4.2378902435302734E-5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120" zoomScaleNormal="120" zoomScalePageLayoutView="120" workbookViewId="0">
      <selection activeCell="B2" sqref="B2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1900</v>
      </c>
      <c r="C1" s="8" t="s">
        <v>24</v>
      </c>
      <c r="D1" s="10">
        <f>1000*[1]TD1!$C$7</f>
        <v>14119159.678957578</v>
      </c>
      <c r="E1" s="8" t="s">
        <v>30</v>
      </c>
      <c r="F1" s="21">
        <f>(SUMPRODUCT(D4:D6,H4:H6,I4:I6)/(D2*B2))/((1-SUMPRODUCT(D4:D6,H4:H6,I4:I6)/B2)/(1-D2))</f>
        <v>0.82292328927479774</v>
      </c>
      <c r="G1" s="19"/>
      <c r="H1" s="16"/>
    </row>
    <row r="2" spans="1:12" x14ac:dyDescent="0.3">
      <c r="A2" s="8" t="s">
        <v>12</v>
      </c>
      <c r="B2" s="11">
        <f>[1]TD2!$M$7</f>
        <v>1215.8791134311825</v>
      </c>
      <c r="C2" s="8" t="s">
        <v>15</v>
      </c>
      <c r="D2" s="14">
        <f>[1]TD1!$F$7</f>
        <v>0.15309882715860645</v>
      </c>
      <c r="E2" s="18" t="s">
        <v>26</v>
      </c>
      <c r="I2" s="8"/>
      <c r="L2" s="14">
        <f>D2</f>
        <v>0.15309882715860645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(D2-SUMPRODUCT(D5:D6,I5:I6))/I4</f>
        <v>0.15899869684289605</v>
      </c>
      <c r="E4" s="14"/>
      <c r="F4" s="8"/>
      <c r="G4" s="8"/>
      <c r="H4" s="17">
        <f>((1-B4)*B2-(1-B5)*C5*A5)/(B5-B4)</f>
        <v>675.48839635065679</v>
      </c>
      <c r="I4" s="18">
        <f t="shared" ref="I4:I5" si="0">B5-B4</f>
        <v>0.9</v>
      </c>
      <c r="L4" s="14"/>
    </row>
    <row r="5" spans="1:12" x14ac:dyDescent="0.3">
      <c r="A5" s="11">
        <f>(SUMPRODUCT(H5:H$6,I5:I$6)/(1-B5))/C5</f>
        <v>2338.2290642907365</v>
      </c>
      <c r="B5" s="12">
        <v>0.9</v>
      </c>
      <c r="C5" s="12">
        <v>2.6</v>
      </c>
      <c r="D5" s="14">
        <f t="shared" ref="D5:D6" si="1">L5*D$2/L$2</f>
        <v>0.1</v>
      </c>
      <c r="E5" s="14"/>
      <c r="F5" s="8"/>
      <c r="G5" s="8"/>
      <c r="H5" s="17">
        <f>(0.28/(B6-B5))*B$2</f>
        <v>3782.7350195636805</v>
      </c>
      <c r="I5" s="18">
        <f t="shared" si="0"/>
        <v>8.9999999999999969E-2</v>
      </c>
      <c r="L5" s="14">
        <v>0.1</v>
      </c>
    </row>
    <row r="6" spans="1:12" x14ac:dyDescent="0.3">
      <c r="A6" s="11">
        <f>(SUMPRODUCT(H6:H$6,I6:I$6)/(1-B6))/C6</f>
        <v>10288.207882879227</v>
      </c>
      <c r="B6" s="12">
        <v>0.99</v>
      </c>
      <c r="C6" s="12">
        <v>2.6</v>
      </c>
      <c r="D6" s="14">
        <f t="shared" si="1"/>
        <v>0.1</v>
      </c>
      <c r="E6" s="14"/>
      <c r="H6" s="17">
        <f>(0.22/I6)*B2</f>
        <v>26749.340495485994</v>
      </c>
      <c r="I6" s="18">
        <f>1-B6</f>
        <v>1.0000000000000009E-2</v>
      </c>
      <c r="L6" s="14">
        <v>0.1</v>
      </c>
    </row>
    <row r="7" spans="1:12" x14ac:dyDescent="0.3">
      <c r="I7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1931</v>
      </c>
      <c r="C1" s="8" t="s">
        <v>24</v>
      </c>
      <c r="D1" s="10">
        <f>1000*[1]TD1!$C$38</f>
        <v>16728728.130433075</v>
      </c>
      <c r="E1" s="8" t="s">
        <v>30</v>
      </c>
      <c r="F1" s="21">
        <f>(SUMPRODUCT(D4:D13,H4:H13,I4:I13)/(D2*B2))/((1-SUMPRODUCT(D4:D13,H4:H13,I4:I13)/B2)/(1-D2))</f>
        <v>0.75627353488032323</v>
      </c>
      <c r="G1" s="19"/>
      <c r="H1" s="16"/>
    </row>
    <row r="2" spans="1:12" x14ac:dyDescent="0.3">
      <c r="A2" s="8" t="s">
        <v>12</v>
      </c>
      <c r="B2" s="11">
        <f>[1]TD2!$M$38</f>
        <v>8396.885687854754</v>
      </c>
      <c r="C2" s="8" t="s">
        <v>15</v>
      </c>
      <c r="D2" s="14">
        <f>[1]TD1!$F$38</f>
        <v>0.22192844467603567</v>
      </c>
      <c r="E2" s="18" t="s">
        <v>26</v>
      </c>
      <c r="I2" s="8"/>
      <c r="L2" s="14">
        <f>D2</f>
        <v>0.22192844467603567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0.23924284597974563</v>
      </c>
      <c r="E4" s="14"/>
      <c r="F4" s="8"/>
      <c r="G4" s="8"/>
      <c r="H4" s="17">
        <f>((1-B4)*B2-(1-B5)*C5*A5)/(B5-B4)</f>
        <v>5332.8168884475208</v>
      </c>
      <c r="I4" s="18">
        <f t="shared" ref="I4" si="0">B5-B4</f>
        <v>0.87565320730209351</v>
      </c>
      <c r="L4" s="14"/>
    </row>
    <row r="5" spans="1:12" x14ac:dyDescent="0.3">
      <c r="A5" s="11">
        <f>10000+5000</f>
        <v>15000</v>
      </c>
      <c r="B5" s="12">
        <v>0.87565320730209351</v>
      </c>
      <c r="C5" s="8">
        <f>(SUMPRODUCT(H5:H$13,I5:I$13)/(1-B5))/A5</f>
        <v>1.9982756261278101</v>
      </c>
      <c r="D5" s="14">
        <f t="shared" ref="D5:D13" si="1">L5*D$2/L$2</f>
        <v>0.10000000000000002</v>
      </c>
      <c r="E5" s="14"/>
      <c r="F5" s="8"/>
      <c r="G5" s="8"/>
      <c r="H5" s="17">
        <f>'1931raw'!H5+5500</f>
        <v>19218.367883101906</v>
      </c>
      <c r="I5" s="18">
        <f t="shared" ref="I5:I12" si="2">B6-B5</f>
        <v>8.5421621799468994E-2</v>
      </c>
      <c r="L5" s="14">
        <v>0.1</v>
      </c>
    </row>
    <row r="6" spans="1:12" x14ac:dyDescent="0.3">
      <c r="A6" s="11">
        <f>20000+6000</f>
        <v>26000</v>
      </c>
      <c r="B6" s="12">
        <v>0.9610748291015625</v>
      </c>
      <c r="C6" s="8">
        <f>(SUMPRODUCT(H6:H$13,I6:I$13)/(1-B6))/A6</f>
        <v>2.0606829368733486</v>
      </c>
      <c r="D6" s="14">
        <f t="shared" si="1"/>
        <v>0.10000000000000002</v>
      </c>
      <c r="E6" s="14"/>
      <c r="F6" s="8"/>
      <c r="G6" s="8"/>
      <c r="H6" s="17">
        <f>'1931raw'!H6+6500</f>
        <v>30664.558842132319</v>
      </c>
      <c r="I6" s="18">
        <f t="shared" si="2"/>
        <v>1.9847214221954346E-2</v>
      </c>
      <c r="L6" s="14">
        <v>0.1</v>
      </c>
    </row>
    <row r="7" spans="1:12" x14ac:dyDescent="0.3">
      <c r="A7" s="11">
        <f>30000+7000</f>
        <v>37000</v>
      </c>
      <c r="B7" s="12">
        <v>0.98092204332351685</v>
      </c>
      <c r="C7" s="8">
        <f>(SUMPRODUCT(H7:H$13,I7:I$13)/(1-B7))/A7</f>
        <v>2.0922933846821996</v>
      </c>
      <c r="D7" s="14">
        <f t="shared" si="1"/>
        <v>0.10000000000000002</v>
      </c>
      <c r="E7" s="14"/>
      <c r="H7" s="17">
        <f>'1931raw'!H7+7000</f>
        <v>41443.552588531711</v>
      </c>
      <c r="I7" s="18">
        <f t="shared" si="2"/>
        <v>7.5744986534118652E-3</v>
      </c>
      <c r="L7" s="14">
        <v>0.1</v>
      </c>
    </row>
    <row r="8" spans="1:12" x14ac:dyDescent="0.3">
      <c r="A8" s="11">
        <f>40000+7000</f>
        <v>47000</v>
      </c>
      <c r="B8" s="12">
        <v>0.98849654197692871</v>
      </c>
      <c r="C8" s="8">
        <f>(SUMPRODUCT(H8:H$13,I8:I$13)/(1-B8))/A8</f>
        <v>2.1510703307908616</v>
      </c>
      <c r="D8" s="14">
        <f t="shared" si="1"/>
        <v>0.10000000000000002</v>
      </c>
      <c r="E8" s="14"/>
      <c r="H8" s="17">
        <f>'1931raw'!H8+7500</f>
        <v>52058.875738684808</v>
      </c>
      <c r="I8" s="18">
        <f t="shared" si="2"/>
        <v>3.6660432815551758E-3</v>
      </c>
      <c r="L8" s="14">
        <v>0.1</v>
      </c>
    </row>
    <row r="9" spans="1:12" x14ac:dyDescent="0.3">
      <c r="A9" s="11">
        <f>50000+8000</f>
        <v>58000</v>
      </c>
      <c r="B9" s="12">
        <v>0.99216258525848389</v>
      </c>
      <c r="C9" s="8">
        <f>(SUMPRODUCT(H9:H$13,I9:I$13)/(1-B9))/A9</f>
        <v>2.138620920195605</v>
      </c>
      <c r="D9" s="14">
        <f t="shared" si="1"/>
        <v>0.10000000000000002</v>
      </c>
      <c r="E9" s="14"/>
      <c r="H9" s="17">
        <f>'1931raw'!H9+8000</f>
        <v>75657.333578809048</v>
      </c>
      <c r="I9" s="18">
        <f t="shared" si="2"/>
        <v>5.355536937713623E-3</v>
      </c>
      <c r="L9" s="14">
        <v>0.1</v>
      </c>
    </row>
    <row r="10" spans="1:12" x14ac:dyDescent="0.3">
      <c r="A10" s="11">
        <f>100000+8000</f>
        <v>108000</v>
      </c>
      <c r="B10" s="12">
        <v>0.99751812219619751</v>
      </c>
      <c r="C10" s="8">
        <f>(SUMPRODUCT(H10:H$13,I10:I$13)/(1-B10))/A10</f>
        <v>2.1152121183596115</v>
      </c>
      <c r="D10" s="14">
        <f t="shared" si="1"/>
        <v>0.10000000000000002</v>
      </c>
      <c r="E10" s="14"/>
      <c r="H10" s="17">
        <f>'1931raw'!H10+8500</f>
        <v>144117.11186586908</v>
      </c>
      <c r="I10" s="18">
        <f t="shared" si="2"/>
        <v>1.7109513282775879E-3</v>
      </c>
      <c r="L10" s="14">
        <v>0.1</v>
      </c>
    </row>
    <row r="11" spans="1:12" x14ac:dyDescent="0.3">
      <c r="A11" s="11">
        <f>200000+9000</f>
        <v>209000</v>
      </c>
      <c r="B11" s="12">
        <v>0.9992290735244751</v>
      </c>
      <c r="C11" s="8">
        <f>(SUMPRODUCT(H11:H$13,I11:I$13)/(1-B11))/A11</f>
        <v>1.988473162126313</v>
      </c>
      <c r="D11" s="14">
        <f t="shared" si="1"/>
        <v>0.10000000000000002</v>
      </c>
      <c r="E11" s="14"/>
      <c r="H11" s="17">
        <f>'1931raw'!H11+9000</f>
        <v>301847.82218319911</v>
      </c>
      <c r="I11" s="18">
        <f t="shared" si="2"/>
        <v>6.4426660537719727E-4</v>
      </c>
      <c r="L11" s="14">
        <v>0.1</v>
      </c>
    </row>
    <row r="12" spans="1:12" x14ac:dyDescent="0.3">
      <c r="A12" s="11">
        <f>500000+9000</f>
        <v>509000</v>
      </c>
      <c r="B12" s="12">
        <v>0.99987334012985229</v>
      </c>
      <c r="C12" s="8">
        <f>(SUMPRODUCT(H12:H$13,I12:I$13)/(1-B12))/A12</f>
        <v>1.9531533319964156</v>
      </c>
      <c r="D12" s="14">
        <f t="shared" si="1"/>
        <v>0.10000000000000002</v>
      </c>
      <c r="E12" s="14"/>
      <c r="H12" s="17">
        <f>'1931raw'!H12+9000</f>
        <v>669879.10423249553</v>
      </c>
      <c r="I12" s="18">
        <f t="shared" si="2"/>
        <v>9.7155570983886719E-5</v>
      </c>
      <c r="L12" s="14">
        <v>0.1</v>
      </c>
    </row>
    <row r="13" spans="1:12" x14ac:dyDescent="0.3">
      <c r="A13" s="11">
        <f>1000000+9000</f>
        <v>1009000</v>
      </c>
      <c r="B13" s="12">
        <v>0.99997049570083618</v>
      </c>
      <c r="C13" s="8">
        <f>(SUMPRODUCT(H13:H$13,I13:I$13)/(1-B13))/A13</f>
        <v>2.0435805684629353</v>
      </c>
      <c r="D13" s="14">
        <f t="shared" si="1"/>
        <v>0.10000000000000002</v>
      </c>
      <c r="E13" s="14"/>
      <c r="H13" s="17">
        <f>'1931raw'!H13+9000</f>
        <v>2061972.7935791016</v>
      </c>
      <c r="I13" s="18">
        <f>1-B13</f>
        <v>2.9504299163818359E-5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C5" sqref="C5:C13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1932</v>
      </c>
      <c r="C1" s="8" t="s">
        <v>24</v>
      </c>
      <c r="D1" s="10">
        <f>1000*[1]TD1!$C$39</f>
        <v>16767239.401699284</v>
      </c>
      <c r="E1" s="8" t="s">
        <v>30</v>
      </c>
      <c r="F1" s="21">
        <f>(SUMPRODUCT(D4:D13,H4:H13,I4:I13)/(D2*B2))/((1-SUMPRODUCT(D4:D13,H4:H13,I4:I13)/B2)/(1-D2))</f>
        <v>0.74274950413872187</v>
      </c>
      <c r="G1" s="19"/>
      <c r="H1" s="16"/>
    </row>
    <row r="2" spans="1:12" x14ac:dyDescent="0.3">
      <c r="A2" s="8" t="s">
        <v>12</v>
      </c>
      <c r="B2" s="11">
        <f>[1]TD2!$M$39</f>
        <v>7541.1387773544739</v>
      </c>
      <c r="C2" s="8" t="s">
        <v>15</v>
      </c>
      <c r="D2" s="14">
        <f>[1]TD1!$F$39</f>
        <v>0.22473336297542512</v>
      </c>
      <c r="E2" s="18" t="s">
        <v>26</v>
      </c>
      <c r="I2" s="8"/>
      <c r="L2" s="14">
        <f>D2</f>
        <v>0.22473336297542512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0.24088409719177561</v>
      </c>
      <c r="E4" s="14"/>
      <c r="F4" s="8"/>
      <c r="G4" s="8"/>
      <c r="H4" s="17">
        <f>((1-B4)*B2-(1-B5)*C5*A5)/(B5-B4)</f>
        <v>4665.1184356216227</v>
      </c>
      <c r="I4" s="18">
        <f t="shared" ref="I4" si="0">B5-B4</f>
        <v>0.88536155223846436</v>
      </c>
      <c r="L4" s="14"/>
    </row>
    <row r="5" spans="1:12" x14ac:dyDescent="0.3">
      <c r="A5" s="11">
        <f>10000+5000</f>
        <v>15000</v>
      </c>
      <c r="B5" s="12">
        <v>0.88536155223846436</v>
      </c>
      <c r="C5" s="8">
        <f>(SUMPRODUCT(H5:H$13,I5:I$13)/(1-B5))/A5</f>
        <v>1.9835243436601275</v>
      </c>
      <c r="D5" s="14">
        <f t="shared" ref="D5:D13" si="1">L5*D$2/L$2</f>
        <v>0.1</v>
      </c>
      <c r="E5" s="14"/>
      <c r="F5" s="8"/>
      <c r="G5" s="8"/>
      <c r="H5" s="17">
        <f>'1932raw'!H5+5500</f>
        <v>19258.187801400258</v>
      </c>
      <c r="I5" s="18">
        <f t="shared" ref="I5:I12" si="2">B6-B5</f>
        <v>7.8091740608215332E-2</v>
      </c>
      <c r="L5" s="14">
        <v>0.1</v>
      </c>
    </row>
    <row r="6" spans="1:12" x14ac:dyDescent="0.3">
      <c r="A6" s="11">
        <f>20000+6000</f>
        <v>26000</v>
      </c>
      <c r="B6" s="12">
        <v>0.96345329284667969</v>
      </c>
      <c r="C6" s="8">
        <f>(SUMPRODUCT(H6:H$13,I6:I$13)/(1-B6))/A6</f>
        <v>2.0068280375123986</v>
      </c>
      <c r="D6" s="14">
        <f t="shared" si="1"/>
        <v>0.1</v>
      </c>
      <c r="E6" s="14"/>
      <c r="F6" s="8"/>
      <c r="G6" s="8"/>
      <c r="H6" s="17">
        <f>'1932raw'!H6+6500</f>
        <v>30716.156254751408</v>
      </c>
      <c r="I6" s="18">
        <f t="shared" si="2"/>
        <v>1.8668830394744873E-2</v>
      </c>
      <c r="L6" s="14">
        <v>0.1</v>
      </c>
    </row>
    <row r="7" spans="1:12" x14ac:dyDescent="0.3">
      <c r="A7" s="11">
        <f>30000+7000</f>
        <v>37000</v>
      </c>
      <c r="B7" s="12">
        <v>0.98212212324142456</v>
      </c>
      <c r="C7" s="8">
        <f>(SUMPRODUCT(H7:H$13,I7:I$13)/(1-B7))/A7</f>
        <v>2.0159026076542719</v>
      </c>
      <c r="D7" s="14">
        <f t="shared" si="1"/>
        <v>0.1</v>
      </c>
      <c r="E7" s="14"/>
      <c r="H7" s="17">
        <f>'1932raw'!H7+7000</f>
        <v>41414.165906243601</v>
      </c>
      <c r="I7" s="18">
        <f t="shared" si="2"/>
        <v>7.2576403617858887E-3</v>
      </c>
      <c r="L7" s="14">
        <v>0.1</v>
      </c>
    </row>
    <row r="8" spans="1:12" x14ac:dyDescent="0.3">
      <c r="A8" s="11">
        <f>40000+7000</f>
        <v>47000</v>
      </c>
      <c r="B8" s="12">
        <v>0.98937976360321045</v>
      </c>
      <c r="C8" s="8">
        <f>(SUMPRODUCT(H8:H$13,I8:I$13)/(1-B8))/A8</f>
        <v>2.0693393561169851</v>
      </c>
      <c r="D8" s="14">
        <f t="shared" si="1"/>
        <v>0.1</v>
      </c>
      <c r="E8" s="14"/>
      <c r="H8" s="17">
        <f>'1932raw'!H8+7500</f>
        <v>52071.742161575086</v>
      </c>
      <c r="I8" s="18">
        <f t="shared" si="2"/>
        <v>3.4738779067993164E-3</v>
      </c>
      <c r="L8" s="14">
        <v>0.1</v>
      </c>
    </row>
    <row r="9" spans="1:12" x14ac:dyDescent="0.3">
      <c r="A9" s="11">
        <f>50000+8000</f>
        <v>58000</v>
      </c>
      <c r="B9" s="12">
        <v>0.99285364151000977</v>
      </c>
      <c r="C9" s="8">
        <f>(SUMPRODUCT(H9:H$13,I9:I$13)/(1-B9))/A9</f>
        <v>2.0555975911403466</v>
      </c>
      <c r="D9" s="14">
        <f t="shared" si="1"/>
        <v>0.1</v>
      </c>
      <c r="E9" s="14"/>
      <c r="H9" s="17">
        <f>'1932raw'!H9+8000</f>
        <v>75362.676162188698</v>
      </c>
      <c r="I9" s="18">
        <f t="shared" si="2"/>
        <v>4.975438117980957E-3</v>
      </c>
      <c r="L9" s="14">
        <v>0.1</v>
      </c>
    </row>
    <row r="10" spans="1:12" x14ac:dyDescent="0.3">
      <c r="A10" s="11">
        <f>100000+8000</f>
        <v>108000</v>
      </c>
      <c r="B10" s="12">
        <v>0.99782907962799072</v>
      </c>
      <c r="C10" s="8">
        <f>(SUMPRODUCT(H10:H$13,I10:I$13)/(1-B10))/A10</f>
        <v>2.0347225628040526</v>
      </c>
      <c r="D10" s="14">
        <f t="shared" si="1"/>
        <v>0.1</v>
      </c>
      <c r="E10" s="14"/>
      <c r="H10" s="17">
        <f>'1932raw'!H10+8500</f>
        <v>143234.42862380401</v>
      </c>
      <c r="I10" s="18">
        <f t="shared" si="2"/>
        <v>1.5266537666320801E-3</v>
      </c>
      <c r="L10" s="14">
        <v>0.1</v>
      </c>
    </row>
    <row r="11" spans="1:12" x14ac:dyDescent="0.3">
      <c r="A11" s="11">
        <f>200000+9000</f>
        <v>209000</v>
      </c>
      <c r="B11" s="12">
        <v>0.9993557333946228</v>
      </c>
      <c r="C11" s="8">
        <f>(SUMPRODUCT(H11:H$13,I11:I$13)/(1-B11))/A11</f>
        <v>1.9189539548883028</v>
      </c>
      <c r="D11" s="14">
        <f t="shared" si="1"/>
        <v>0.1</v>
      </c>
      <c r="E11" s="14"/>
      <c r="H11" s="17">
        <f>'1932raw'!H11+9000</f>
        <v>298805.0684083727</v>
      </c>
      <c r="I11" s="18">
        <f t="shared" si="2"/>
        <v>5.4377317428588867E-4</v>
      </c>
      <c r="L11" s="14">
        <v>0.1</v>
      </c>
    </row>
    <row r="12" spans="1:12" x14ac:dyDescent="0.3">
      <c r="A12" s="11">
        <f>500000+9000</f>
        <v>509000</v>
      </c>
      <c r="B12" s="12">
        <v>0.99989950656890869</v>
      </c>
      <c r="C12" s="8">
        <f>(SUMPRODUCT(H12:H$13,I12:I$13)/(1-B12))/A12</f>
        <v>1.8749971221144401</v>
      </c>
      <c r="D12" s="14">
        <f t="shared" si="1"/>
        <v>0.1</v>
      </c>
      <c r="E12" s="14"/>
      <c r="H12" s="17">
        <f>'1932raw'!H12+9000</f>
        <v>672712.26651327952</v>
      </c>
      <c r="I12" s="18">
        <f t="shared" si="2"/>
        <v>7.7188014984130859E-5</v>
      </c>
      <c r="L12" s="14">
        <v>0.1</v>
      </c>
    </row>
    <row r="13" spans="1:12" x14ac:dyDescent="0.3">
      <c r="A13" s="11">
        <f>1000000+9000</f>
        <v>1009000</v>
      </c>
      <c r="B13" s="12">
        <v>0.99997669458389282</v>
      </c>
      <c r="C13" s="8">
        <f>(SUMPRODUCT(H13:H$13,I13:I$13)/(1-B13))/A13</f>
        <v>1.870407750041799</v>
      </c>
      <c r="D13" s="14">
        <f t="shared" si="1"/>
        <v>0.1</v>
      </c>
      <c r="E13" s="14"/>
      <c r="H13" s="17">
        <f>'1932raw'!H13+9000</f>
        <v>1887241.4197921753</v>
      </c>
      <c r="I13" s="18">
        <f>1-B13</f>
        <v>2.3305416107177734E-5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C5" sqref="C5:C13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1933</v>
      </c>
      <c r="C1" s="8" t="s">
        <v>24</v>
      </c>
      <c r="D1" s="10">
        <f>1000*[1]TD1!$C$40</f>
        <v>16810400.827934455</v>
      </c>
      <c r="E1" s="8" t="s">
        <v>30</v>
      </c>
      <c r="F1" s="21">
        <f>(SUMPRODUCT(D4:D13,H4:H13,I4:I13)/(D2*B2))/((1-SUMPRODUCT(D4:D13,H4:H13,I4:I13)/B2)/(1-D2))</f>
        <v>0.73108505381745059</v>
      </c>
      <c r="G1" s="19"/>
      <c r="H1" s="16"/>
    </row>
    <row r="2" spans="1:12" x14ac:dyDescent="0.3">
      <c r="A2" s="8" t="s">
        <v>12</v>
      </c>
      <c r="B2" s="11">
        <f>[1]TD2!$M$40</f>
        <v>7226.3934659253682</v>
      </c>
      <c r="C2" s="8" t="s">
        <v>15</v>
      </c>
      <c r="D2" s="14">
        <f>[1]TD1!$F$40</f>
        <v>0.22494525033089818</v>
      </c>
      <c r="E2" s="18" t="s">
        <v>26</v>
      </c>
      <c r="I2" s="8"/>
      <c r="L2" s="14">
        <f>D2</f>
        <v>0.22494525033089818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0.24105982221682654</v>
      </c>
      <c r="E4" s="14"/>
      <c r="F4" s="8"/>
      <c r="G4" s="8"/>
      <c r="H4" s="17">
        <f>((1-B4)*B2-(1-B5)*C5*A5)/(B5-B4)</f>
        <v>4340.202098791463</v>
      </c>
      <c r="I4" s="18">
        <f t="shared" ref="I4" si="0">B5-B4</f>
        <v>0.88576072454452515</v>
      </c>
      <c r="L4" s="14"/>
    </row>
    <row r="5" spans="1:12" x14ac:dyDescent="0.3">
      <c r="A5" s="11">
        <f>10000+5000</f>
        <v>15000</v>
      </c>
      <c r="B5" s="12">
        <v>0.88576072454452515</v>
      </c>
      <c r="C5" s="8">
        <f>(SUMPRODUCT(H5:H$13,I5:I$13)/(1-B5))/A5</f>
        <v>1.9736428338654421</v>
      </c>
      <c r="D5" s="14">
        <f t="shared" ref="D5:D13" si="1">L5*D$2/L$2</f>
        <v>0.1</v>
      </c>
      <c r="E5" s="14"/>
      <c r="F5" s="8"/>
      <c r="G5" s="8"/>
      <c r="H5" s="17">
        <f>'1933raw'!H5+5500</f>
        <v>19268.374935716813</v>
      </c>
      <c r="I5" s="18">
        <f t="shared" ref="I5:I12" si="2">B6-B5</f>
        <v>7.7324569225311279E-2</v>
      </c>
      <c r="L5" s="14">
        <v>0.1</v>
      </c>
    </row>
    <row r="6" spans="1:12" x14ac:dyDescent="0.3">
      <c r="A6" s="11">
        <f>20000+6000</f>
        <v>26000</v>
      </c>
      <c r="B6" s="12">
        <v>0.96308529376983643</v>
      </c>
      <c r="C6" s="8">
        <f>(SUMPRODUCT(H6:H$13,I6:I$13)/(1-B6))/A6</f>
        <v>1.9713782974114804</v>
      </c>
      <c r="D6" s="14">
        <f t="shared" si="1"/>
        <v>0.1</v>
      </c>
      <c r="E6" s="14"/>
      <c r="F6" s="8"/>
      <c r="G6" s="8"/>
      <c r="H6" s="17">
        <f>'1933raw'!H6+6500</f>
        <v>30699.566349053883</v>
      </c>
      <c r="I6" s="18">
        <f t="shared" si="2"/>
        <v>1.9046127796173096E-2</v>
      </c>
      <c r="L6" s="14">
        <v>0.1</v>
      </c>
    </row>
    <row r="7" spans="1:12" x14ac:dyDescent="0.3">
      <c r="A7" s="11">
        <f>30000+7000</f>
        <v>37000</v>
      </c>
      <c r="B7" s="12">
        <v>0.98213142156600952</v>
      </c>
      <c r="C7" s="8">
        <f>(SUMPRODUCT(H7:H$13,I7:I$13)/(1-B7))/A7</f>
        <v>1.9774804006155944</v>
      </c>
      <c r="D7" s="14">
        <f t="shared" si="1"/>
        <v>0.1</v>
      </c>
      <c r="E7" s="14"/>
      <c r="H7" s="17">
        <f>'1933raw'!H7+7000</f>
        <v>41447.507936774404</v>
      </c>
      <c r="I7" s="18">
        <f t="shared" si="2"/>
        <v>7.4006915092468262E-3</v>
      </c>
      <c r="L7" s="14">
        <v>0.1</v>
      </c>
    </row>
    <row r="8" spans="1:12" x14ac:dyDescent="0.3">
      <c r="A8" s="11">
        <f>40000+7000</f>
        <v>47000</v>
      </c>
      <c r="B8" s="12">
        <v>0.98953211307525635</v>
      </c>
      <c r="C8" s="8">
        <f>(SUMPRODUCT(H8:H$13,I8:I$13)/(1-B8))/A8</f>
        <v>2.0338719089248598</v>
      </c>
      <c r="D8" s="14">
        <f t="shared" si="1"/>
        <v>0.1</v>
      </c>
      <c r="E8" s="14"/>
      <c r="H8" s="17">
        <f>'1933raw'!H8+7500</f>
        <v>52047.44336766014</v>
      </c>
      <c r="I8" s="18">
        <f t="shared" si="2"/>
        <v>3.5027861595153809E-3</v>
      </c>
      <c r="L8" s="14">
        <v>0.1</v>
      </c>
    </row>
    <row r="9" spans="1:12" x14ac:dyDescent="0.3">
      <c r="A9" s="11">
        <f>50000+8000</f>
        <v>58000</v>
      </c>
      <c r="B9" s="12">
        <v>0.99303489923477173</v>
      </c>
      <c r="C9" s="8">
        <f>(SUMPRODUCT(H9:H$13,I9:I$13)/(1-B9))/A9</f>
        <v>2.0257027288321066</v>
      </c>
      <c r="D9" s="14">
        <f t="shared" si="1"/>
        <v>0.1</v>
      </c>
      <c r="E9" s="14"/>
      <c r="H9" s="17">
        <f>'1933raw'!H9+8000</f>
        <v>75258.441071697511</v>
      </c>
      <c r="I9" s="18">
        <f t="shared" si="2"/>
        <v>4.9254894256591797E-3</v>
      </c>
      <c r="L9" s="14">
        <v>0.1</v>
      </c>
    </row>
    <row r="10" spans="1:12" x14ac:dyDescent="0.3">
      <c r="A10" s="11">
        <f>100000+8000</f>
        <v>108000</v>
      </c>
      <c r="B10" s="12">
        <v>0.99796038866043091</v>
      </c>
      <c r="C10" s="8">
        <f>(SUMPRODUCT(H10:H$13,I10:I$13)/(1-B10))/A10</f>
        <v>2.0322059602755895</v>
      </c>
      <c r="D10" s="14">
        <f t="shared" si="1"/>
        <v>0.1</v>
      </c>
      <c r="E10" s="14"/>
      <c r="H10" s="17">
        <f>'1933raw'!H10+8500</f>
        <v>143141.41259436272</v>
      </c>
      <c r="I10" s="18">
        <f t="shared" si="2"/>
        <v>1.4523863792419434E-3</v>
      </c>
      <c r="L10" s="14">
        <v>0.1</v>
      </c>
    </row>
    <row r="11" spans="1:12" x14ac:dyDescent="0.3">
      <c r="A11" s="11">
        <f>200000+9000</f>
        <v>209000</v>
      </c>
      <c r="B11" s="12">
        <v>0.99941277503967285</v>
      </c>
      <c r="C11" s="8">
        <f>(SUMPRODUCT(H11:H$13,I11:I$13)/(1-B11))/A11</f>
        <v>1.95350479965575</v>
      </c>
      <c r="D11" s="14">
        <f t="shared" si="1"/>
        <v>0.1</v>
      </c>
      <c r="E11" s="14"/>
      <c r="H11" s="17">
        <f>'1933raw'!H11+9000</f>
        <v>298498.69741611142</v>
      </c>
      <c r="I11" s="18">
        <f t="shared" si="2"/>
        <v>4.9370527267456055E-4</v>
      </c>
      <c r="L11" s="14">
        <v>0.1</v>
      </c>
    </row>
    <row r="12" spans="1:12" x14ac:dyDescent="0.3">
      <c r="A12" s="11">
        <f>500000+9000</f>
        <v>509000</v>
      </c>
      <c r="B12" s="12">
        <v>0.99990648031234741</v>
      </c>
      <c r="C12" s="8">
        <f>(SUMPRODUCT(H12:H$13,I12:I$13)/(1-B12))/A12</f>
        <v>1.9407635287826328</v>
      </c>
      <c r="D12" s="14">
        <f t="shared" si="1"/>
        <v>0.1</v>
      </c>
      <c r="E12" s="14"/>
      <c r="H12" s="17">
        <f>'1933raw'!H12+9000</f>
        <v>668185.0488426059</v>
      </c>
      <c r="I12" s="18">
        <f t="shared" si="2"/>
        <v>7.2777271270751953E-5</v>
      </c>
      <c r="L12" s="14">
        <v>0.1</v>
      </c>
    </row>
    <row r="13" spans="1:12" x14ac:dyDescent="0.3">
      <c r="A13" s="11">
        <f>1000000+9000</f>
        <v>1009000</v>
      </c>
      <c r="B13" s="12">
        <v>0.99997925758361816</v>
      </c>
      <c r="C13" s="8">
        <f>(SUMPRODUCT(H13:H$13,I13:I$13)/(1-B13))/A13</f>
        <v>2.090611409621149</v>
      </c>
      <c r="D13" s="14">
        <f t="shared" si="1"/>
        <v>0.1</v>
      </c>
      <c r="E13" s="14"/>
      <c r="H13" s="17">
        <f>'1933raw'!H13+9000</f>
        <v>2109426.9123077393</v>
      </c>
      <c r="I13" s="18">
        <f>1-B13</f>
        <v>2.0742416381835938E-5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C5" sqref="C5:C13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1934</v>
      </c>
      <c r="C1" s="8" t="s">
        <v>24</v>
      </c>
      <c r="D1" s="10">
        <f>1000*[1]TD1!$C$41</f>
        <v>16836610.287627246</v>
      </c>
      <c r="E1" s="8" t="s">
        <v>30</v>
      </c>
      <c r="F1" s="21">
        <f>(SUMPRODUCT(D4:D13,H4:H13,I4:I13)/(D2*B2))/((1-SUMPRODUCT(D4:D13,H4:H13,I4:I13)/B2)/(1-D2))</f>
        <v>0.73602275743838719</v>
      </c>
      <c r="G1" s="19"/>
      <c r="H1" s="16"/>
    </row>
    <row r="2" spans="1:12" x14ac:dyDescent="0.3">
      <c r="A2" s="8" t="s">
        <v>12</v>
      </c>
      <c r="B2" s="11">
        <f>[1]TD2!$M$41</f>
        <v>6691.0595173414858</v>
      </c>
      <c r="C2" s="8" t="s">
        <v>15</v>
      </c>
      <c r="D2" s="14">
        <f>[1]TD1!$F$41</f>
        <v>0.22464273194450768</v>
      </c>
      <c r="E2" s="18" t="s">
        <v>26</v>
      </c>
      <c r="I2" s="8"/>
      <c r="L2" s="14">
        <f>D2</f>
        <v>0.22464273194450768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0.23905432494846404</v>
      </c>
      <c r="E4" s="14"/>
      <c r="F4" s="8"/>
      <c r="G4" s="8"/>
      <c r="H4" s="17">
        <f>((1-B4)*B2-(1-B5)*C5*A5)/(B5-B4)</f>
        <v>4067.2169435048295</v>
      </c>
      <c r="I4" s="18">
        <f t="shared" ref="I4" si="0">B5-B4</f>
        <v>0.89635998010635376</v>
      </c>
      <c r="L4" s="14"/>
    </row>
    <row r="5" spans="1:12" x14ac:dyDescent="0.3">
      <c r="A5" s="11">
        <f>10000+5000</f>
        <v>15000</v>
      </c>
      <c r="B5" s="12">
        <v>0.89635998010635376</v>
      </c>
      <c r="C5" s="8">
        <f>(SUMPRODUCT(H5:H$13,I5:I$13)/(1-B5))/A5</f>
        <v>1.9589401995473572</v>
      </c>
      <c r="D5" s="14">
        <f t="shared" ref="D5:D13" si="1">L5*D$2/L$2</f>
        <v>0.1</v>
      </c>
      <c r="E5" s="14"/>
      <c r="F5" s="8"/>
      <c r="G5" s="8"/>
      <c r="H5" s="17">
        <f>'1934raw'!H5+5500</f>
        <v>19282.125266453557</v>
      </c>
      <c r="I5" s="18">
        <f t="shared" ref="I5:I12" si="2">B6-B5</f>
        <v>7.0976912975311279E-2</v>
      </c>
      <c r="L5" s="14">
        <v>0.1</v>
      </c>
    </row>
    <row r="6" spans="1:12" x14ac:dyDescent="0.3">
      <c r="A6" s="11">
        <f>20000+6000</f>
        <v>26000</v>
      </c>
      <c r="B6" s="12">
        <v>0.96733689308166504</v>
      </c>
      <c r="C6" s="8">
        <f>(SUMPRODUCT(H6:H$13,I6:I$13)/(1-B6))/A6</f>
        <v>1.9744498044483669</v>
      </c>
      <c r="D6" s="14">
        <f t="shared" si="1"/>
        <v>0.1</v>
      </c>
      <c r="E6" s="14"/>
      <c r="F6" s="8"/>
      <c r="G6" s="8"/>
      <c r="H6" s="17">
        <f>'1934raw'!H6+6500</f>
        <v>30691.017301668599</v>
      </c>
      <c r="I6" s="18">
        <f t="shared" si="2"/>
        <v>1.703345775604248E-2</v>
      </c>
      <c r="L6" s="14">
        <v>0.1</v>
      </c>
    </row>
    <row r="7" spans="1:12" x14ac:dyDescent="0.3">
      <c r="A7" s="11">
        <f>30000+7000</f>
        <v>37000</v>
      </c>
      <c r="B7" s="12">
        <v>0.98437035083770752</v>
      </c>
      <c r="C7" s="8">
        <f>(SUMPRODUCT(H7:H$13,I7:I$13)/(1-B7))/A7</f>
        <v>1.9955301637990699</v>
      </c>
      <c r="D7" s="14">
        <f t="shared" si="1"/>
        <v>0.1</v>
      </c>
      <c r="E7" s="14"/>
      <c r="H7" s="17">
        <f>'1934raw'!H7+7000</f>
        <v>41425.177763401836</v>
      </c>
      <c r="I7" s="18">
        <f t="shared" si="2"/>
        <v>6.3678622245788574E-3</v>
      </c>
      <c r="L7" s="14">
        <v>0.1</v>
      </c>
    </row>
    <row r="8" spans="1:12" x14ac:dyDescent="0.3">
      <c r="A8" s="11">
        <f>40000+7000</f>
        <v>47000</v>
      </c>
      <c r="B8" s="12">
        <v>0.99073821306228638</v>
      </c>
      <c r="C8" s="8">
        <f>(SUMPRODUCT(H8:H$13,I8:I$13)/(1-B8))/A8</f>
        <v>2.0450520760561712</v>
      </c>
      <c r="D8" s="14">
        <f t="shared" si="1"/>
        <v>0.1</v>
      </c>
      <c r="E8" s="14"/>
      <c r="H8" s="17">
        <f>'1934raw'!H8+7500</f>
        <v>52097.495680071617</v>
      </c>
      <c r="I8" s="18">
        <f t="shared" si="2"/>
        <v>3.0462145805358887E-3</v>
      </c>
      <c r="L8" s="14">
        <v>0.1</v>
      </c>
    </row>
    <row r="9" spans="1:12" x14ac:dyDescent="0.3">
      <c r="A9" s="11">
        <f>50000+8000</f>
        <v>58000</v>
      </c>
      <c r="B9" s="12">
        <v>0.99378442764282227</v>
      </c>
      <c r="C9" s="8">
        <f>(SUMPRODUCT(H9:H$13,I9:I$13)/(1-B9))/A9</f>
        <v>2.0291613948122382</v>
      </c>
      <c r="D9" s="14">
        <f t="shared" si="1"/>
        <v>0.1</v>
      </c>
      <c r="E9" s="14"/>
      <c r="H9" s="17">
        <f>'1934raw'!H9+8000</f>
        <v>75476.087360600242</v>
      </c>
      <c r="I9" s="18">
        <f t="shared" si="2"/>
        <v>4.3773651123046875E-3</v>
      </c>
      <c r="L9" s="14">
        <v>0.1</v>
      </c>
    </row>
    <row r="10" spans="1:12" x14ac:dyDescent="0.3">
      <c r="A10" s="11">
        <f>100000+8000</f>
        <v>108000</v>
      </c>
      <c r="B10" s="12">
        <v>0.99816179275512695</v>
      </c>
      <c r="C10" s="8">
        <f>(SUMPRODUCT(H10:H$13,I10:I$13)/(1-B10))/A10</f>
        <v>2.0205514900071733</v>
      </c>
      <c r="D10" s="14">
        <f t="shared" si="1"/>
        <v>0.1</v>
      </c>
      <c r="E10" s="14"/>
      <c r="H10" s="17">
        <f>'1934raw'!H10+8500</f>
        <v>143595.85989175603</v>
      </c>
      <c r="I10" s="18">
        <f t="shared" si="2"/>
        <v>1.3069510459899902E-3</v>
      </c>
      <c r="L10" s="14">
        <v>0.1</v>
      </c>
    </row>
    <row r="11" spans="1:12" x14ac:dyDescent="0.3">
      <c r="A11" s="11">
        <f>200000+9000</f>
        <v>209000</v>
      </c>
      <c r="B11" s="12">
        <v>0.99946874380111694</v>
      </c>
      <c r="C11" s="8">
        <f>(SUMPRODUCT(H11:H$13,I11:I$13)/(1-B11))/A11</f>
        <v>1.922499547164406</v>
      </c>
      <c r="D11" s="14">
        <f t="shared" si="1"/>
        <v>0.1</v>
      </c>
      <c r="E11" s="14"/>
      <c r="H11" s="17">
        <f>'1934raw'!H11+9000</f>
        <v>299534.83055736258</v>
      </c>
      <c r="I11" s="18">
        <f t="shared" si="2"/>
        <v>4.4870376586914063E-4</v>
      </c>
      <c r="L11" s="14">
        <v>0.1</v>
      </c>
    </row>
    <row r="12" spans="1:12" x14ac:dyDescent="0.3">
      <c r="A12" s="11">
        <f>500000+9000</f>
        <v>509000</v>
      </c>
      <c r="B12" s="12">
        <v>0.99991744756698608</v>
      </c>
      <c r="C12" s="8">
        <f>(SUMPRODUCT(H12:H$13,I12:I$13)/(1-B12))/A12</f>
        <v>1.881464518826228</v>
      </c>
      <c r="D12" s="14">
        <f t="shared" si="1"/>
        <v>0.1</v>
      </c>
      <c r="E12" s="14"/>
      <c r="H12" s="17">
        <f>'1934raw'!H12+9000</f>
        <v>673689.13027170976</v>
      </c>
      <c r="I12" s="18">
        <f t="shared" si="2"/>
        <v>6.4194202423095703E-5</v>
      </c>
      <c r="L12" s="14">
        <v>0.1</v>
      </c>
    </row>
    <row r="13" spans="1:12" x14ac:dyDescent="0.3">
      <c r="A13" s="11">
        <f>1000000+9000</f>
        <v>1009000</v>
      </c>
      <c r="B13" s="12">
        <v>0.99998164176940918</v>
      </c>
      <c r="C13" s="8">
        <f>(SUMPRODUCT(H13:H$13,I13:I$13)/(1-B13))/A13</f>
        <v>1.9332611728588818</v>
      </c>
      <c r="D13" s="14">
        <f t="shared" si="1"/>
        <v>0.1</v>
      </c>
      <c r="E13" s="14"/>
      <c r="H13" s="17">
        <f>'1934raw'!H13+9000</f>
        <v>1950660.5234146118</v>
      </c>
      <c r="I13" s="18">
        <f>1-B13</f>
        <v>1.8358230590820313E-5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C5" sqref="C5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1935</v>
      </c>
      <c r="C1" s="8" t="s">
        <v>24</v>
      </c>
      <c r="D1" s="10">
        <f>1000*[1]TD1!$C$42</f>
        <v>16873981.152787812</v>
      </c>
      <c r="E1" s="8" t="s">
        <v>30</v>
      </c>
      <c r="F1" s="21">
        <f>(SUMPRODUCT(D4:D13,H4:H13,I4:I13)/(D2*B2))/((1-SUMPRODUCT(D4:D13,H4:H13,I4:I13)/B2)/(1-D2))</f>
        <v>0.73852242642062449</v>
      </c>
      <c r="G1" s="19"/>
      <c r="H1" s="16"/>
    </row>
    <row r="2" spans="1:12" x14ac:dyDescent="0.3">
      <c r="A2" s="8" t="s">
        <v>12</v>
      </c>
      <c r="B2" s="11">
        <f>[1]TD2!$M$42</f>
        <v>6440.5592894603014</v>
      </c>
      <c r="C2" s="8" t="s">
        <v>15</v>
      </c>
      <c r="D2" s="14">
        <f>[1]TD1!$F$42</f>
        <v>0.22510623521797002</v>
      </c>
      <c r="E2" s="18" t="s">
        <v>26</v>
      </c>
      <c r="I2" s="8"/>
      <c r="L2" s="14">
        <f>D2</f>
        <v>0.22510623521797002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0.2385089615395426</v>
      </c>
      <c r="E4" s="14"/>
      <c r="F4" s="8"/>
      <c r="G4" s="8"/>
      <c r="H4" s="17">
        <f>((1-B4)*B2-(1-B5)*C5*A5)/(B5-B4)</f>
        <v>3945.6506915425148</v>
      </c>
      <c r="I4" s="18">
        <f t="shared" ref="I4" si="0">B5-B4</f>
        <v>0.90323567390441895</v>
      </c>
      <c r="L4" s="14"/>
    </row>
    <row r="5" spans="1:12" x14ac:dyDescent="0.3">
      <c r="A5" s="11">
        <f>10000+5000</f>
        <v>15000</v>
      </c>
      <c r="B5" s="12">
        <v>0.90323567390441895</v>
      </c>
      <c r="C5" s="8">
        <f>(SUMPRODUCT(H5:H$13,I5:I$13)/(1-B5))/A5</f>
        <v>1.9819334556910513</v>
      </c>
      <c r="D5" s="14">
        <f t="shared" ref="D5:D13" si="1">L5*D$2/L$2</f>
        <v>0.1</v>
      </c>
      <c r="E5" s="14"/>
      <c r="F5" s="8"/>
      <c r="G5" s="8"/>
      <c r="H5" s="17">
        <f>'1935raw'!H5+5500</f>
        <v>19294.697351661878</v>
      </c>
      <c r="I5" s="18">
        <f t="shared" ref="I5:I12" si="2">B6-B5</f>
        <v>6.623077392578125E-2</v>
      </c>
      <c r="L5" s="14">
        <v>0.1</v>
      </c>
    </row>
    <row r="6" spans="1:12" x14ac:dyDescent="0.3">
      <c r="A6" s="11">
        <f>20000+6000</f>
        <v>26000</v>
      </c>
      <c r="B6" s="12">
        <v>0.9694664478302002</v>
      </c>
      <c r="C6" s="8">
        <f>(SUMPRODUCT(H6:H$13,I6:I$13)/(1-B6))/A6</f>
        <v>2.0139309259356608</v>
      </c>
      <c r="D6" s="14">
        <f t="shared" si="1"/>
        <v>0.1</v>
      </c>
      <c r="E6" s="14"/>
      <c r="F6" s="8"/>
      <c r="G6" s="8"/>
      <c r="H6" s="17">
        <f>'1935raw'!H6+6500</f>
        <v>30730.944005412428</v>
      </c>
      <c r="I6" s="18">
        <f t="shared" si="2"/>
        <v>1.5833616256713867E-2</v>
      </c>
      <c r="L6" s="14">
        <v>0.1</v>
      </c>
    </row>
    <row r="7" spans="1:12" x14ac:dyDescent="0.3">
      <c r="A7" s="11">
        <f>30000+7000</f>
        <v>37000</v>
      </c>
      <c r="B7" s="12">
        <v>0.98530006408691406</v>
      </c>
      <c r="C7" s="8">
        <f>(SUMPRODUCT(H7:H$13,I7:I$13)/(1-B7))/A7</f>
        <v>2.0449107633124912</v>
      </c>
      <c r="D7" s="14">
        <f t="shared" si="1"/>
        <v>0.1</v>
      </c>
      <c r="E7" s="14"/>
      <c r="H7" s="17">
        <f>'1935raw'!H7+7000</f>
        <v>42856.976561037285</v>
      </c>
      <c r="I7" s="18">
        <f t="shared" si="2"/>
        <v>5.7452917098999023E-3</v>
      </c>
      <c r="L7" s="14">
        <v>0.1</v>
      </c>
    </row>
    <row r="8" spans="1:12" x14ac:dyDescent="0.3">
      <c r="A8" s="11">
        <f>40000+7000</f>
        <v>47000</v>
      </c>
      <c r="B8" s="12">
        <v>0.99104535579681396</v>
      </c>
      <c r="C8" s="8">
        <f>(SUMPRODUCT(H8:H$13,I8:I$13)/(1-B8))/A8</f>
        <v>2.0576420920463754</v>
      </c>
      <c r="D8" s="14">
        <f t="shared" si="1"/>
        <v>0.1</v>
      </c>
      <c r="E8" s="14"/>
      <c r="H8" s="17">
        <f>'1935raw'!H8+7500</f>
        <v>52128.615113747212</v>
      </c>
      <c r="I8" s="18">
        <f t="shared" si="2"/>
        <v>2.8931498527526855E-3</v>
      </c>
      <c r="L8" s="14">
        <v>0.1</v>
      </c>
    </row>
    <row r="9" spans="1:12" x14ac:dyDescent="0.3">
      <c r="A9" s="11">
        <f>50000+8000</f>
        <v>58000</v>
      </c>
      <c r="B9" s="12">
        <v>0.99393850564956665</v>
      </c>
      <c r="C9" s="8">
        <f>(SUMPRODUCT(H9:H$13,I9:I$13)/(1-B9))/A9</f>
        <v>2.0342667387182254</v>
      </c>
      <c r="D9" s="14">
        <f t="shared" si="1"/>
        <v>0.1</v>
      </c>
      <c r="E9" s="14"/>
      <c r="H9" s="17">
        <f>'1935raw'!H9+8000</f>
        <v>75448.083076637457</v>
      </c>
      <c r="I9" s="18">
        <f t="shared" si="2"/>
        <v>4.2879581451416016E-3</v>
      </c>
      <c r="L9" s="14">
        <v>0.1</v>
      </c>
    </row>
    <row r="10" spans="1:12" x14ac:dyDescent="0.3">
      <c r="A10" s="11">
        <f>100000+8000</f>
        <v>108000</v>
      </c>
      <c r="B10" s="12">
        <v>0.99822646379470825</v>
      </c>
      <c r="C10" s="8">
        <f>(SUMPRODUCT(H10:H$13,I10:I$13)/(1-B10))/A10</f>
        <v>2.044785735082121</v>
      </c>
      <c r="D10" s="14">
        <f t="shared" si="1"/>
        <v>0.1</v>
      </c>
      <c r="E10" s="14"/>
      <c r="H10" s="17">
        <f>'1935raw'!H10+8500</f>
        <v>143170.22199408329</v>
      </c>
      <c r="I10" s="18">
        <f t="shared" si="2"/>
        <v>1.2702345848083496E-3</v>
      </c>
      <c r="L10" s="14">
        <v>0.1</v>
      </c>
    </row>
    <row r="11" spans="1:12" x14ac:dyDescent="0.3">
      <c r="A11" s="11">
        <f>200000+9000</f>
        <v>209000</v>
      </c>
      <c r="B11" s="12">
        <v>0.9994966983795166</v>
      </c>
      <c r="C11" s="8">
        <f>(SUMPRODUCT(H11:H$13,I11:I$13)/(1-B11))/A11</f>
        <v>1.994508232226212</v>
      </c>
      <c r="D11" s="14">
        <f t="shared" si="1"/>
        <v>0.1</v>
      </c>
      <c r="E11" s="14"/>
      <c r="H11" s="17">
        <f>'1935raw'!H11+9000</f>
        <v>297451.99325604748</v>
      </c>
      <c r="I11" s="18">
        <f t="shared" si="2"/>
        <v>4.2080879211425781E-4</v>
      </c>
      <c r="L11" s="14">
        <v>0.1</v>
      </c>
    </row>
    <row r="12" spans="1:12" x14ac:dyDescent="0.3">
      <c r="A12" s="11">
        <f>500000+9000</f>
        <v>509000</v>
      </c>
      <c r="B12" s="12">
        <v>0.99991750717163086</v>
      </c>
      <c r="C12" s="8">
        <f>(SUMPRODUCT(H12:H$13,I12:I$13)/(1-B12))/A12</f>
        <v>2.0155823469630394</v>
      </c>
      <c r="D12" s="14">
        <f t="shared" si="1"/>
        <v>0.1</v>
      </c>
      <c r="E12" s="14"/>
      <c r="H12" s="17">
        <f>'1935raw'!H12+9000</f>
        <v>669384.48252576462</v>
      </c>
      <c r="I12" s="18">
        <f t="shared" si="2"/>
        <v>6.1631202697753906E-5</v>
      </c>
      <c r="L12" s="14">
        <v>0.1</v>
      </c>
    </row>
    <row r="13" spans="1:12" x14ac:dyDescent="0.3">
      <c r="A13" s="11">
        <f>1000000+9000</f>
        <v>1009000</v>
      </c>
      <c r="B13" s="12">
        <v>0.99997913837432861</v>
      </c>
      <c r="C13" s="8">
        <f>(SUMPRODUCT(H13:H$13,I13:I$13)/(1-B13))/A13</f>
        <v>2.0607263850504154</v>
      </c>
      <c r="D13" s="14">
        <f t="shared" si="1"/>
        <v>0.1</v>
      </c>
      <c r="E13" s="14"/>
      <c r="H13" s="17">
        <f>'1935raw'!H13+9000</f>
        <v>2079272.9225158691</v>
      </c>
      <c r="I13" s="18">
        <f>1-B13</f>
        <v>2.0861625671386719E-5</v>
      </c>
      <c r="L13" s="14">
        <v>0.1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1936</v>
      </c>
      <c r="C1" s="8" t="s">
        <v>24</v>
      </c>
      <c r="D1" s="10">
        <f>1000*[1]TD1!$C$43</f>
        <v>16888969.047490474</v>
      </c>
      <c r="E1" s="8" t="s">
        <v>30</v>
      </c>
      <c r="F1" s="21">
        <f>(SUMPRODUCT(D4:D15,H4:H15,I4:I15)/(D2*B2))/((1-SUMPRODUCT(D4:D15,H4:H15,I4:I15)/B2)/(1-D2))</f>
        <v>0.48431237051751602</v>
      </c>
      <c r="G1" s="19"/>
      <c r="H1" s="16"/>
    </row>
    <row r="2" spans="1:12" x14ac:dyDescent="0.3">
      <c r="A2" s="8" t="s">
        <v>12</v>
      </c>
      <c r="B2" s="11">
        <f>[1]TD2!$M$43</f>
        <v>7221.3604035551252</v>
      </c>
      <c r="C2" s="8" t="s">
        <v>15</v>
      </c>
      <c r="D2" s="14">
        <f>[1]TD1!$F$43</f>
        <v>0.23887080558033236</v>
      </c>
      <c r="E2" s="18" t="s">
        <v>26</v>
      </c>
      <c r="I2" s="8"/>
      <c r="L2" s="14">
        <f>D2</f>
        <v>0.23887080558033236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(D2-SUMPRODUCT(D5:D15,I5:I15))/I4</f>
        <v>0.29822166198764855</v>
      </c>
      <c r="E4" s="14"/>
      <c r="F4" s="8"/>
      <c r="G4" s="8"/>
      <c r="H4" s="17">
        <f>((1-B4)*B2-(1-B5)*C5*A5)/(B5-B4)</f>
        <v>1660.9463393545595</v>
      </c>
      <c r="I4" s="18">
        <f t="shared" ref="I4" si="0">B5-B4</f>
        <v>0.70058339834213257</v>
      </c>
      <c r="L4" s="14"/>
    </row>
    <row r="5" spans="1:12" x14ac:dyDescent="0.3">
      <c r="A5" s="11">
        <v>10000</v>
      </c>
      <c r="B5" s="12">
        <v>0.70058339834213257</v>
      </c>
      <c r="C5" s="8">
        <v>2.0231773853302002</v>
      </c>
      <c r="D5" s="14">
        <f t="shared" ref="D5:D15" si="1">L5*D$2/L$2</f>
        <v>0.1</v>
      </c>
      <c r="E5" s="14"/>
      <c r="F5" s="8"/>
      <c r="G5" s="8"/>
      <c r="H5" s="17">
        <f t="shared" ref="H5:H14" si="2">((1-B5)*C5*A5-(1-B6)*C6*A6)/(B6-B5)</f>
        <v>15179.859203542072</v>
      </c>
      <c r="I5" s="18">
        <f t="shared" ref="I5:I14" si="3">B6-B5</f>
        <v>0.23811143636703491</v>
      </c>
      <c r="L5" s="14">
        <v>0.1</v>
      </c>
    </row>
    <row r="6" spans="1:12" x14ac:dyDescent="0.3">
      <c r="A6" s="11">
        <v>20000</v>
      </c>
      <c r="B6" s="12">
        <v>0.93869483470916748</v>
      </c>
      <c r="C6" s="8">
        <v>1.9926794767379761</v>
      </c>
      <c r="D6" s="14">
        <f t="shared" si="1"/>
        <v>0.1</v>
      </c>
      <c r="E6" s="14"/>
      <c r="F6" s="8"/>
      <c r="G6" s="8"/>
      <c r="H6" s="17">
        <f t="shared" si="2"/>
        <v>24716.45755855762</v>
      </c>
      <c r="I6" s="18">
        <f t="shared" si="3"/>
        <v>3.5803496837615967E-2</v>
      </c>
      <c r="L6" s="14">
        <v>0.1</v>
      </c>
    </row>
    <row r="7" spans="1:12" x14ac:dyDescent="0.3">
      <c r="A7" s="11">
        <v>30000</v>
      </c>
      <c r="B7" s="12">
        <v>0.97449833154678345</v>
      </c>
      <c r="C7" s="8">
        <v>2.0368540287017822</v>
      </c>
      <c r="D7" s="14">
        <f t="shared" si="1"/>
        <v>0.1</v>
      </c>
      <c r="E7" s="14"/>
      <c r="H7" s="17">
        <f t="shared" si="2"/>
        <v>34847.227212030892</v>
      </c>
      <c r="I7" s="18">
        <f t="shared" si="3"/>
        <v>1.1614739894866943E-2</v>
      </c>
      <c r="L7" s="14">
        <v>0.1</v>
      </c>
    </row>
    <row r="8" spans="1:12" x14ac:dyDescent="0.3">
      <c r="A8" s="11">
        <v>40000</v>
      </c>
      <c r="B8" s="12">
        <v>0.98611307144165039</v>
      </c>
      <c r="C8" s="8">
        <v>2.0766899585723877</v>
      </c>
      <c r="D8" s="14">
        <f t="shared" si="1"/>
        <v>0.1</v>
      </c>
      <c r="E8" s="14"/>
      <c r="H8" s="17">
        <f t="shared" si="2"/>
        <v>45024.480773317875</v>
      </c>
      <c r="I8" s="18">
        <f t="shared" si="3"/>
        <v>4.999995231628418E-3</v>
      </c>
      <c r="L8" s="14">
        <v>0.1</v>
      </c>
    </row>
    <row r="9" spans="1:12" x14ac:dyDescent="0.3">
      <c r="A9" s="11">
        <v>50000</v>
      </c>
      <c r="B9" s="12">
        <v>0.99111306667327881</v>
      </c>
      <c r="C9" s="12">
        <v>2.0894308090209961</v>
      </c>
      <c r="D9" s="14">
        <f t="shared" si="1"/>
        <v>0.1</v>
      </c>
      <c r="E9" s="14"/>
      <c r="H9" s="17">
        <f t="shared" si="2"/>
        <v>60669.144908956361</v>
      </c>
      <c r="I9" s="18">
        <f t="shared" si="3"/>
        <v>4.8303008079528809E-3</v>
      </c>
      <c r="L9" s="14">
        <v>0.1</v>
      </c>
    </row>
    <row r="10" spans="1:12" x14ac:dyDescent="0.3">
      <c r="A10" s="11">
        <v>75000</v>
      </c>
      <c r="B10" s="12">
        <v>0.99594336748123169</v>
      </c>
      <c r="C10" s="12">
        <v>2.0883705615997314</v>
      </c>
      <c r="D10" s="14">
        <f t="shared" si="1"/>
        <v>0.1</v>
      </c>
      <c r="E10" s="14"/>
      <c r="H10" s="17">
        <f t="shared" si="2"/>
        <v>86361.41148383588</v>
      </c>
      <c r="I10" s="18">
        <f t="shared" si="3"/>
        <v>1.6996264457702637E-3</v>
      </c>
      <c r="L10" s="14">
        <v>0.1</v>
      </c>
    </row>
    <row r="11" spans="1:12" x14ac:dyDescent="0.3">
      <c r="A11" s="11">
        <v>100000</v>
      </c>
      <c r="B11" s="12">
        <v>0.99764299392700195</v>
      </c>
      <c r="C11" s="12">
        <v>2.0729656219482422</v>
      </c>
      <c r="D11" s="14">
        <f t="shared" si="1"/>
        <v>0.1</v>
      </c>
      <c r="E11" s="14"/>
      <c r="H11" s="17">
        <f t="shared" si="2"/>
        <v>121100.04593993996</v>
      </c>
      <c r="I11" s="18">
        <f t="shared" si="3"/>
        <v>1.2596249580383301E-3</v>
      </c>
      <c r="L11" s="14">
        <v>0.1</v>
      </c>
    </row>
    <row r="12" spans="1:12" x14ac:dyDescent="0.3">
      <c r="A12" s="11">
        <v>150000</v>
      </c>
      <c r="B12" s="12">
        <v>0.99890261888504028</v>
      </c>
      <c r="C12" s="12">
        <v>2.0415794849395752</v>
      </c>
      <c r="D12" s="14">
        <f t="shared" si="1"/>
        <v>0.1</v>
      </c>
      <c r="E12" s="14"/>
      <c r="H12" s="17">
        <f t="shared" si="2"/>
        <v>202616.26077686893</v>
      </c>
      <c r="I12" s="18">
        <f t="shared" si="3"/>
        <v>8.1074237823486328E-4</v>
      </c>
      <c r="L12" s="14">
        <v>0.1</v>
      </c>
    </row>
    <row r="13" spans="1:12" x14ac:dyDescent="0.3">
      <c r="A13" s="11">
        <v>300000</v>
      </c>
      <c r="B13" s="12">
        <v>0.99971336126327515</v>
      </c>
      <c r="C13" s="12">
        <v>1.9977414608001709</v>
      </c>
      <c r="D13" s="14">
        <f t="shared" si="1"/>
        <v>0.1</v>
      </c>
      <c r="E13" s="14"/>
      <c r="H13" s="17">
        <f t="shared" si="2"/>
        <v>401776.30570533313</v>
      </c>
      <c r="I13" s="18">
        <f t="shared" si="3"/>
        <v>2.2011995315551758E-4</v>
      </c>
      <c r="L13" s="14">
        <v>0.1</v>
      </c>
    </row>
    <row r="14" spans="1:12" x14ac:dyDescent="0.3">
      <c r="A14" s="11">
        <v>600000</v>
      </c>
      <c r="B14" s="12">
        <v>0.99993348121643066</v>
      </c>
      <c r="C14" s="12">
        <v>2.088383674621582</v>
      </c>
      <c r="D14" s="14">
        <f t="shared" si="1"/>
        <v>0.1</v>
      </c>
      <c r="E14" s="14"/>
      <c r="H14" s="17">
        <f t="shared" si="2"/>
        <v>742734.77458554832</v>
      </c>
      <c r="I14" s="18">
        <f t="shared" si="3"/>
        <v>4.2736530303955078E-5</v>
      </c>
      <c r="L14" s="14">
        <v>0.1</v>
      </c>
    </row>
    <row r="15" spans="1:12" x14ac:dyDescent="0.3">
      <c r="A15" s="11">
        <v>1000000</v>
      </c>
      <c r="B15" s="12">
        <v>0.99997621774673462</v>
      </c>
      <c r="C15" s="12">
        <v>2.1700272560119629</v>
      </c>
      <c r="D15" s="14">
        <f t="shared" si="1"/>
        <v>0.1</v>
      </c>
      <c r="E15" s="14"/>
      <c r="H15" s="17">
        <f>C15*A15</f>
        <v>2170027.2560119629</v>
      </c>
      <c r="I15" s="18">
        <f>1-B15</f>
        <v>2.3782253265380859E-5</v>
      </c>
      <c r="L15" s="14">
        <v>0.1</v>
      </c>
    </row>
    <row r="16" spans="1:12" x14ac:dyDescent="0.3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1937</v>
      </c>
      <c r="C1" s="8" t="s">
        <v>24</v>
      </c>
      <c r="D1" s="10">
        <f>1000*[1]TD1!$C$44</f>
        <v>16899311.534615401</v>
      </c>
      <c r="E1" s="8" t="s">
        <v>30</v>
      </c>
      <c r="F1" s="21">
        <f>(SUMPRODUCT(D4:D14,H4:H14,I4:I14)/(D2*B2))/((1-SUMPRODUCT(D4:D14,H4:H14,I4:I14)/B2)/(1-D2))</f>
        <v>0.7517823783487344</v>
      </c>
      <c r="G1" s="19"/>
      <c r="H1" s="16"/>
    </row>
    <row r="2" spans="1:12" x14ac:dyDescent="0.3">
      <c r="A2" s="8" t="s">
        <v>12</v>
      </c>
      <c r="B2" s="11">
        <f>[1]TD2!$M$44</f>
        <v>8654.8385454262843</v>
      </c>
      <c r="C2" s="8" t="s">
        <v>15</v>
      </c>
      <c r="D2" s="14">
        <f>[1]TD1!$F$44</f>
        <v>0.25220467510657274</v>
      </c>
      <c r="E2" s="18" t="s">
        <v>26</v>
      </c>
      <c r="I2" s="8"/>
      <c r="L2" s="14">
        <f>D2</f>
        <v>0.25220467510657274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(D2-SUMPRODUCT(D5:D15,I5:I15))/I4</f>
        <v>0.26625747758501694</v>
      </c>
      <c r="E4" s="14"/>
      <c r="F4" s="8"/>
      <c r="G4" s="8"/>
      <c r="H4" s="17">
        <f>((1-B4)*B2-(1-B5)*C5*A5)/(B5-B4)</f>
        <v>5815.1201192672188</v>
      </c>
      <c r="I4" s="18">
        <f t="shared" ref="I4" si="0">B5-B4</f>
        <v>0.91547566652297974</v>
      </c>
      <c r="L4" s="14"/>
    </row>
    <row r="5" spans="1:12" x14ac:dyDescent="0.3">
      <c r="A5" s="11">
        <v>20000</v>
      </c>
      <c r="B5" s="12">
        <v>0.91547566652297974</v>
      </c>
      <c r="C5" s="8">
        <v>1.9705790281295776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24866.781554075573</v>
      </c>
      <c r="I5" s="18">
        <f t="shared" ref="I5:I13" si="3">B6-B5</f>
        <v>4.9696147441864014E-2</v>
      </c>
      <c r="L5" s="14">
        <v>0.1</v>
      </c>
    </row>
    <row r="6" spans="1:12" x14ac:dyDescent="0.3">
      <c r="A6" s="11">
        <v>30000</v>
      </c>
      <c r="B6" s="12">
        <v>0.96517181396484375</v>
      </c>
      <c r="C6" s="8">
        <v>2.0055158138275146</v>
      </c>
      <c r="D6" s="14">
        <f t="shared" si="1"/>
        <v>0.1</v>
      </c>
      <c r="E6" s="14"/>
      <c r="H6" s="17">
        <f t="shared" si="2"/>
        <v>34849.069656356747</v>
      </c>
      <c r="I6" s="18">
        <f t="shared" si="3"/>
        <v>1.6618967056274414E-2</v>
      </c>
      <c r="L6" s="14">
        <v>0.1</v>
      </c>
    </row>
    <row r="7" spans="1:12" x14ac:dyDescent="0.3">
      <c r="A7" s="11">
        <v>40000</v>
      </c>
      <c r="B7" s="12">
        <v>0.98179078102111816</v>
      </c>
      <c r="C7" s="8">
        <v>2.0817735195159912</v>
      </c>
      <c r="D7" s="14">
        <f t="shared" si="1"/>
        <v>0.1</v>
      </c>
      <c r="E7" s="14"/>
      <c r="H7" s="17">
        <f t="shared" si="2"/>
        <v>45077.712963482598</v>
      </c>
      <c r="I7" s="18">
        <f t="shared" si="3"/>
        <v>6.7085623741149902E-3</v>
      </c>
      <c r="L7" s="14">
        <v>0.1</v>
      </c>
    </row>
    <row r="8" spans="1:12" x14ac:dyDescent="0.3">
      <c r="A8" s="11">
        <v>50000</v>
      </c>
      <c r="B8" s="12">
        <v>0.98849934339523315</v>
      </c>
      <c r="C8" s="12">
        <v>2.1109962463378906</v>
      </c>
      <c r="D8" s="14">
        <f t="shared" si="1"/>
        <v>0.1</v>
      </c>
      <c r="E8" s="14"/>
      <c r="H8" s="17">
        <f t="shared" si="2"/>
        <v>60508.436518686467</v>
      </c>
      <c r="I8" s="18">
        <f t="shared" si="3"/>
        <v>6.1789155006408691E-3</v>
      </c>
      <c r="L8" s="14">
        <v>0.1</v>
      </c>
    </row>
    <row r="9" spans="1:12" x14ac:dyDescent="0.3">
      <c r="A9" s="11">
        <v>75000</v>
      </c>
      <c r="B9" s="12">
        <v>0.99467825889587402</v>
      </c>
      <c r="C9" s="12">
        <v>2.1046135425567627</v>
      </c>
      <c r="D9" s="14">
        <f t="shared" si="1"/>
        <v>0.1</v>
      </c>
      <c r="E9" s="14"/>
      <c r="H9" s="17">
        <f t="shared" si="2"/>
        <v>86538.806575456663</v>
      </c>
      <c r="I9" s="18">
        <f t="shared" si="3"/>
        <v>2.2053122520446777E-3</v>
      </c>
      <c r="L9" s="14">
        <v>0.1</v>
      </c>
    </row>
    <row r="10" spans="1:12" x14ac:dyDescent="0.3">
      <c r="A10" s="11">
        <v>100000</v>
      </c>
      <c r="B10" s="12">
        <v>0.9968835711479187</v>
      </c>
      <c r="C10" s="12">
        <v>2.0830590724945068</v>
      </c>
      <c r="D10" s="14">
        <f t="shared" si="1"/>
        <v>0.1</v>
      </c>
      <c r="E10" s="14"/>
      <c r="H10" s="17">
        <f t="shared" si="2"/>
        <v>121060.64220474436</v>
      </c>
      <c r="I10" s="18">
        <f t="shared" si="3"/>
        <v>1.6644001007080078E-3</v>
      </c>
      <c r="L10" s="14">
        <v>0.1</v>
      </c>
    </row>
    <row r="11" spans="1:12" x14ac:dyDescent="0.3">
      <c r="A11" s="11">
        <v>150000</v>
      </c>
      <c r="B11" s="12">
        <v>0.99854797124862671</v>
      </c>
      <c r="C11" s="12">
        <v>2.0554101467132568</v>
      </c>
      <c r="D11" s="14">
        <f t="shared" si="1"/>
        <v>0.1</v>
      </c>
      <c r="E11" s="14"/>
      <c r="H11" s="17">
        <f t="shared" si="2"/>
        <v>203494.69006733785</v>
      </c>
      <c r="I11" s="18">
        <f t="shared" si="3"/>
        <v>1.0781288146972656E-3</v>
      </c>
      <c r="L11" s="14">
        <v>0.1</v>
      </c>
    </row>
    <row r="12" spans="1:12" x14ac:dyDescent="0.3">
      <c r="A12" s="11">
        <v>300000</v>
      </c>
      <c r="B12" s="12">
        <v>0.99962610006332397</v>
      </c>
      <c r="C12" s="12">
        <v>2.035158634185791</v>
      </c>
      <c r="D12" s="14">
        <f t="shared" si="1"/>
        <v>0.1</v>
      </c>
      <c r="E12" s="14"/>
      <c r="H12" s="17">
        <f t="shared" si="2"/>
        <v>400217.6883175855</v>
      </c>
      <c r="I12" s="18">
        <f t="shared" si="3"/>
        <v>2.8854608535766602E-4</v>
      </c>
      <c r="L12" s="14">
        <v>0.1</v>
      </c>
    </row>
    <row r="13" spans="1:12" x14ac:dyDescent="0.3">
      <c r="A13" s="11">
        <v>600000</v>
      </c>
      <c r="B13" s="12">
        <v>0.99991464614868164</v>
      </c>
      <c r="C13" s="12">
        <v>2.2026433944702148</v>
      </c>
      <c r="D13" s="14">
        <f t="shared" si="1"/>
        <v>0.1</v>
      </c>
      <c r="E13" s="14"/>
      <c r="H13" s="17">
        <f t="shared" si="2"/>
        <v>756517.23396185925</v>
      </c>
      <c r="I13" s="18">
        <f t="shared" si="3"/>
        <v>5.5193901062011719E-5</v>
      </c>
      <c r="L13" s="14">
        <v>0.1</v>
      </c>
    </row>
    <row r="14" spans="1:12" x14ac:dyDescent="0.3">
      <c r="A14" s="11">
        <v>1000000</v>
      </c>
      <c r="B14" s="12">
        <v>0.99996984004974365</v>
      </c>
      <c r="C14" s="12">
        <v>2.3556842803955078</v>
      </c>
      <c r="D14" s="14">
        <f t="shared" si="1"/>
        <v>0.1</v>
      </c>
      <c r="E14" s="14"/>
      <c r="H14" s="17">
        <f>C14*A14</f>
        <v>2355684.2803955078</v>
      </c>
      <c r="I14" s="18">
        <f>1-B14</f>
        <v>3.0159950256347656E-5</v>
      </c>
      <c r="L14" s="14">
        <v>0.1</v>
      </c>
    </row>
    <row r="15" spans="1:12" x14ac:dyDescent="0.3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B19" sqref="B19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1938</v>
      </c>
      <c r="C1" s="8" t="s">
        <v>24</v>
      </c>
      <c r="D1" s="10">
        <f>1000*[1]TD1!$C$46</f>
        <v>16172288.575424137</v>
      </c>
      <c r="E1" s="8" t="s">
        <v>30</v>
      </c>
      <c r="F1" s="21">
        <f>(SUMPRODUCT(D4:D14,H4:H14,I4:I14)/(D2*B2))/((1-SUMPRODUCT(D4:D14,H4:H14,I4:I14)/B2)/(1-D2))</f>
        <v>0.71916035456800209</v>
      </c>
      <c r="G1" s="19"/>
      <c r="H1" s="16"/>
    </row>
    <row r="2" spans="1:12" x14ac:dyDescent="0.3">
      <c r="A2" s="8" t="s">
        <v>12</v>
      </c>
      <c r="B2" s="11">
        <f>[1]TD2!$M$45</f>
        <v>9544.3219217750175</v>
      </c>
      <c r="C2" s="8" t="s">
        <v>15</v>
      </c>
      <c r="D2" s="14">
        <f>[1]TD1!$F$46</f>
        <v>0.26922753850673664</v>
      </c>
      <c r="E2" s="18" t="s">
        <v>26</v>
      </c>
      <c r="I2" s="8"/>
      <c r="L2" s="14">
        <f>D2</f>
        <v>0.26922753850673664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(D2-SUMPRODUCT(D5:D15,I5:I15))/I4</f>
        <v>0.28878184270668633</v>
      </c>
      <c r="E4" s="14"/>
      <c r="F4" s="8"/>
      <c r="G4" s="8"/>
      <c r="H4" s="17">
        <f>((1-B4)*B2-(1-B5)*C5*A5)/(B5-B4)</f>
        <v>6173.1665963718215</v>
      </c>
      <c r="I4" s="18">
        <f t="shared" ref="I4" si="0">B5-B4</f>
        <v>0.89641851186752319</v>
      </c>
      <c r="L4" s="14"/>
    </row>
    <row r="5" spans="1:12" x14ac:dyDescent="0.3">
      <c r="A5" s="11">
        <v>20000</v>
      </c>
      <c r="B5" s="12">
        <v>0.89641851186752319</v>
      </c>
      <c r="C5" s="8">
        <v>1.9359545707702637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25005.588195640124</v>
      </c>
      <c r="I5" s="18">
        <f t="shared" ref="I5:I13" si="3">B6-B5</f>
        <v>6.0121119022369385E-2</v>
      </c>
      <c r="L5" s="14">
        <v>0.1</v>
      </c>
    </row>
    <row r="6" spans="1:12" x14ac:dyDescent="0.3">
      <c r="A6" s="11">
        <v>30000</v>
      </c>
      <c r="B6" s="12">
        <v>0.95653963088989258</v>
      </c>
      <c r="C6" s="8">
        <v>1.922991156578064</v>
      </c>
      <c r="D6" s="14">
        <f t="shared" si="1"/>
        <v>0.1</v>
      </c>
      <c r="E6" s="14"/>
      <c r="H6" s="17">
        <f t="shared" si="2"/>
        <v>34152.100286019639</v>
      </c>
      <c r="I6" s="18">
        <f t="shared" si="3"/>
        <v>2.1373093128204346E-2</v>
      </c>
      <c r="L6" s="14">
        <v>0.1</v>
      </c>
    </row>
    <row r="7" spans="1:12" x14ac:dyDescent="0.3">
      <c r="A7" s="11">
        <v>40000</v>
      </c>
      <c r="B7" s="12">
        <v>0.97791272401809692</v>
      </c>
      <c r="C7" s="8">
        <v>2.0116572380065918</v>
      </c>
      <c r="D7" s="14">
        <f t="shared" si="1"/>
        <v>0.1</v>
      </c>
      <c r="E7" s="14"/>
      <c r="H7" s="17">
        <f t="shared" si="2"/>
        <v>44922.618975877376</v>
      </c>
      <c r="I7" s="18">
        <f t="shared" si="3"/>
        <v>8.4726810455322266E-3</v>
      </c>
      <c r="L7" s="14">
        <v>0.1</v>
      </c>
    </row>
    <row r="8" spans="1:12" x14ac:dyDescent="0.3">
      <c r="A8" s="11">
        <v>50000</v>
      </c>
      <c r="B8" s="12">
        <v>0.98638540506362915</v>
      </c>
      <c r="C8" s="12">
        <v>2.0517189502716064</v>
      </c>
      <c r="D8" s="14">
        <f t="shared" si="1"/>
        <v>0.1</v>
      </c>
      <c r="E8" s="14"/>
      <c r="H8" s="17">
        <f t="shared" si="2"/>
        <v>61071.585558170082</v>
      </c>
      <c r="I8" s="18">
        <f t="shared" si="3"/>
        <v>7.4529051780700684E-3</v>
      </c>
      <c r="L8" s="14">
        <v>0.1</v>
      </c>
    </row>
    <row r="9" spans="1:12" x14ac:dyDescent="0.3">
      <c r="A9" s="11">
        <v>75000</v>
      </c>
      <c r="B9" s="12">
        <v>0.99383831024169922</v>
      </c>
      <c r="C9" s="12">
        <v>2.0373315811157227</v>
      </c>
      <c r="D9" s="14">
        <f t="shared" si="1"/>
        <v>0.1</v>
      </c>
      <c r="E9" s="14"/>
      <c r="H9" s="17">
        <f t="shared" si="2"/>
        <v>87645.563095542486</v>
      </c>
      <c r="I9" s="18">
        <f t="shared" si="3"/>
        <v>2.6088953018188477E-3</v>
      </c>
      <c r="L9" s="14">
        <v>0.1</v>
      </c>
    </row>
    <row r="10" spans="1:12" x14ac:dyDescent="0.3">
      <c r="A10" s="11">
        <v>100000</v>
      </c>
      <c r="B10" s="12">
        <v>0.99644720554351807</v>
      </c>
      <c r="C10" s="12">
        <v>2.0064411163330078</v>
      </c>
      <c r="D10" s="14">
        <f t="shared" si="1"/>
        <v>0.1</v>
      </c>
      <c r="E10" s="14"/>
      <c r="H10" s="17">
        <f t="shared" si="2"/>
        <v>122812.81792087546</v>
      </c>
      <c r="I10" s="18">
        <f t="shared" si="3"/>
        <v>1.9350647926330566E-3</v>
      </c>
      <c r="L10" s="14">
        <v>0.1</v>
      </c>
    </row>
    <row r="11" spans="1:12" x14ac:dyDescent="0.3">
      <c r="A11" s="11">
        <v>150000</v>
      </c>
      <c r="B11" s="12">
        <v>0.99838227033615112</v>
      </c>
      <c r="C11" s="12">
        <v>1.9582856893539429</v>
      </c>
      <c r="D11" s="14">
        <f t="shared" si="1"/>
        <v>0.1</v>
      </c>
      <c r="E11" s="14"/>
      <c r="H11" s="17">
        <f t="shared" si="2"/>
        <v>203405.8180758066</v>
      </c>
      <c r="I11" s="18">
        <f t="shared" si="3"/>
        <v>1.2198686599731445E-3</v>
      </c>
      <c r="L11" s="14">
        <v>0.1</v>
      </c>
    </row>
    <row r="12" spans="1:12" x14ac:dyDescent="0.3">
      <c r="A12" s="11">
        <v>300000</v>
      </c>
      <c r="B12" s="12">
        <v>0.99960213899612427</v>
      </c>
      <c r="C12" s="12">
        <v>1.9024076461791992</v>
      </c>
      <c r="D12" s="14">
        <f t="shared" si="1"/>
        <v>0.1</v>
      </c>
      <c r="E12" s="14"/>
      <c r="H12" s="17">
        <f t="shared" si="2"/>
        <v>386730.40511953924</v>
      </c>
      <c r="I12" s="18">
        <f t="shared" si="3"/>
        <v>3.1232833862304688E-4</v>
      </c>
      <c r="L12" s="14">
        <v>0.1</v>
      </c>
    </row>
    <row r="13" spans="1:12" x14ac:dyDescent="0.3">
      <c r="A13" s="11">
        <v>600000</v>
      </c>
      <c r="B13" s="12">
        <v>0.99991446733474731</v>
      </c>
      <c r="C13" s="12">
        <v>2.0709686279296875</v>
      </c>
      <c r="D13" s="14">
        <f t="shared" si="1"/>
        <v>0.1</v>
      </c>
      <c r="E13" s="14"/>
      <c r="H13" s="17">
        <f t="shared" si="2"/>
        <v>759718.44620061375</v>
      </c>
      <c r="I13" s="18">
        <f t="shared" si="3"/>
        <v>5.5670738220214844E-5</v>
      </c>
      <c r="L13" s="14">
        <v>0.1</v>
      </c>
    </row>
    <row r="14" spans="1:12" x14ac:dyDescent="0.3">
      <c r="A14" s="11">
        <v>1000000</v>
      </c>
      <c r="B14" s="12">
        <v>0.99997013807296753</v>
      </c>
      <c r="C14" s="12">
        <v>2.142768383026123</v>
      </c>
      <c r="D14" s="14">
        <f t="shared" si="1"/>
        <v>0.1</v>
      </c>
      <c r="E14" s="14"/>
      <c r="H14" s="17">
        <f>C14*A14</f>
        <v>2142768.383026123</v>
      </c>
      <c r="I14" s="18">
        <f>1-B14</f>
        <v>2.9861927032470703E-5</v>
      </c>
      <c r="L14" s="14">
        <v>0.1</v>
      </c>
    </row>
    <row r="15" spans="1:12" x14ac:dyDescent="0.3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1939</v>
      </c>
      <c r="C1" s="8" t="s">
        <v>24</v>
      </c>
      <c r="D1" s="10">
        <f>1000*[1]TD1!$C$46</f>
        <v>16172288.575424137</v>
      </c>
      <c r="E1" s="8" t="s">
        <v>30</v>
      </c>
      <c r="F1" s="21">
        <f>(SUMPRODUCT(D4:D15,H4:H15,I4:I15)/(D2*B2))/((1-SUMPRODUCT(D4:D15,H4:H15,I4:I15)/B2)/(1-D2))</f>
        <v>0.50483532754251437</v>
      </c>
      <c r="G1" s="19"/>
      <c r="H1" s="16"/>
    </row>
    <row r="2" spans="1:12" x14ac:dyDescent="0.3">
      <c r="A2" s="8" t="s">
        <v>12</v>
      </c>
      <c r="B2" s="11">
        <f>[1]TD2!$M$46</f>
        <v>10146.146933067055</v>
      </c>
      <c r="C2" s="8" t="s">
        <v>15</v>
      </c>
      <c r="D2" s="14">
        <f>[1]TD1!$F$46</f>
        <v>0.26922753850673664</v>
      </c>
      <c r="E2" s="18" t="s">
        <v>26</v>
      </c>
      <c r="I2" s="8"/>
      <c r="L2" s="14">
        <f>D2</f>
        <v>0.26922753850673664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(D2-SUMPRODUCT(D5:D15,I5:I15))/I4</f>
        <v>0.37340551238185832</v>
      </c>
      <c r="E4" s="14"/>
      <c r="F4" s="8"/>
      <c r="G4" s="8"/>
      <c r="H4" s="17">
        <f>((1-B4)*B2-(1-B5)*C5*A5)/(B5-B4)</f>
        <v>3406.7875645762183</v>
      </c>
      <c r="I4" s="18">
        <f t="shared" ref="I4" si="0">B5-B4</f>
        <v>0.61896169185638428</v>
      </c>
      <c r="L4" s="14"/>
    </row>
    <row r="5" spans="1:12" x14ac:dyDescent="0.3">
      <c r="A5" s="11">
        <v>10000</v>
      </c>
      <c r="B5" s="12">
        <v>0.61896169185638428</v>
      </c>
      <c r="C5" s="8">
        <v>2.1093616485595703</v>
      </c>
      <c r="D5" s="14">
        <f t="shared" ref="D5:D15" si="1">L5*D$2/L$2</f>
        <v>0.1</v>
      </c>
      <c r="E5" s="14"/>
      <c r="F5" s="8"/>
      <c r="G5" s="8"/>
      <c r="H5" s="17">
        <f t="shared" ref="H5:H14" si="2">((1-B5)*C5*A5-(1-B6)*C6*A6)/(B6-B5)</f>
        <v>15499.20719745148</v>
      </c>
      <c r="I5" s="18">
        <f t="shared" ref="I5:I14" si="3">B6-B5</f>
        <v>0.29353117942810059</v>
      </c>
      <c r="L5" s="14">
        <v>0.1</v>
      </c>
    </row>
    <row r="6" spans="1:12" x14ac:dyDescent="0.3">
      <c r="A6" s="11">
        <v>20000</v>
      </c>
      <c r="B6" s="12">
        <v>0.91249287128448486</v>
      </c>
      <c r="C6" s="8">
        <v>1.9929664134979248</v>
      </c>
      <c r="D6" s="14">
        <f t="shared" si="1"/>
        <v>0.1</v>
      </c>
      <c r="E6" s="14"/>
      <c r="F6" s="8"/>
      <c r="G6" s="8"/>
      <c r="H6" s="17">
        <f t="shared" si="2"/>
        <v>24919.978169110203</v>
      </c>
      <c r="I6" s="18">
        <f t="shared" si="3"/>
        <v>4.955214262008667E-2</v>
      </c>
      <c r="L6" s="14">
        <v>0.1</v>
      </c>
    </row>
    <row r="7" spans="1:12" x14ac:dyDescent="0.3">
      <c r="A7" s="11">
        <v>30000</v>
      </c>
      <c r="B7" s="12">
        <v>0.96204501390457153</v>
      </c>
      <c r="C7" s="8">
        <v>1.9787800312042236</v>
      </c>
      <c r="D7" s="14">
        <f t="shared" si="1"/>
        <v>0.1</v>
      </c>
      <c r="E7" s="14"/>
      <c r="H7" s="17">
        <f t="shared" si="2"/>
        <v>34808.557818068977</v>
      </c>
      <c r="I7" s="18">
        <f t="shared" si="3"/>
        <v>1.8667399883270264E-2</v>
      </c>
      <c r="L7" s="14">
        <v>0.1</v>
      </c>
    </row>
    <row r="8" spans="1:12" x14ac:dyDescent="0.3">
      <c r="A8" s="11">
        <v>40000</v>
      </c>
      <c r="B8" s="12">
        <v>0.9807124137878418</v>
      </c>
      <c r="C8" s="8">
        <v>2.0782172679901123</v>
      </c>
      <c r="D8" s="14">
        <f t="shared" si="1"/>
        <v>0.1</v>
      </c>
      <c r="E8" s="14"/>
      <c r="H8" s="17">
        <f t="shared" si="2"/>
        <v>44797.271427266343</v>
      </c>
      <c r="I8" s="18">
        <f t="shared" si="3"/>
        <v>7.565617561340332E-3</v>
      </c>
      <c r="L8" s="14">
        <v>0.1</v>
      </c>
    </row>
    <row r="9" spans="1:12" x14ac:dyDescent="0.3">
      <c r="A9" s="11">
        <v>50000</v>
      </c>
      <c r="B9" s="12">
        <v>0.98827803134918213</v>
      </c>
      <c r="C9" s="12">
        <v>2.1573727130889893</v>
      </c>
      <c r="D9" s="14">
        <f t="shared" si="1"/>
        <v>0.1</v>
      </c>
      <c r="E9" s="14"/>
      <c r="H9" s="17">
        <f t="shared" si="2"/>
        <v>60311.525315194951</v>
      </c>
      <c r="I9" s="18">
        <f t="shared" si="3"/>
        <v>6.2740445137023926E-3</v>
      </c>
      <c r="L9" s="14">
        <v>0.1</v>
      </c>
    </row>
    <row r="10" spans="1:12" x14ac:dyDescent="0.3">
      <c r="A10" s="11">
        <v>75000</v>
      </c>
      <c r="B10" s="12">
        <v>0.99455207586288452</v>
      </c>
      <c r="C10" s="12">
        <v>2.1684970855712891</v>
      </c>
      <c r="D10" s="14">
        <f t="shared" si="1"/>
        <v>0.1</v>
      </c>
      <c r="E10" s="14"/>
      <c r="H10" s="17">
        <f t="shared" si="2"/>
        <v>86230.266442116132</v>
      </c>
      <c r="I10" s="18">
        <f t="shared" si="3"/>
        <v>2.1383166313171387E-3</v>
      </c>
      <c r="L10" s="14">
        <v>0.1</v>
      </c>
    </row>
    <row r="11" spans="1:12" x14ac:dyDescent="0.3">
      <c r="A11" s="11">
        <v>100000</v>
      </c>
      <c r="B11" s="12">
        <v>0.99669039249420166</v>
      </c>
      <c r="C11" s="12">
        <v>2.1200337409973145</v>
      </c>
      <c r="D11" s="14">
        <f t="shared" si="1"/>
        <v>0.1</v>
      </c>
      <c r="E11" s="14"/>
      <c r="H11" s="17">
        <f t="shared" si="2"/>
        <v>121076.21896280385</v>
      </c>
      <c r="I11" s="18">
        <f t="shared" si="3"/>
        <v>1.743614673614502E-3</v>
      </c>
      <c r="L11" s="14">
        <v>0.1</v>
      </c>
    </row>
    <row r="12" spans="1:12" x14ac:dyDescent="0.3">
      <c r="A12" s="11">
        <v>150000</v>
      </c>
      <c r="B12" s="12">
        <v>0.99843400716781616</v>
      </c>
      <c r="C12" s="12">
        <v>2.0882925987243652</v>
      </c>
      <c r="D12" s="14">
        <f t="shared" si="1"/>
        <v>0.1</v>
      </c>
      <c r="E12" s="14"/>
      <c r="H12" s="17">
        <f t="shared" si="2"/>
        <v>201736.45913695463</v>
      </c>
      <c r="I12" s="18">
        <f t="shared" si="3"/>
        <v>1.1273622512817383E-3</v>
      </c>
      <c r="L12" s="14">
        <v>0.1</v>
      </c>
    </row>
    <row r="13" spans="1:12" x14ac:dyDescent="0.3">
      <c r="A13" s="11">
        <v>300000</v>
      </c>
      <c r="B13" s="12">
        <v>0.9995613694190979</v>
      </c>
      <c r="C13" s="12">
        <v>1.9994624853134155</v>
      </c>
      <c r="D13" s="14">
        <f t="shared" si="1"/>
        <v>0.1</v>
      </c>
      <c r="E13" s="14"/>
      <c r="H13" s="17">
        <f t="shared" si="2"/>
        <v>400882.71720123495</v>
      </c>
      <c r="I13" s="18">
        <f t="shared" si="3"/>
        <v>3.3402442932128906E-4</v>
      </c>
      <c r="L13" s="14">
        <v>0.1</v>
      </c>
    </row>
    <row r="14" spans="1:12" x14ac:dyDescent="0.3">
      <c r="A14" s="11">
        <v>600000</v>
      </c>
      <c r="B14" s="12">
        <v>0.99989539384841919</v>
      </c>
      <c r="C14" s="12">
        <v>2.0585627555847168</v>
      </c>
      <c r="D14" s="14">
        <f t="shared" si="1"/>
        <v>0.1</v>
      </c>
      <c r="E14" s="14"/>
      <c r="H14" s="17">
        <f t="shared" si="2"/>
        <v>739641.87000574695</v>
      </c>
      <c r="I14" s="18">
        <f t="shared" si="3"/>
        <v>6.8962574005126953E-5</v>
      </c>
      <c r="L14" s="14">
        <v>0.1</v>
      </c>
    </row>
    <row r="15" spans="1:12" x14ac:dyDescent="0.3">
      <c r="A15" s="11">
        <v>1000000</v>
      </c>
      <c r="B15" s="12">
        <v>0.99996435642242432</v>
      </c>
      <c r="C15" s="12">
        <v>2.1938142776489258</v>
      </c>
      <c r="D15" s="14">
        <f t="shared" si="1"/>
        <v>0.1</v>
      </c>
      <c r="E15" s="14"/>
      <c r="H15" s="17">
        <f>C15*A15</f>
        <v>2193814.2776489258</v>
      </c>
      <c r="I15" s="18">
        <f>1-B15</f>
        <v>3.5643577575683594E-5</v>
      </c>
      <c r="L15" s="14">
        <v>0.1</v>
      </c>
    </row>
    <row r="16" spans="1:12" x14ac:dyDescent="0.3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1940</v>
      </c>
      <c r="C1" s="8" t="s">
        <v>24</v>
      </c>
      <c r="D1" s="10">
        <f>1000*[1]TD1!$C$47</f>
        <v>16229112.140045635</v>
      </c>
      <c r="E1" s="8" t="s">
        <v>30</v>
      </c>
      <c r="F1" s="21">
        <f>(SUMPRODUCT(D4:D15,H4:H15,I4:I15)/(D2*B2))/((1-SUMPRODUCT(D4:D15,H4:H15,I4:I15)/B2)/(1-D2))</f>
        <v>0.49021733676707446</v>
      </c>
      <c r="G1" s="19"/>
      <c r="H1" s="16"/>
    </row>
    <row r="2" spans="1:12" x14ac:dyDescent="0.3">
      <c r="A2" s="8" t="s">
        <v>12</v>
      </c>
      <c r="B2" s="11">
        <f>[1]TD2!$M$47</f>
        <v>9170.5454965233603</v>
      </c>
      <c r="C2" s="8" t="s">
        <v>15</v>
      </c>
      <c r="D2" s="14">
        <f>[1]TD1!$F$47</f>
        <v>0.27851071909659963</v>
      </c>
      <c r="E2" s="18" t="s">
        <v>26</v>
      </c>
      <c r="I2" s="8"/>
      <c r="L2" s="14">
        <f>D2</f>
        <v>0.27851071909659963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(D2-SUMPRODUCT(D5:D15,I5:I15))/I4</f>
        <v>0.37414062812698534</v>
      </c>
      <c r="E4" s="14"/>
      <c r="F4" s="8"/>
      <c r="G4" s="8"/>
      <c r="H4" s="17">
        <f>((1-B4)*B2-(1-B5)*C5*A5)/(B5-B4)</f>
        <v>3037.3008770849597</v>
      </c>
      <c r="I4" s="18">
        <f t="shared" ref="I4" si="0">B5-B4</f>
        <v>0.65116477012634277</v>
      </c>
      <c r="L4" s="14"/>
    </row>
    <row r="5" spans="1:12" x14ac:dyDescent="0.3">
      <c r="A5" s="11">
        <v>10000</v>
      </c>
      <c r="B5" s="12">
        <v>0.65116477012634277</v>
      </c>
      <c r="C5" s="8">
        <v>2.0619368553161621</v>
      </c>
      <c r="D5" s="14">
        <f t="shared" ref="D5:D15" si="1">L5*D$2/L$2</f>
        <v>0.1</v>
      </c>
      <c r="E5" s="14"/>
      <c r="F5" s="8"/>
      <c r="G5" s="8"/>
      <c r="H5" s="17">
        <f t="shared" ref="H5:H14" si="2">((1-B5)*C5*A5-(1-B6)*C6*A6)/(B6-B5)</f>
        <v>15402.681075173992</v>
      </c>
      <c r="I5" s="18">
        <f t="shared" ref="I5:I14" si="3">B6-B5</f>
        <v>0.27327364683151245</v>
      </c>
      <c r="L5" s="14">
        <v>0.1</v>
      </c>
    </row>
    <row r="6" spans="1:12" x14ac:dyDescent="0.3">
      <c r="A6" s="11">
        <v>20000</v>
      </c>
      <c r="B6" s="12">
        <v>0.92443841695785522</v>
      </c>
      <c r="C6" s="8">
        <v>1.9742938280105591</v>
      </c>
      <c r="D6" s="14">
        <f t="shared" si="1"/>
        <v>0.1</v>
      </c>
      <c r="E6" s="14"/>
      <c r="F6" s="8"/>
      <c r="G6" s="8"/>
      <c r="H6" s="17">
        <f t="shared" si="2"/>
        <v>24889.574755081023</v>
      </c>
      <c r="I6" s="18">
        <f t="shared" si="3"/>
        <v>4.2554199695587158E-2</v>
      </c>
      <c r="L6" s="14">
        <v>0.1</v>
      </c>
    </row>
    <row r="7" spans="1:12" x14ac:dyDescent="0.3">
      <c r="A7" s="11">
        <v>30000</v>
      </c>
      <c r="B7" s="12">
        <v>0.96699261665344238</v>
      </c>
      <c r="C7" s="8">
        <v>1.9434635639190674</v>
      </c>
      <c r="D7" s="14">
        <f t="shared" si="1"/>
        <v>0.1</v>
      </c>
      <c r="E7" s="14"/>
      <c r="H7" s="17">
        <f t="shared" si="2"/>
        <v>34895.728462486732</v>
      </c>
      <c r="I7" s="18">
        <f t="shared" si="3"/>
        <v>1.5577495098114014E-2</v>
      </c>
      <c r="L7" s="14">
        <v>0.1</v>
      </c>
    </row>
    <row r="8" spans="1:12" x14ac:dyDescent="0.3">
      <c r="A8" s="11">
        <v>40000</v>
      </c>
      <c r="B8" s="12">
        <v>0.9825701117515564</v>
      </c>
      <c r="C8" s="8">
        <v>1.9806084632873535</v>
      </c>
      <c r="D8" s="14">
        <f t="shared" si="1"/>
        <v>0.1</v>
      </c>
      <c r="E8" s="14"/>
      <c r="H8" s="17">
        <f t="shared" si="2"/>
        <v>44932.942585876386</v>
      </c>
      <c r="I8" s="18">
        <f t="shared" si="3"/>
        <v>6.672978401184082E-3</v>
      </c>
      <c r="L8" s="14">
        <v>0.1</v>
      </c>
    </row>
    <row r="9" spans="1:12" x14ac:dyDescent="0.3">
      <c r="A9" s="11">
        <v>50000</v>
      </c>
      <c r="B9" s="12">
        <v>0.98924309015274048</v>
      </c>
      <c r="C9" s="12">
        <v>2.0099356174468994</v>
      </c>
      <c r="D9" s="14">
        <f t="shared" si="1"/>
        <v>0.1</v>
      </c>
      <c r="E9" s="14"/>
      <c r="H9" s="17">
        <f t="shared" si="2"/>
        <v>60526.807282424423</v>
      </c>
      <c r="I9" s="18">
        <f t="shared" si="3"/>
        <v>5.9633255004882813E-3</v>
      </c>
      <c r="L9" s="14">
        <v>0.1</v>
      </c>
    </row>
    <row r="10" spans="1:12" x14ac:dyDescent="0.3">
      <c r="A10" s="11">
        <v>75000</v>
      </c>
      <c r="B10" s="12">
        <v>0.99520641565322876</v>
      </c>
      <c r="C10" s="12">
        <v>2.0029375553131104</v>
      </c>
      <c r="D10" s="14">
        <f t="shared" si="1"/>
        <v>0.1</v>
      </c>
      <c r="E10" s="14"/>
      <c r="H10" s="17">
        <f t="shared" si="2"/>
        <v>86571.040202514167</v>
      </c>
      <c r="I10" s="18">
        <f t="shared" si="3"/>
        <v>2.0282268524169922E-3</v>
      </c>
      <c r="L10" s="14">
        <v>0.1</v>
      </c>
    </row>
    <row r="11" spans="1:12" x14ac:dyDescent="0.3">
      <c r="A11" s="11">
        <v>100000</v>
      </c>
      <c r="B11" s="12">
        <v>0.99723464250564575</v>
      </c>
      <c r="C11" s="12">
        <v>1.9690331220626831</v>
      </c>
      <c r="D11" s="14">
        <f t="shared" si="1"/>
        <v>0.1</v>
      </c>
      <c r="E11" s="14"/>
      <c r="H11" s="17">
        <f t="shared" si="2"/>
        <v>121490.60692117331</v>
      </c>
      <c r="I11" s="18">
        <f t="shared" si="3"/>
        <v>1.5194416046142578E-3</v>
      </c>
      <c r="L11" s="14">
        <v>0.1</v>
      </c>
    </row>
    <row r="12" spans="1:12" x14ac:dyDescent="0.3">
      <c r="A12" s="11">
        <v>150000</v>
      </c>
      <c r="B12" s="12">
        <v>0.99875408411026001</v>
      </c>
      <c r="C12" s="12">
        <v>1.9258130788803101</v>
      </c>
      <c r="D12" s="14">
        <f t="shared" si="1"/>
        <v>0.1</v>
      </c>
      <c r="E12" s="14"/>
      <c r="H12" s="17">
        <f t="shared" si="2"/>
        <v>202079.29174133262</v>
      </c>
      <c r="I12" s="18">
        <f t="shared" si="3"/>
        <v>9.3257427215576172E-4</v>
      </c>
      <c r="L12" s="14">
        <v>0.1</v>
      </c>
    </row>
    <row r="13" spans="1:12" x14ac:dyDescent="0.3">
      <c r="A13" s="11">
        <v>300000</v>
      </c>
      <c r="B13" s="12">
        <v>0.99968665838241577</v>
      </c>
      <c r="C13" s="12">
        <v>1.8239541053771973</v>
      </c>
      <c r="D13" s="14">
        <f t="shared" si="1"/>
        <v>0.1</v>
      </c>
      <c r="E13" s="14"/>
      <c r="H13" s="17">
        <f t="shared" si="2"/>
        <v>401107.12934187846</v>
      </c>
      <c r="I13" s="18">
        <f t="shared" si="3"/>
        <v>2.4580955505371094E-4</v>
      </c>
      <c r="L13" s="14">
        <v>0.1</v>
      </c>
    </row>
    <row r="14" spans="1:12" x14ac:dyDescent="0.3">
      <c r="A14" s="11">
        <v>600000</v>
      </c>
      <c r="B14" s="12">
        <v>0.99993246793746948</v>
      </c>
      <c r="C14" s="12">
        <v>1.7981644868850708</v>
      </c>
      <c r="D14" s="14">
        <f t="shared" si="1"/>
        <v>0.1</v>
      </c>
      <c r="E14" s="14"/>
      <c r="H14" s="17">
        <f t="shared" si="2"/>
        <v>748387.4882538307</v>
      </c>
      <c r="I14" s="18">
        <f t="shared" si="3"/>
        <v>4.6968460083007813E-5</v>
      </c>
      <c r="L14" s="14">
        <v>0.1</v>
      </c>
    </row>
    <row r="15" spans="1:12" x14ac:dyDescent="0.3">
      <c r="A15" s="11">
        <v>1000000</v>
      </c>
      <c r="B15" s="12">
        <v>0.99997943639755249</v>
      </c>
      <c r="C15" s="12">
        <v>1.8338054418563843</v>
      </c>
      <c r="D15" s="14">
        <f t="shared" si="1"/>
        <v>0.1</v>
      </c>
      <c r="E15" s="14"/>
      <c r="H15" s="17">
        <f>C15*A15</f>
        <v>1833805.4418563843</v>
      </c>
      <c r="I15" s="18">
        <f>1-B15</f>
        <v>2.0563602447509766E-5</v>
      </c>
      <c r="L15" s="14">
        <v>0.1</v>
      </c>
    </row>
    <row r="16" spans="1:12" x14ac:dyDescent="0.3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1910</v>
      </c>
      <c r="C1" s="8" t="s">
        <v>24</v>
      </c>
      <c r="D1" s="10">
        <f>1000*[1]TD1!$C$17</f>
        <v>14707763.234655201</v>
      </c>
      <c r="E1" s="8" t="s">
        <v>30</v>
      </c>
      <c r="F1" s="21">
        <f>(SUMPRODUCT(D4:D6,H4:H6,I4:I6)/(D2*B2))/((1-SUMPRODUCT(D4:D6,H4:H6,I4:I6)/B2)/(1-D2))</f>
        <v>0.7570209760167258</v>
      </c>
      <c r="G1" s="19"/>
      <c r="H1" s="16"/>
    </row>
    <row r="2" spans="1:12" x14ac:dyDescent="0.3">
      <c r="A2" s="8" t="s">
        <v>12</v>
      </c>
      <c r="B2" s="11">
        <f>[1]TD2!$M$17</f>
        <v>1335.6206356655423</v>
      </c>
      <c r="C2" s="8" t="s">
        <v>15</v>
      </c>
      <c r="D2" s="14">
        <f>[1]TD1!$F$17</f>
        <v>0.18057919257725574</v>
      </c>
      <c r="E2" s="18" t="s">
        <v>26</v>
      </c>
      <c r="I2" s="8"/>
      <c r="L2" s="14">
        <f>D2</f>
        <v>0.18057919257725574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(D2-SUMPRODUCT(D5:D6,I5:I6))/I4</f>
        <v>0.18953243619695082</v>
      </c>
      <c r="E4" s="14"/>
      <c r="F4" s="8"/>
      <c r="G4" s="8"/>
      <c r="H4" s="17">
        <f>((1-B4)*B2-(1-B5)*C5*A5)/(B5-B4)</f>
        <v>712.33100568828922</v>
      </c>
      <c r="I4" s="18">
        <f t="shared" ref="I4:I5" si="0">B5-B4</f>
        <v>0.9</v>
      </c>
      <c r="L4" s="14"/>
    </row>
    <row r="5" spans="1:12" x14ac:dyDescent="0.3">
      <c r="A5" s="11">
        <f>(SUMPRODUCT(H5:H$6,I5:I$6)/(1-B5))/C5</f>
        <v>2671.241271331085</v>
      </c>
      <c r="B5" s="12">
        <v>0.9</v>
      </c>
      <c r="C5" s="12">
        <v>2.6</v>
      </c>
      <c r="D5" s="14">
        <f t="shared" ref="D5:D6" si="1">L5*D$2/L$2</f>
        <v>0.1</v>
      </c>
      <c r="E5" s="14"/>
      <c r="F5" s="8"/>
      <c r="G5" s="8"/>
      <c r="H5" s="17">
        <f>(0.29/(B6-B5))*B$2</f>
        <v>4303.666492700082</v>
      </c>
      <c r="I5" s="18">
        <f t="shared" si="0"/>
        <v>8.9999999999999969E-2</v>
      </c>
      <c r="L5" s="14">
        <v>0.1</v>
      </c>
    </row>
    <row r="6" spans="1:12" x14ac:dyDescent="0.3">
      <c r="A6" s="11">
        <f>(SUMPRODUCT(H6:H$6,I6:I$6)/(1-B6))/C6</f>
        <v>11815.105623195172</v>
      </c>
      <c r="B6" s="12">
        <v>0.99</v>
      </c>
      <c r="C6" s="12">
        <v>2.6</v>
      </c>
      <c r="D6" s="14">
        <f t="shared" si="1"/>
        <v>0.1</v>
      </c>
      <c r="E6" s="14"/>
      <c r="H6" s="17">
        <f>(0.23/I6)*B2</f>
        <v>30719.274620307449</v>
      </c>
      <c r="I6" s="18">
        <f>1-B6</f>
        <v>1.0000000000000009E-2</v>
      </c>
      <c r="L6" s="14">
        <v>0.1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H4" sqref="H4:I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1941</v>
      </c>
      <c r="C1" s="8" t="s">
        <v>24</v>
      </c>
      <c r="D1" s="10">
        <f>1000*[1]TD1!$C$48</f>
        <v>15368131.997628767</v>
      </c>
      <c r="E1" s="8" t="s">
        <v>30</v>
      </c>
      <c r="F1" s="21">
        <f>(SUMPRODUCT(D4:D16,H4:H16,I4:I16)/(D2*B2))/((1-SUMPRODUCT(D4:D16,H4:H16,I4:I16)/B2)/(1-D2))</f>
        <v>0.7071227299090691</v>
      </c>
      <c r="G1" s="19"/>
      <c r="H1" s="16"/>
    </row>
    <row r="2" spans="1:12" x14ac:dyDescent="0.3">
      <c r="A2" s="8" t="s">
        <v>12</v>
      </c>
      <c r="B2" s="11">
        <f>[1]TD2!$M$48</f>
        <v>11784.97517264508</v>
      </c>
      <c r="C2" s="8" t="s">
        <v>15</v>
      </c>
      <c r="D2" s="14">
        <f>[1]TD1!$F$48</f>
        <v>0.3029129292002577</v>
      </c>
      <c r="E2" s="18" t="s">
        <v>26</v>
      </c>
      <c r="I2" s="8"/>
      <c r="L2" s="14">
        <f>D2</f>
        <v>0.3029129292002577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(D2-SUMPRODUCT(D5:D16,I5:I16))/I4</f>
        <v>0.33069014255765494</v>
      </c>
      <c r="E4" s="14"/>
      <c r="F4" s="8"/>
      <c r="G4" s="8"/>
      <c r="H4" s="17">
        <f>((1-B4)*B2-(1-B5)*C5*A5)/(B5-B4)</f>
        <v>7843.5266271328555</v>
      </c>
      <c r="I4" s="18">
        <f t="shared" ref="I4" si="0">B5-B4</f>
        <v>0.87959080934524536</v>
      </c>
      <c r="L4" s="14"/>
    </row>
    <row r="5" spans="1:12" x14ac:dyDescent="0.3">
      <c r="A5" s="11">
        <v>20000</v>
      </c>
      <c r="B5" s="12">
        <v>0.87959080934524536</v>
      </c>
      <c r="C5" s="8">
        <v>2.0288655757904053</v>
      </c>
      <c r="D5" s="14">
        <f t="shared" ref="D5:D16" si="1">L5*D$2/L$2</f>
        <v>0.1</v>
      </c>
      <c r="E5" s="14"/>
      <c r="F5" s="8"/>
      <c r="G5" s="8"/>
      <c r="H5" s="17">
        <f t="shared" ref="H5:H15" si="2">((1-B5)*C5*A5-(1-B6)*C6*A6)/(B6-B5)</f>
        <v>24895.100499389271</v>
      </c>
      <c r="I5" s="18">
        <f t="shared" ref="I5:I15" si="3">B6-B5</f>
        <v>6.5886437892913818E-2</v>
      </c>
      <c r="L5" s="14">
        <v>0.1</v>
      </c>
    </row>
    <row r="6" spans="1:12" x14ac:dyDescent="0.3">
      <c r="A6" s="11">
        <v>30000</v>
      </c>
      <c r="B6" s="12">
        <v>0.94547724723815918</v>
      </c>
      <c r="C6" s="8">
        <v>1.9842674732208252</v>
      </c>
      <c r="D6" s="14">
        <f t="shared" si="1"/>
        <v>0.1</v>
      </c>
      <c r="E6" s="14"/>
      <c r="F6" s="8"/>
      <c r="G6" s="8"/>
      <c r="H6" s="17">
        <f t="shared" si="2"/>
        <v>34896.593801630625</v>
      </c>
      <c r="I6" s="18">
        <f t="shared" si="3"/>
        <v>2.5441288948059082E-2</v>
      </c>
      <c r="L6" s="14">
        <v>0.1</v>
      </c>
    </row>
    <row r="7" spans="1:12" x14ac:dyDescent="0.3">
      <c r="A7" s="11">
        <v>40000</v>
      </c>
      <c r="B7" s="12">
        <v>0.97091853618621826</v>
      </c>
      <c r="C7" s="8">
        <v>2.0269074440002441</v>
      </c>
      <c r="D7" s="14">
        <f t="shared" si="1"/>
        <v>0.1</v>
      </c>
      <c r="E7" s="14"/>
      <c r="H7" s="17">
        <f t="shared" si="2"/>
        <v>44852.015983284669</v>
      </c>
      <c r="I7" s="18">
        <f t="shared" si="3"/>
        <v>1.0887086391448975E-2</v>
      </c>
      <c r="L7" s="14">
        <v>0.1</v>
      </c>
    </row>
    <row r="8" spans="1:12" x14ac:dyDescent="0.3">
      <c r="A8" s="11">
        <v>50000</v>
      </c>
      <c r="B8" s="12">
        <v>0.98180562257766724</v>
      </c>
      <c r="C8" s="8">
        <v>2.0550410747528076</v>
      </c>
      <c r="D8" s="14">
        <f t="shared" si="1"/>
        <v>0.1</v>
      </c>
      <c r="E8" s="14"/>
      <c r="H8" s="17">
        <f t="shared" si="2"/>
        <v>60476.114304013296</v>
      </c>
      <c r="I8" s="18">
        <f t="shared" si="3"/>
        <v>9.6948146820068359E-3</v>
      </c>
      <c r="L8" s="14">
        <v>0.1</v>
      </c>
    </row>
    <row r="9" spans="1:12" x14ac:dyDescent="0.3">
      <c r="A9" s="11">
        <v>75000</v>
      </c>
      <c r="B9" s="12">
        <v>0.99150043725967407</v>
      </c>
      <c r="C9" s="12">
        <v>2.0129740238189697</v>
      </c>
      <c r="D9" s="14">
        <f t="shared" si="1"/>
        <v>0.1</v>
      </c>
      <c r="E9" s="14"/>
      <c r="H9" s="17">
        <f t="shared" ref="H9:H10" si="4">((1-B9)*C9*A9-(1-B10)*C10*A10)/(B10-B9)</f>
        <v>86268.771866549403</v>
      </c>
      <c r="I9" s="18">
        <f t="shared" ref="I9:I10" si="5">B10-B9</f>
        <v>3.4692883491516113E-3</v>
      </c>
      <c r="L9" s="14">
        <v>0.1</v>
      </c>
    </row>
    <row r="10" spans="1:12" x14ac:dyDescent="0.3">
      <c r="A10" s="11">
        <v>100000</v>
      </c>
      <c r="B10" s="12">
        <v>0.99496972560882568</v>
      </c>
      <c r="C10" s="12">
        <v>1.9559841156005859</v>
      </c>
      <c r="D10" s="14">
        <f t="shared" si="1"/>
        <v>0.1</v>
      </c>
      <c r="E10" s="14"/>
      <c r="H10" s="17">
        <f t="shared" si="4"/>
        <v>111810.68020390392</v>
      </c>
      <c r="I10" s="18">
        <f t="shared" si="5"/>
        <v>1.7347931861877441E-3</v>
      </c>
      <c r="L10" s="14">
        <v>0.1</v>
      </c>
    </row>
    <row r="11" spans="1:12" x14ac:dyDescent="0.3">
      <c r="A11" s="11">
        <v>125000</v>
      </c>
      <c r="B11" s="12">
        <v>0.99670451879501343</v>
      </c>
      <c r="C11" s="12">
        <v>1.917644739151001</v>
      </c>
      <c r="D11" s="14">
        <f t="shared" si="1"/>
        <v>0.1</v>
      </c>
      <c r="E11" s="14"/>
      <c r="H11" s="17">
        <f t="shared" si="2"/>
        <v>137151.85506707008</v>
      </c>
      <c r="I11" s="18">
        <f t="shared" si="3"/>
        <v>9.9664926528930664E-4</v>
      </c>
      <c r="L11" s="14">
        <v>0.1</v>
      </c>
    </row>
    <row r="12" spans="1:12" x14ac:dyDescent="0.3">
      <c r="A12" s="11">
        <v>150000</v>
      </c>
      <c r="B12" s="12">
        <v>0.99770116806030273</v>
      </c>
      <c r="C12" s="12">
        <v>1.89444899559021</v>
      </c>
      <c r="D12" s="14">
        <f t="shared" si="1"/>
        <v>0.1</v>
      </c>
      <c r="E12" s="14"/>
      <c r="H12" s="17">
        <f t="shared" si="2"/>
        <v>171980.42896929715</v>
      </c>
      <c r="I12" s="18">
        <f t="shared" si="3"/>
        <v>9.9718570709228516E-4</v>
      </c>
      <c r="L12" s="14">
        <v>0.1</v>
      </c>
    </row>
    <row r="13" spans="1:12" x14ac:dyDescent="0.3">
      <c r="A13" s="11">
        <v>200000</v>
      </c>
      <c r="B13" s="12">
        <v>0.99869835376739502</v>
      </c>
      <c r="C13" s="12">
        <v>1.8505663871765137</v>
      </c>
      <c r="D13" s="14">
        <f t="shared" si="1"/>
        <v>0.1</v>
      </c>
      <c r="E13" s="14"/>
      <c r="H13" s="17">
        <f t="shared" si="2"/>
        <v>241616.09700130686</v>
      </c>
      <c r="I13" s="18">
        <f t="shared" si="3"/>
        <v>7.4499845504760742E-4</v>
      </c>
      <c r="L13" s="14">
        <v>0.1</v>
      </c>
    </row>
    <row r="14" spans="1:12" x14ac:dyDescent="0.3">
      <c r="A14" s="11">
        <v>300000</v>
      </c>
      <c r="B14" s="12">
        <v>0.99944335222244263</v>
      </c>
      <c r="C14" s="12">
        <v>1.8069651126861572</v>
      </c>
      <c r="D14" s="14">
        <f t="shared" si="1"/>
        <v>0.1</v>
      </c>
      <c r="E14" s="14"/>
      <c r="H14" s="17">
        <f t="shared" si="2"/>
        <v>398004.27305563353</v>
      </c>
      <c r="I14" s="18">
        <f t="shared" si="3"/>
        <v>4.3672323226928711E-4</v>
      </c>
      <c r="L14" s="14">
        <v>0.1</v>
      </c>
    </row>
    <row r="15" spans="1:12" x14ac:dyDescent="0.3">
      <c r="A15" s="11">
        <v>600000</v>
      </c>
      <c r="B15" s="12">
        <v>0.99988007545471191</v>
      </c>
      <c r="C15" s="12">
        <v>1.7779960632324219</v>
      </c>
      <c r="D15" s="14">
        <f t="shared" si="1"/>
        <v>0.1</v>
      </c>
      <c r="E15" s="14"/>
      <c r="H15" s="17">
        <f t="shared" si="2"/>
        <v>733840.74132432381</v>
      </c>
      <c r="I15" s="18">
        <f t="shared" si="3"/>
        <v>8.4519386291503906E-5</v>
      </c>
      <c r="L15" s="14">
        <v>0.1</v>
      </c>
    </row>
    <row r="16" spans="1:12" x14ac:dyDescent="0.3">
      <c r="A16" s="11">
        <v>1000000</v>
      </c>
      <c r="B16" s="12">
        <v>0.99996459484100342</v>
      </c>
      <c r="C16" s="12">
        <v>1.8616341352462769</v>
      </c>
      <c r="D16" s="14">
        <f t="shared" si="1"/>
        <v>0.1</v>
      </c>
      <c r="E16" s="14"/>
      <c r="H16" s="17">
        <f>C16*A16</f>
        <v>1861634.1352462769</v>
      </c>
      <c r="I16" s="18">
        <f>1-B16</f>
        <v>3.5405158996582031E-5</v>
      </c>
      <c r="L16" s="14">
        <v>0.1</v>
      </c>
    </row>
    <row r="17" spans="1:12" x14ac:dyDescent="0.3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20" zoomScaleNormal="120" zoomScalePageLayoutView="120" workbookViewId="0">
      <selection activeCell="C5" sqref="C5:C28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1942</v>
      </c>
      <c r="C1" s="8" t="s">
        <v>24</v>
      </c>
      <c r="D1" s="10">
        <f>1000*[1]TD1!$C$49</f>
        <v>15371957.9974781</v>
      </c>
      <c r="E1" s="8" t="s">
        <v>30</v>
      </c>
      <c r="F1" s="21">
        <f>(SUMPRODUCT(D4:D28,H4:H28,I4:I28)/(D2*B2))/((1-SUMPRODUCT(D4:D28,H4:H28,I4:I28)/B2)/(1-D2))</f>
        <v>0.76901546004249599</v>
      </c>
      <c r="G1" s="19"/>
      <c r="H1" s="16"/>
    </row>
    <row r="2" spans="1:12" x14ac:dyDescent="0.3">
      <c r="A2" s="8" t="s">
        <v>12</v>
      </c>
      <c r="B2" s="11">
        <f>[1]TD2!$M$49</f>
        <v>15725.75586490549</v>
      </c>
      <c r="C2" s="8" t="s">
        <v>15</v>
      </c>
      <c r="D2" s="14">
        <f>[1]TD1!$F$49</f>
        <v>0.28716373831733755</v>
      </c>
      <c r="E2" s="18" t="s">
        <v>26</v>
      </c>
      <c r="I2" s="8"/>
      <c r="L2" s="14">
        <f>D2</f>
        <v>0.28716373831733755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(D2-SUMPRODUCT(D5:D28,I5:I28))/I4</f>
        <v>0.30980416357041102</v>
      </c>
      <c r="E4" s="14"/>
      <c r="F4" s="8"/>
      <c r="G4" s="8"/>
      <c r="H4" s="17">
        <f>((1-B4)*B2-(1-B5)*C5*A5)/(B5-B4)</f>
        <v>11470.762496115136</v>
      </c>
      <c r="I4" s="18">
        <f t="shared" ref="I4" si="0">B5-B4</f>
        <v>0.89208781719207764</v>
      </c>
      <c r="L4" s="14"/>
    </row>
    <row r="5" spans="1:12" x14ac:dyDescent="0.3">
      <c r="A5" s="11">
        <f>20000+6000</f>
        <v>26000</v>
      </c>
      <c r="B5" s="12">
        <v>0.89208781719207764</v>
      </c>
      <c r="C5" s="8">
        <f>(SUMPRODUCT(H5:H$28,I5:I$28)/(1-B5))/A5</f>
        <v>1.9577273373488249</v>
      </c>
      <c r="D5" s="14">
        <f t="shared" ref="D5:D28" si="1">L5*D$2/L$2</f>
        <v>0.1</v>
      </c>
      <c r="E5" s="14"/>
      <c r="F5" s="8"/>
      <c r="G5" s="8"/>
      <c r="H5" s="17">
        <f>'1942raw'!H5+6500</f>
        <v>31259.880316721552</v>
      </c>
      <c r="I5" s="18">
        <f t="shared" ref="I5" si="2">B6-B5</f>
        <v>5.4244458675384521E-2</v>
      </c>
      <c r="L5" s="14">
        <v>0.1</v>
      </c>
    </row>
    <row r="6" spans="1:12" x14ac:dyDescent="0.3">
      <c r="A6" s="11">
        <f>30000+7000</f>
        <v>37000</v>
      </c>
      <c r="B6" s="12">
        <v>0.94633227586746216</v>
      </c>
      <c r="C6" s="8">
        <f>(SUMPRODUCT(H6:H$28,I6:I$28)/(1-B6))/A6</f>
        <v>1.9122435537777016</v>
      </c>
      <c r="D6" s="14">
        <f t="shared" si="1"/>
        <v>0.1</v>
      </c>
      <c r="E6" s="14"/>
      <c r="F6" s="8"/>
      <c r="G6" s="8"/>
      <c r="H6" s="17">
        <f>'1942raw'!H6+7000</f>
        <v>41963.215971493133</v>
      </c>
      <c r="I6" s="18">
        <f t="shared" ref="I6:I27" si="3">B7-B6</f>
        <v>2.2551655769348145E-2</v>
      </c>
      <c r="L6" s="14">
        <v>0.1</v>
      </c>
    </row>
    <row r="7" spans="1:12" x14ac:dyDescent="0.3">
      <c r="A7" s="11">
        <f>40000+7000</f>
        <v>47000</v>
      </c>
      <c r="B7" s="12">
        <v>0.9688839316368103</v>
      </c>
      <c r="C7" s="8">
        <f>(SUMPRODUCT(H7:H$28,I7:I$28)/(1-B7))/A7</f>
        <v>1.9493336104504064</v>
      </c>
      <c r="D7" s="14">
        <f t="shared" si="1"/>
        <v>0.1</v>
      </c>
      <c r="E7" s="14"/>
      <c r="H7" s="17">
        <f>'1942raw'!H7+7250</f>
        <v>52247.218151265763</v>
      </c>
      <c r="I7" s="18">
        <f t="shared" si="3"/>
        <v>1.0613083839416504E-2</v>
      </c>
      <c r="L7" s="14">
        <v>0.1</v>
      </c>
    </row>
    <row r="8" spans="1:12" x14ac:dyDescent="0.3">
      <c r="A8" s="11">
        <f>50000+7500</f>
        <v>57500</v>
      </c>
      <c r="B8" s="12">
        <v>0.97949701547622681</v>
      </c>
      <c r="C8" s="8">
        <f>(SUMPRODUCT(H8:H$28,I8:I$28)/(1-B8))/A8</f>
        <v>1.9478046498546384</v>
      </c>
      <c r="D8" s="14">
        <f t="shared" si="1"/>
        <v>0.1</v>
      </c>
      <c r="E8" s="14"/>
      <c r="H8" s="17">
        <f>'1942raw'!H8+7750</f>
        <v>62831.792513604181</v>
      </c>
      <c r="I8" s="18">
        <f t="shared" si="3"/>
        <v>5.7023763656616211E-3</v>
      </c>
      <c r="L8" s="14">
        <v>0.1</v>
      </c>
    </row>
    <row r="9" spans="1:12" x14ac:dyDescent="0.3">
      <c r="A9" s="11">
        <f>60000+8000</f>
        <v>68000</v>
      </c>
      <c r="B9" s="12">
        <v>0.98519939184188843</v>
      </c>
      <c r="C9" s="8">
        <f>(SUMPRODUCT(H9:H$28,I9:I$28)/(1-B9))/A9</f>
        <v>1.9256148966936535</v>
      </c>
      <c r="D9" s="14">
        <f t="shared" si="1"/>
        <v>0.1</v>
      </c>
      <c r="E9" s="14"/>
      <c r="H9" s="17">
        <f>'1942raw'!H9+8250</f>
        <v>73443.44240924748</v>
      </c>
      <c r="I9" s="18">
        <f t="shared" si="3"/>
        <v>3.5189390182495117E-3</v>
      </c>
      <c r="L9" s="14">
        <v>0.1</v>
      </c>
    </row>
    <row r="10" spans="1:12" x14ac:dyDescent="0.3">
      <c r="A10" s="11">
        <f>70000+8500</f>
        <v>78500</v>
      </c>
      <c r="B10" s="12">
        <v>0.98871833086013794</v>
      </c>
      <c r="C10" s="8">
        <f>(SUMPRODUCT(H10:H$28,I10:I$28)/(1-B10))/A10</f>
        <v>1.8965159851391267</v>
      </c>
      <c r="D10" s="14">
        <f t="shared" si="1"/>
        <v>0.1</v>
      </c>
      <c r="E10" s="14"/>
      <c r="H10" s="17">
        <f>'1942raw'!H10+8750</f>
        <v>83953.381488992949</v>
      </c>
      <c r="I10" s="18">
        <f t="shared" si="3"/>
        <v>2.3739337921142578E-3</v>
      </c>
      <c r="L10" s="14">
        <v>0.1</v>
      </c>
    </row>
    <row r="11" spans="1:12" x14ac:dyDescent="0.3">
      <c r="A11" s="11">
        <f>80000+9000</f>
        <v>89000</v>
      </c>
      <c r="B11" s="12">
        <v>0.9910922646522522</v>
      </c>
      <c r="C11" s="8">
        <f>(SUMPRODUCT(H11:H$28,I11:I$28)/(1-B11))/A11</f>
        <v>1.8671761786055929</v>
      </c>
      <c r="D11" s="14">
        <f t="shared" si="1"/>
        <v>0.1</v>
      </c>
      <c r="E11" s="14"/>
      <c r="H11" s="17">
        <f>'1942raw'!H11+9250</f>
        <v>94515.442692335564</v>
      </c>
      <c r="I11" s="18">
        <f t="shared" si="3"/>
        <v>1.6910433769226074E-3</v>
      </c>
      <c r="L11" s="14">
        <v>0.1</v>
      </c>
    </row>
    <row r="12" spans="1:12" x14ac:dyDescent="0.3">
      <c r="A12" s="11">
        <f>90000+9500</f>
        <v>99500</v>
      </c>
      <c r="B12" s="12">
        <v>0.9927833080291748</v>
      </c>
      <c r="C12" s="8">
        <f>(SUMPRODUCT(H12:H$28,I12:I$28)/(1-B12))/A12</f>
        <v>1.8389054152604163</v>
      </c>
      <c r="D12" s="14">
        <f t="shared" si="1"/>
        <v>0.1</v>
      </c>
      <c r="E12" s="14"/>
      <c r="H12" s="17">
        <f>'1942raw'!H12+9750</f>
        <v>105116.38655424351</v>
      </c>
      <c r="I12" s="18">
        <f t="shared" si="3"/>
        <v>1.280367374420166E-3</v>
      </c>
      <c r="L12" s="14">
        <v>0.1</v>
      </c>
    </row>
    <row r="13" spans="1:12" x14ac:dyDescent="0.3">
      <c r="A13" s="11">
        <f>100000+10000</f>
        <v>110000</v>
      </c>
      <c r="B13" s="12">
        <v>0.99406367540359497</v>
      </c>
      <c r="C13" s="8">
        <f>(SUMPRODUCT(H13:H$28,I13:I$28)/(1-B13))/A13</f>
        <v>1.8160278628633493</v>
      </c>
      <c r="D13" s="14">
        <f t="shared" si="1"/>
        <v>0.1</v>
      </c>
      <c r="E13" s="14"/>
      <c r="H13" s="17">
        <f>'1942raw'!H13+10500</f>
        <v>120290.48943277943</v>
      </c>
      <c r="I13" s="18">
        <f t="shared" si="3"/>
        <v>1.7465949058532715E-3</v>
      </c>
      <c r="L13" s="14">
        <v>0.1</v>
      </c>
    </row>
    <row r="14" spans="1:12" x14ac:dyDescent="0.3">
      <c r="A14" s="11">
        <f>120000+11000</f>
        <v>131000</v>
      </c>
      <c r="B14" s="12">
        <v>0.99581027030944824</v>
      </c>
      <c r="C14" s="8">
        <f>(SUMPRODUCT(H14:H$28,I14:I$28)/(1-B14))/A14</f>
        <v>1.7778108416621898</v>
      </c>
      <c r="D14" s="14">
        <f t="shared" si="1"/>
        <v>0.1</v>
      </c>
      <c r="E14" s="14"/>
      <c r="H14" s="17">
        <f>'1942raw'!H14+11250</f>
        <v>140961.31757475671</v>
      </c>
      <c r="I14" s="18">
        <f t="shared" si="3"/>
        <v>1.0987520217895508E-3</v>
      </c>
      <c r="L14" s="14">
        <v>0.1</v>
      </c>
    </row>
    <row r="15" spans="1:12" x14ac:dyDescent="0.3">
      <c r="A15" s="11">
        <f>140000+11500</f>
        <v>151500</v>
      </c>
      <c r="B15" s="12">
        <v>0.99690902233123779</v>
      </c>
      <c r="C15" s="8">
        <f>(SUMPRODUCT(H15:H$28,I15:I$28)/(1-B15))/A15</f>
        <v>1.7529525995759274</v>
      </c>
      <c r="D15" s="14">
        <f t="shared" si="1"/>
        <v>0.1</v>
      </c>
      <c r="E15" s="14"/>
      <c r="H15" s="17">
        <f>'1942raw'!H15+11750</f>
        <v>161581.83788468517</v>
      </c>
      <c r="I15" s="18">
        <f t="shared" si="3"/>
        <v>7.3343515396118164E-4</v>
      </c>
      <c r="L15" s="14">
        <v>0.1</v>
      </c>
    </row>
    <row r="16" spans="1:12" x14ac:dyDescent="0.3">
      <c r="A16" s="11">
        <f>160000+12000</f>
        <v>172000</v>
      </c>
      <c r="B16" s="12">
        <v>0.99764245748519897</v>
      </c>
      <c r="C16" s="8">
        <f>(SUMPRODUCT(H16:H$28,I16:I$28)/(1-B16))/A16</f>
        <v>1.732115812079851</v>
      </c>
      <c r="D16" s="14">
        <f t="shared" si="1"/>
        <v>0.1</v>
      </c>
      <c r="E16" s="14"/>
      <c r="H16" s="17">
        <f>'1942raw'!H16+12000</f>
        <v>181634.9192201675</v>
      </c>
      <c r="I16" s="18">
        <f t="shared" si="3"/>
        <v>5.0371885299682617E-4</v>
      </c>
      <c r="L16" s="14">
        <v>0.1</v>
      </c>
    </row>
    <row r="17" spans="1:12" x14ac:dyDescent="0.3">
      <c r="A17" s="11">
        <f>'1942raw'!A17+12000</f>
        <v>192000</v>
      </c>
      <c r="B17" s="12">
        <v>0.9981461763381958</v>
      </c>
      <c r="C17" s="8">
        <f>(SUMPRODUCT(H17:H$28,I17:I$28)/(1-B17))/A17</f>
        <v>1.716259554028511</v>
      </c>
      <c r="D17" s="14">
        <f t="shared" si="1"/>
        <v>0.1</v>
      </c>
      <c r="E17" s="14"/>
      <c r="H17" s="17">
        <f>'1942raw'!H17+12000</f>
        <v>201942.21931149715</v>
      </c>
      <c r="I17" s="18">
        <f t="shared" si="3"/>
        <v>3.7008523941040039E-4</v>
      </c>
      <c r="L17" s="14">
        <v>0.1</v>
      </c>
    </row>
    <row r="18" spans="1:12" x14ac:dyDescent="0.3">
      <c r="A18" s="11">
        <f>'1942raw'!A18+12000</f>
        <v>212000</v>
      </c>
      <c r="B18" s="12">
        <v>0.9985162615776062</v>
      </c>
      <c r="C18" s="8">
        <f>(SUMPRODUCT(H18:H$28,I18:I$28)/(1-B18))/A18</f>
        <v>1.7044514395155996</v>
      </c>
      <c r="D18" s="14">
        <f t="shared" si="1"/>
        <v>0.1</v>
      </c>
      <c r="E18" s="14"/>
      <c r="H18" s="17">
        <f>'1942raw'!H18+12000</f>
        <v>224402.3000097585</v>
      </c>
      <c r="I18" s="18">
        <f t="shared" si="3"/>
        <v>3.2973289489746094E-4</v>
      </c>
      <c r="L18" s="14">
        <v>0.1</v>
      </c>
    </row>
    <row r="19" spans="1:12" x14ac:dyDescent="0.3">
      <c r="A19" s="11">
        <f>'1942raw'!A19+12000</f>
        <v>237000</v>
      </c>
      <c r="B19" s="12">
        <v>0.99884599447250366</v>
      </c>
      <c r="C19" s="8">
        <f>(SUMPRODUCT(H19:H$28,I19:I$28)/(1-B19))/A19</f>
        <v>1.6897546068022522</v>
      </c>
      <c r="D19" s="14">
        <f t="shared" si="1"/>
        <v>0.1</v>
      </c>
      <c r="E19" s="14"/>
      <c r="H19" s="17">
        <f>'1942raw'!H19+12000</f>
        <v>249432.69528214086</v>
      </c>
      <c r="I19" s="18">
        <f t="shared" si="3"/>
        <v>2.3823976516723633E-4</v>
      </c>
      <c r="L19" s="14">
        <v>0.1</v>
      </c>
    </row>
    <row r="20" spans="1:12" x14ac:dyDescent="0.3">
      <c r="A20" s="11">
        <f>'1942raw'!A20+12000</f>
        <v>262000</v>
      </c>
      <c r="B20" s="12">
        <v>0.9990842342376709</v>
      </c>
      <c r="C20" s="8">
        <f>(SUMPRODUCT(H20:H$28,I20:I$28)/(1-B20))/A20</f>
        <v>1.6784932076476002</v>
      </c>
      <c r="D20" s="14">
        <f t="shared" si="1"/>
        <v>0.1</v>
      </c>
      <c r="E20" s="14"/>
      <c r="H20" s="17">
        <f>'1942raw'!H20+12000</f>
        <v>274453.32587332954</v>
      </c>
      <c r="I20" s="18">
        <f t="shared" si="3"/>
        <v>1.7273426055908203E-4</v>
      </c>
      <c r="L20" s="14">
        <v>0.1</v>
      </c>
    </row>
    <row r="21" spans="1:12" x14ac:dyDescent="0.3">
      <c r="A21" s="11">
        <f>'1942raw'!A21+12000</f>
        <v>287000</v>
      </c>
      <c r="B21" s="12">
        <v>0.99925696849822998</v>
      </c>
      <c r="C21" s="8">
        <f>(SUMPRODUCT(H21:H$28,I21:I$28)/(1-B21))/A21</f>
        <v>1.6661869715315125</v>
      </c>
      <c r="D21" s="14">
        <f t="shared" si="1"/>
        <v>0.1</v>
      </c>
      <c r="E21" s="14"/>
      <c r="H21" s="17">
        <f>'1942raw'!H21+12000</f>
        <v>299719.48230384395</v>
      </c>
      <c r="I21" s="18">
        <f t="shared" si="3"/>
        <v>1.3870000839233398E-4</v>
      </c>
      <c r="L21" s="14">
        <v>0.1</v>
      </c>
    </row>
    <row r="22" spans="1:12" x14ac:dyDescent="0.3">
      <c r="A22" s="11">
        <f>'1942raw'!A22+12000</f>
        <v>312000</v>
      </c>
      <c r="B22" s="12">
        <v>0.99939566850662231</v>
      </c>
      <c r="C22" s="8">
        <f>(SUMPRODUCT(H22:H$28,I22:I$28)/(1-B22))/A22</f>
        <v>1.6639669720943158</v>
      </c>
      <c r="D22" s="14">
        <f t="shared" si="1"/>
        <v>0.1</v>
      </c>
      <c r="E22" s="14"/>
      <c r="H22" s="17">
        <f>'1942raw'!H22+12000</f>
        <v>323833.98731585359</v>
      </c>
      <c r="I22" s="18">
        <f t="shared" si="3"/>
        <v>1.0591745376586914E-4</v>
      </c>
      <c r="L22" s="14">
        <v>0.1</v>
      </c>
    </row>
    <row r="23" spans="1:12" x14ac:dyDescent="0.3">
      <c r="A23" s="11">
        <f>'1942raw'!A23+12000</f>
        <v>337000</v>
      </c>
      <c r="B23" s="12">
        <v>0.99950158596038818</v>
      </c>
      <c r="C23" s="8">
        <f>(SUMPRODUCT(H23:H$28,I23:I$28)/(1-B23))/A23</f>
        <v>1.6636965433992335</v>
      </c>
      <c r="D23" s="14">
        <f t="shared" si="1"/>
        <v>0.1</v>
      </c>
      <c r="E23" s="14"/>
      <c r="H23" s="17">
        <f>'1942raw'!H23+12000</f>
        <v>349336.65746014705</v>
      </c>
      <c r="I23" s="18">
        <f t="shared" si="3"/>
        <v>8.3982944488525391E-5</v>
      </c>
      <c r="L23" s="14">
        <v>0.1</v>
      </c>
    </row>
    <row r="24" spans="1:12" x14ac:dyDescent="0.3">
      <c r="A24" s="11">
        <f>'1942raw'!A24+12000</f>
        <v>362000</v>
      </c>
      <c r="B24" s="12">
        <v>0.99958556890487671</v>
      </c>
      <c r="C24" s="8">
        <f>(SUMPRODUCT(H24:H$28,I24:I$28)/(1-B24))/A24</f>
        <v>1.6671016552171654</v>
      </c>
      <c r="D24" s="14">
        <f t="shared" si="1"/>
        <v>0.1</v>
      </c>
      <c r="E24" s="14"/>
      <c r="H24" s="17">
        <f>'1942raw'!H24+12000</f>
        <v>375258.72568857099</v>
      </c>
      <c r="I24" s="18">
        <f t="shared" si="3"/>
        <v>6.3836574554443359E-5</v>
      </c>
      <c r="L24" s="14">
        <v>0.1</v>
      </c>
    </row>
    <row r="25" spans="1:12" x14ac:dyDescent="0.3">
      <c r="A25" s="11">
        <f>'1942raw'!A25+12000</f>
        <v>387000</v>
      </c>
      <c r="B25" s="12">
        <v>0.99964940547943115</v>
      </c>
      <c r="C25" s="8">
        <f>(SUMPRODUCT(H25:H$28,I25:I$28)/(1-B25))/A25</f>
        <v>1.6667894217395043</v>
      </c>
      <c r="D25" s="14">
        <f t="shared" si="1"/>
        <v>0.1</v>
      </c>
      <c r="E25" s="14"/>
      <c r="H25" s="17">
        <f>'1942raw'!H25+12000</f>
        <v>399744.35289558908</v>
      </c>
      <c r="I25" s="18">
        <f t="shared" si="3"/>
        <v>5.0067901611328125E-5</v>
      </c>
      <c r="L25" s="14">
        <v>0.1</v>
      </c>
    </row>
    <row r="26" spans="1:12" x14ac:dyDescent="0.3">
      <c r="A26" s="11">
        <f>'1942raw'!A26+12000</f>
        <v>412000</v>
      </c>
      <c r="B26" s="12">
        <v>0.99969947338104248</v>
      </c>
      <c r="C26" s="8">
        <f>(SUMPRODUCT(H26:H$28,I26:I$28)/(1-B26))/A26</f>
        <v>1.6648425917023595</v>
      </c>
      <c r="D26" s="14">
        <f t="shared" si="1"/>
        <v>0.1</v>
      </c>
      <c r="E26" s="14"/>
      <c r="H26" s="17">
        <f>'1942raw'!H26+12000</f>
        <v>460303.41455598228</v>
      </c>
      <c r="I26" s="18">
        <f t="shared" si="3"/>
        <v>1.3571977615356445E-4</v>
      </c>
      <c r="L26" s="14">
        <v>0.1</v>
      </c>
    </row>
    <row r="27" spans="1:12" x14ac:dyDescent="0.3">
      <c r="A27" s="11">
        <f>'1942raw'!A27+12000</f>
        <v>522000</v>
      </c>
      <c r="B27" s="12">
        <v>0.99983519315719604</v>
      </c>
      <c r="C27" s="8">
        <f>(SUMPRODUCT(H27:H$28,I27:I$28)/(1-B27))/A27</f>
        <v>1.6699391685683151</v>
      </c>
      <c r="D27" s="14">
        <f t="shared" si="1"/>
        <v>0.1</v>
      </c>
      <c r="E27" s="14"/>
      <c r="H27" s="17">
        <f>'1942raw'!H27+12000</f>
        <v>674868.36482192343</v>
      </c>
      <c r="I27" s="18">
        <f t="shared" si="3"/>
        <v>1.3589859008789063E-4</v>
      </c>
      <c r="L27" s="14">
        <v>0.1</v>
      </c>
    </row>
    <row r="28" spans="1:12" x14ac:dyDescent="0.3">
      <c r="A28" s="11">
        <f>'1942raw'!A28+12000</f>
        <v>1022000</v>
      </c>
      <c r="B28" s="12">
        <v>0.99997109174728394</v>
      </c>
      <c r="C28" s="8">
        <f>(SUMPRODUCT(H28:H$28,I28:I$28)/(1-B28))/A28</f>
        <v>1.7583743788724777</v>
      </c>
      <c r="D28" s="14">
        <f t="shared" si="1"/>
        <v>0.1</v>
      </c>
      <c r="E28" s="14"/>
      <c r="H28" s="17">
        <f>'1942raw'!H28+12000</f>
        <v>1797058.6152076721</v>
      </c>
      <c r="I28" s="18">
        <f>1-B28</f>
        <v>2.8908252716064453E-5</v>
      </c>
      <c r="L28" s="14">
        <v>0.1</v>
      </c>
    </row>
    <row r="29" spans="1:12" x14ac:dyDescent="0.3">
      <c r="A29" s="13"/>
      <c r="B29" s="13"/>
      <c r="C29" s="13"/>
      <c r="D29" s="13"/>
      <c r="E29" s="13"/>
      <c r="H29" s="13"/>
      <c r="L29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20" zoomScaleNormal="120" zoomScalePageLayoutView="120" workbookViewId="0">
      <selection activeCell="C5" sqref="C5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1943</v>
      </c>
      <c r="C1" s="8" t="s">
        <v>24</v>
      </c>
      <c r="D1" s="10">
        <f>1000*[1]TD1!$C$50</f>
        <v>15276623.830476714</v>
      </c>
      <c r="E1" s="8" t="s">
        <v>30</v>
      </c>
      <c r="F1" s="21">
        <f>(SUMPRODUCT(D4:D28,H4:H28,I4:I28)/(D2*B2))/((1-SUMPRODUCT(D4:D28,H4:H28,I4:I28)/B2)/(1-D2))</f>
        <v>0.7831159436479016</v>
      </c>
      <c r="G1" s="19"/>
      <c r="H1" s="16"/>
    </row>
    <row r="2" spans="1:12" x14ac:dyDescent="0.3">
      <c r="A2" s="8" t="s">
        <v>12</v>
      </c>
      <c r="B2" s="11">
        <f>[1]TD2!$M$50</f>
        <v>19550.707395629834</v>
      </c>
      <c r="C2" s="8" t="s">
        <v>15</v>
      </c>
      <c r="D2" s="14">
        <f>[1]TD1!$F$50</f>
        <v>0.27897249297428051</v>
      </c>
      <c r="E2" s="18" t="s">
        <v>26</v>
      </c>
      <c r="I2" s="8"/>
      <c r="L2" s="14">
        <f>D2</f>
        <v>0.27897249297428051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(D2-SUMPRODUCT(D5:D28,I5:I28))/I4</f>
        <v>0.3066376221368271</v>
      </c>
      <c r="E4" s="14"/>
      <c r="F4" s="8"/>
      <c r="G4" s="8"/>
      <c r="H4" s="17">
        <f>((1-B4)*B2-(1-B5)*C5*A5)/(B5-B4)</f>
        <v>14478.20321200883</v>
      </c>
      <c r="I4" s="18">
        <f t="shared" ref="I4" si="0">B5-B4</f>
        <v>0.86611765623092651</v>
      </c>
      <c r="L4" s="14"/>
    </row>
    <row r="5" spans="1:12" x14ac:dyDescent="0.3">
      <c r="A5" s="11">
        <f>20000+8000</f>
        <v>28000</v>
      </c>
      <c r="B5" s="12">
        <v>0.86611765623092651</v>
      </c>
      <c r="C5" s="8">
        <f>(SUMPRODUCT(H5:H$28,I5:I$28)/(1-B5))/A5</f>
        <v>1.8702135252913792</v>
      </c>
      <c r="D5" s="14">
        <f t="shared" ref="D5:D28" si="1">L5*D$2/L$2</f>
        <v>0.1</v>
      </c>
      <c r="E5" s="14"/>
      <c r="F5" s="8"/>
      <c r="G5" s="8"/>
      <c r="H5" s="17">
        <f>'1943raw'!H5+8250</f>
        <v>33063.20445476126</v>
      </c>
      <c r="I5" s="18">
        <f t="shared" ref="I5:I27" si="2">B6-B5</f>
        <v>6.5216302871704102E-2</v>
      </c>
      <c r="L5" s="14">
        <v>0.1</v>
      </c>
    </row>
    <row r="6" spans="1:12" x14ac:dyDescent="0.3">
      <c r="A6" s="11">
        <f>30000+8500</f>
        <v>38500</v>
      </c>
      <c r="B6" s="12">
        <v>0.93133395910263062</v>
      </c>
      <c r="C6" s="8">
        <f>(SUMPRODUCT(H6:H$28,I6:I$28)/(1-B6))/A6</f>
        <v>1.8363375042889776</v>
      </c>
      <c r="D6" s="14">
        <f t="shared" si="1"/>
        <v>0.1</v>
      </c>
      <c r="E6" s="14"/>
      <c r="F6" s="8"/>
      <c r="G6" s="8"/>
      <c r="H6" s="17">
        <f>'1943raw'!H6+8750</f>
        <v>43633.658978992862</v>
      </c>
      <c r="I6" s="18">
        <f t="shared" si="2"/>
        <v>2.8558552265167236E-2</v>
      </c>
      <c r="L6" s="14">
        <v>0.1</v>
      </c>
    </row>
    <row r="7" spans="1:12" x14ac:dyDescent="0.3">
      <c r="A7" s="11">
        <f>40000+9000</f>
        <v>49000</v>
      </c>
      <c r="B7" s="12">
        <v>0.95989251136779785</v>
      </c>
      <c r="C7" s="8">
        <f>(SUMPRODUCT(H7:H$28,I7:I$28)/(1-B7))/A7</f>
        <v>1.8361403218022814</v>
      </c>
      <c r="D7" s="14">
        <f t="shared" si="1"/>
        <v>0.1</v>
      </c>
      <c r="E7" s="14"/>
      <c r="H7" s="17">
        <f>'1943raw'!H7+9250</f>
        <v>54235.288632541611</v>
      </c>
      <c r="I7" s="18">
        <f t="shared" si="2"/>
        <v>1.4246523380279541E-2</v>
      </c>
      <c r="L7" s="14">
        <v>0.1</v>
      </c>
    </row>
    <row r="8" spans="1:12" x14ac:dyDescent="0.3">
      <c r="A8" s="11">
        <f>50000+9500</f>
        <v>59500</v>
      </c>
      <c r="B8" s="12">
        <v>0.97413903474807739</v>
      </c>
      <c r="C8" s="8">
        <f>(SUMPRODUCT(H8:H$28,I8:I$28)/(1-B8))/A8</f>
        <v>1.8429784961844877</v>
      </c>
      <c r="D8" s="14">
        <f t="shared" si="1"/>
        <v>0.1</v>
      </c>
      <c r="E8" s="14"/>
      <c r="H8" s="17">
        <f>'1943raw'!H8+10000</f>
        <v>65063.129742486235</v>
      </c>
      <c r="I8" s="18">
        <f t="shared" si="2"/>
        <v>7.7826380729675293E-3</v>
      </c>
      <c r="L8" s="14">
        <v>0.1</v>
      </c>
    </row>
    <row r="9" spans="1:12" x14ac:dyDescent="0.3">
      <c r="A9" s="11">
        <f>60000+10500</f>
        <v>70500</v>
      </c>
      <c r="B9" s="12">
        <v>0.98192167282104492</v>
      </c>
      <c r="C9" s="8">
        <f>(SUMPRODUCT(H9:H$28,I9:I$28)/(1-B9))/A9</f>
        <v>1.8277273032903287</v>
      </c>
      <c r="D9" s="14">
        <f t="shared" si="1"/>
        <v>0.1</v>
      </c>
      <c r="E9" s="14"/>
      <c r="H9" s="17">
        <f>'1943raw'!H9+11000</f>
        <v>76083.476158578676</v>
      </c>
      <c r="I9" s="18">
        <f t="shared" si="2"/>
        <v>4.612267017364502E-3</v>
      </c>
      <c r="L9" s="14">
        <v>0.1</v>
      </c>
    </row>
    <row r="10" spans="1:12" x14ac:dyDescent="0.3">
      <c r="A10" s="11">
        <f>70000+11500</f>
        <v>81500</v>
      </c>
      <c r="B10" s="12">
        <v>0.98653393983840942</v>
      </c>
      <c r="C10" s="8">
        <f>(SUMPRODUCT(H10:H$28,I10:I$28)/(1-B10))/A10</f>
        <v>1.8028159369990844</v>
      </c>
      <c r="D10" s="14">
        <f t="shared" si="1"/>
        <v>0.1</v>
      </c>
      <c r="E10" s="14"/>
      <c r="H10" s="17">
        <f>'1943raw'!H10+12000</f>
        <v>87209.186799536052</v>
      </c>
      <c r="I10" s="18">
        <f t="shared" si="2"/>
        <v>3.0356645584106445E-3</v>
      </c>
      <c r="L10" s="14">
        <v>0.1</v>
      </c>
    </row>
    <row r="11" spans="1:12" x14ac:dyDescent="0.3">
      <c r="A11" s="11">
        <f>80000+12500</f>
        <v>92500</v>
      </c>
      <c r="B11" s="12">
        <v>0.98956960439682007</v>
      </c>
      <c r="C11" s="8">
        <f>(SUMPRODUCT(H11:H$28,I11:I$28)/(1-B11))/A11</f>
        <v>1.7763298509375514</v>
      </c>
      <c r="D11" s="14">
        <f t="shared" si="1"/>
        <v>0.1</v>
      </c>
      <c r="E11" s="14"/>
      <c r="H11" s="17">
        <f>'1943raw'!H11+12750</f>
        <v>97945.150339765969</v>
      </c>
      <c r="I11" s="18">
        <f t="shared" si="2"/>
        <v>2.0677447319030762E-3</v>
      </c>
      <c r="L11" s="14">
        <v>0.1</v>
      </c>
    </row>
    <row r="12" spans="1:12" x14ac:dyDescent="0.3">
      <c r="A12" s="11">
        <f>90000+13000</f>
        <v>103000</v>
      </c>
      <c r="B12" s="12">
        <v>0.99163734912872314</v>
      </c>
      <c r="C12" s="8">
        <f>(SUMPRODUCT(H12:H$28,I12:I$28)/(1-B12))/A12</f>
        <v>1.7545628741520758</v>
      </c>
      <c r="D12" s="14">
        <f t="shared" si="1"/>
        <v>0.1</v>
      </c>
      <c r="E12" s="14"/>
      <c r="H12" s="17">
        <f>'1943raw'!H12+13250</f>
        <v>108519.20805995041</v>
      </c>
      <c r="I12" s="18">
        <f t="shared" si="2"/>
        <v>1.5484094619750977E-3</v>
      </c>
      <c r="L12" s="14">
        <v>0.1</v>
      </c>
    </row>
    <row r="13" spans="1:12" x14ac:dyDescent="0.3">
      <c r="A13" s="11">
        <f>100000+13500</f>
        <v>113500</v>
      </c>
      <c r="B13" s="12">
        <v>0.99318575859069824</v>
      </c>
      <c r="C13" s="8">
        <f>(SUMPRODUCT(H13:H$28,I13:I$28)/(1-B13))/A13</f>
        <v>1.7367952070570061</v>
      </c>
      <c r="D13" s="14">
        <f t="shared" si="1"/>
        <v>0.1</v>
      </c>
      <c r="E13" s="14"/>
      <c r="H13" s="17">
        <f>'1943raw'!H13+13750</f>
        <v>123359.51901030344</v>
      </c>
      <c r="I13" s="18">
        <f t="shared" si="2"/>
        <v>2.0946860313415527E-3</v>
      </c>
      <c r="L13" s="14">
        <v>0.1</v>
      </c>
    </row>
    <row r="14" spans="1:12" x14ac:dyDescent="0.3">
      <c r="A14" s="11">
        <f>120000+14000</f>
        <v>134000</v>
      </c>
      <c r="B14" s="12">
        <v>0.99528044462203979</v>
      </c>
      <c r="C14" s="8">
        <f>(SUMPRODUCT(H14:H$28,I14:I$28)/(1-B14))/A14</f>
        <v>1.7154196793475276</v>
      </c>
      <c r="D14" s="14">
        <f t="shared" si="1"/>
        <v>0.1</v>
      </c>
      <c r="E14" s="14"/>
      <c r="H14" s="17">
        <f>'1943raw'!H14+14500</f>
        <v>144236.86986289331</v>
      </c>
      <c r="I14" s="18">
        <f t="shared" si="2"/>
        <v>1.2780427932739258E-3</v>
      </c>
      <c r="L14" s="14">
        <v>0.1</v>
      </c>
    </row>
    <row r="15" spans="1:12" x14ac:dyDescent="0.3">
      <c r="A15" s="11">
        <f>140000+15000</f>
        <v>155000</v>
      </c>
      <c r="B15" s="12">
        <v>0.99655848741531372</v>
      </c>
      <c r="C15" s="8">
        <f>(SUMPRODUCT(H15:H$28,I15:I$28)/(1-B15))/A15</f>
        <v>1.6881653258211076</v>
      </c>
      <c r="D15" s="14">
        <f t="shared" si="1"/>
        <v>0.1</v>
      </c>
      <c r="E15" s="14"/>
      <c r="H15" s="17">
        <f>'1943raw'!H15+15500</f>
        <v>165351.16322534694</v>
      </c>
      <c r="I15" s="18">
        <f t="shared" si="2"/>
        <v>8.5097551345825195E-4</v>
      </c>
      <c r="L15" s="14">
        <v>0.1</v>
      </c>
    </row>
    <row r="16" spans="1:12" x14ac:dyDescent="0.3">
      <c r="A16" s="11">
        <f>160000+16000</f>
        <v>176000</v>
      </c>
      <c r="B16" s="12">
        <v>0.99740946292877197</v>
      </c>
      <c r="C16" s="8">
        <f>(SUMPRODUCT(H16:H$28,I16:I$28)/(1-B16))/A16</f>
        <v>1.666501901544529</v>
      </c>
      <c r="D16" s="14">
        <f t="shared" si="1"/>
        <v>0.1</v>
      </c>
      <c r="E16" s="14"/>
      <c r="H16" s="17">
        <f>'1943raw'!H16+16500</f>
        <v>186441.51170948124</v>
      </c>
      <c r="I16" s="18">
        <f t="shared" si="2"/>
        <v>5.9473514556884766E-4</v>
      </c>
      <c r="L16" s="14">
        <v>0.1</v>
      </c>
    </row>
    <row r="17" spans="1:12" x14ac:dyDescent="0.3">
      <c r="A17" s="11">
        <f>'1943raw'!A17+17000</f>
        <v>197000</v>
      </c>
      <c r="B17" s="12">
        <v>0.99800419807434082</v>
      </c>
      <c r="C17" s="8">
        <f>(SUMPRODUCT(H17:H$28,I17:I$28)/(1-B17))/A17</f>
        <v>1.6505010938886457</v>
      </c>
      <c r="D17" s="14">
        <f t="shared" si="1"/>
        <v>0.1</v>
      </c>
      <c r="E17" s="14"/>
      <c r="H17" s="17">
        <f>'1943raw'!H17+17000</f>
        <v>206898.63394200802</v>
      </c>
      <c r="I17" s="18">
        <f t="shared" si="2"/>
        <v>4.1961669921875E-4</v>
      </c>
      <c r="L17" s="14">
        <v>0.1</v>
      </c>
    </row>
    <row r="18" spans="1:12" x14ac:dyDescent="0.3">
      <c r="A18" s="11">
        <f>'1943raw'!A18+17000</f>
        <v>217000</v>
      </c>
      <c r="B18" s="12">
        <v>0.99842381477355957</v>
      </c>
      <c r="C18" s="8">
        <f>(SUMPRODUCT(H18:H$28,I18:I$28)/(1-B18))/A18</f>
        <v>1.6434543890887141</v>
      </c>
      <c r="D18" s="14">
        <f t="shared" si="1"/>
        <v>0.1</v>
      </c>
      <c r="E18" s="14"/>
      <c r="H18" s="17">
        <f>'1943raw'!H18+17000</f>
        <v>229302.96627781566</v>
      </c>
      <c r="I18" s="18">
        <f t="shared" si="2"/>
        <v>3.7246942520141602E-4</v>
      </c>
      <c r="L18" s="14">
        <v>0.1</v>
      </c>
    </row>
    <row r="19" spans="1:12" x14ac:dyDescent="0.3">
      <c r="A19" s="11">
        <f>'1943raw'!A19+17000</f>
        <v>242000</v>
      </c>
      <c r="B19" s="12">
        <v>0.99879628419876099</v>
      </c>
      <c r="C19" s="8">
        <f>(SUMPRODUCT(H19:H$28,I19:I$28)/(1-B19))/A19</f>
        <v>1.6364821033044294</v>
      </c>
      <c r="D19" s="14">
        <f t="shared" si="1"/>
        <v>0.1</v>
      </c>
      <c r="E19" s="14"/>
      <c r="H19" s="17">
        <f>'1943raw'!H19+17000</f>
        <v>254425.58436242369</v>
      </c>
      <c r="I19" s="18">
        <f t="shared" si="2"/>
        <v>2.7132034301757813E-4</v>
      </c>
      <c r="L19" s="14">
        <v>0.1</v>
      </c>
    </row>
    <row r="20" spans="1:12" x14ac:dyDescent="0.3">
      <c r="A20" s="11">
        <f>'1943raw'!A20+17000</f>
        <v>267000</v>
      </c>
      <c r="B20" s="12">
        <v>0.99906760454177856</v>
      </c>
      <c r="C20" s="8">
        <f>(SUMPRODUCT(H20:H$28,I20:I$28)/(1-B20))/A20</f>
        <v>1.6375810626740759</v>
      </c>
      <c r="D20" s="14">
        <f t="shared" si="1"/>
        <v>0.1</v>
      </c>
      <c r="E20" s="14"/>
      <c r="H20" s="17">
        <f>'1943raw'!H20+17000</f>
        <v>279304.15258026123</v>
      </c>
      <c r="I20" s="18">
        <f t="shared" si="2"/>
        <v>1.862645149230957E-4</v>
      </c>
      <c r="L20" s="14">
        <v>0.1</v>
      </c>
    </row>
    <row r="21" spans="1:12" x14ac:dyDescent="0.3">
      <c r="A21" s="11">
        <f>'1943raw'!A21+17000</f>
        <v>292000</v>
      </c>
      <c r="B21" s="12">
        <v>0.99925386905670166</v>
      </c>
      <c r="C21" s="8">
        <f>(SUMPRODUCT(H21:H$28,I21:I$28)/(1-B21))/A21</f>
        <v>1.6323968098588186</v>
      </c>
      <c r="D21" s="14">
        <f t="shared" si="1"/>
        <v>0.1</v>
      </c>
      <c r="E21" s="14"/>
      <c r="H21" s="17">
        <f>'1943raw'!H21+17000</f>
        <v>304272.80246511311</v>
      </c>
      <c r="I21" s="18">
        <f t="shared" si="2"/>
        <v>1.5425682067871094E-4</v>
      </c>
      <c r="L21" s="14">
        <v>0.1</v>
      </c>
    </row>
    <row r="22" spans="1:12" x14ac:dyDescent="0.3">
      <c r="A22" s="11">
        <f>'1943raw'!A22+17000</f>
        <v>317000</v>
      </c>
      <c r="B22" s="12">
        <v>0.99940812587738037</v>
      </c>
      <c r="C22" s="8">
        <f>(SUMPRODUCT(H22:H$28,I22:I$28)/(1-B22))/A22</f>
        <v>1.6453884512844146</v>
      </c>
      <c r="D22" s="14">
        <f t="shared" si="1"/>
        <v>0.1</v>
      </c>
      <c r="E22" s="14"/>
      <c r="H22" s="17">
        <f>'1943raw'!H22+17000</f>
        <v>328727.05082171556</v>
      </c>
      <c r="I22" s="18">
        <f t="shared" si="2"/>
        <v>1.1044740676879883E-4</v>
      </c>
      <c r="L22" s="14">
        <v>0.1</v>
      </c>
    </row>
    <row r="23" spans="1:12" x14ac:dyDescent="0.3">
      <c r="A23" s="11">
        <f>'1943raw'!A23+17000</f>
        <v>342000</v>
      </c>
      <c r="B23" s="12">
        <v>0.99951857328414917</v>
      </c>
      <c r="C23" s="8">
        <f>(SUMPRODUCT(H23:H$28,I23:I$28)/(1-B23))/A23</f>
        <v>1.6544845756034405</v>
      </c>
      <c r="D23" s="14">
        <f t="shared" si="1"/>
        <v>0.1</v>
      </c>
      <c r="E23" s="14"/>
      <c r="H23" s="17">
        <f>'1943raw'!H23+17000</f>
        <v>354217.1966248001</v>
      </c>
      <c r="I23" s="18">
        <f t="shared" si="2"/>
        <v>8.1002712249755859E-5</v>
      </c>
      <c r="L23" s="14">
        <v>0.1</v>
      </c>
    </row>
    <row r="24" spans="1:12" x14ac:dyDescent="0.3">
      <c r="A24" s="11">
        <f>'1943raw'!A24+17000</f>
        <v>367000</v>
      </c>
      <c r="B24" s="12">
        <v>0.99959957599639893</v>
      </c>
      <c r="C24" s="8">
        <f>(SUMPRODUCT(H24:H$28,I24:I$28)/(1-B24))/A24</f>
        <v>1.6584254207663056</v>
      </c>
      <c r="D24" s="14">
        <f t="shared" si="1"/>
        <v>0.1</v>
      </c>
      <c r="E24" s="14"/>
      <c r="H24" s="17">
        <f>'1943raw'!H24+17000</f>
        <v>379172.44643871096</v>
      </c>
      <c r="I24" s="18">
        <f t="shared" si="2"/>
        <v>6.5267086029052734E-5</v>
      </c>
      <c r="L24" s="14">
        <v>0.1</v>
      </c>
    </row>
    <row r="25" spans="1:12" x14ac:dyDescent="0.3">
      <c r="A25" s="11">
        <f>'1943raw'!A25+17000</f>
        <v>392000</v>
      </c>
      <c r="B25" s="12">
        <v>0.99966484308242798</v>
      </c>
      <c r="C25" s="8">
        <f>(SUMPRODUCT(H25:H$28,I25:I$28)/(1-B25))/A25</f>
        <v>1.6666533572941411</v>
      </c>
      <c r="D25" s="14">
        <f t="shared" si="1"/>
        <v>0.1</v>
      </c>
      <c r="E25" s="14"/>
      <c r="H25" s="17">
        <f>'1943raw'!H25+17000</f>
        <v>404404.89290790429</v>
      </c>
      <c r="I25" s="18">
        <f t="shared" si="2"/>
        <v>5.2988529205322266E-5</v>
      </c>
      <c r="L25" s="14">
        <v>0.1</v>
      </c>
    </row>
    <row r="26" spans="1:12" x14ac:dyDescent="0.3">
      <c r="A26" s="11">
        <f>'1943raw'!A26+17000</f>
        <v>417000</v>
      </c>
      <c r="B26" s="12">
        <v>0.9997178316116333</v>
      </c>
      <c r="C26" s="8">
        <f>(SUMPRODUCT(H26:H$28,I26:I$28)/(1-B26))/A26</f>
        <v>1.6788333828786579</v>
      </c>
      <c r="D26" s="14">
        <f t="shared" si="1"/>
        <v>0.1</v>
      </c>
      <c r="E26" s="14"/>
      <c r="H26" s="17">
        <f>'1943raw'!H26+17000</f>
        <v>469383.46233608096</v>
      </c>
      <c r="I26" s="18">
        <f t="shared" si="2"/>
        <v>1.3726949691772461E-4</v>
      </c>
      <c r="L26" s="14">
        <v>0.1</v>
      </c>
    </row>
    <row r="27" spans="1:12" x14ac:dyDescent="0.3">
      <c r="A27" s="11">
        <f>'1943raw'!A27+17000</f>
        <v>537000</v>
      </c>
      <c r="B27" s="12">
        <v>0.99985510110855103</v>
      </c>
      <c r="C27" s="8">
        <f>(SUMPRODUCT(H27:H$28,I27:I$28)/(1-B27))/A27</f>
        <v>1.7106461871269696</v>
      </c>
      <c r="D27" s="14">
        <f t="shared" si="1"/>
        <v>0.1</v>
      </c>
      <c r="E27" s="14"/>
      <c r="H27" s="17">
        <f>'1943raw'!H27+17000</f>
        <v>693942.36960703018</v>
      </c>
      <c r="I27" s="18">
        <f t="shared" si="2"/>
        <v>1.1682510375976563E-4</v>
      </c>
      <c r="L27" s="14">
        <v>0.1</v>
      </c>
    </row>
    <row r="28" spans="1:12" x14ac:dyDescent="0.3">
      <c r="A28" s="11">
        <f>'1943raw'!A28+17000</f>
        <v>1037000</v>
      </c>
      <c r="B28" s="12">
        <v>0.99997192621231079</v>
      </c>
      <c r="C28" s="8">
        <f>(SUMPRODUCT(H28:H$28,I28:I$28)/(1-B28))/A28</f>
        <v>1.7874337180716093</v>
      </c>
      <c r="D28" s="14">
        <f t="shared" si="1"/>
        <v>0.1</v>
      </c>
      <c r="E28" s="14"/>
      <c r="H28" s="17">
        <f>'1943raw'!H28+17000</f>
        <v>1853568.7656402588</v>
      </c>
      <c r="I28" s="18">
        <f>1-B28</f>
        <v>2.8073787689208984E-5</v>
      </c>
      <c r="L28" s="14">
        <v>0.1</v>
      </c>
    </row>
    <row r="29" spans="1:12" x14ac:dyDescent="0.3">
      <c r="A29" s="13"/>
      <c r="B29" s="13"/>
      <c r="C29" s="13"/>
      <c r="D29" s="13"/>
      <c r="E29" s="13"/>
      <c r="H29" s="13"/>
      <c r="L29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1944</v>
      </c>
      <c r="C1" s="8" t="s">
        <v>24</v>
      </c>
      <c r="D1" s="10">
        <f>1000*[1]TD1!$C$51</f>
        <v>15088562.585508101</v>
      </c>
      <c r="E1" s="8" t="s">
        <v>30</v>
      </c>
      <c r="F1" s="21">
        <f>(SUMPRODUCT(D4:D27,H4:H27,I4:I27)/(D2*B2))/((1-SUMPRODUCT(D4:D27,H4:H27,I4:I27)/B2)/(1-D2))</f>
        <v>0.83238407238977541</v>
      </c>
      <c r="G1" s="19"/>
      <c r="H1" s="16"/>
    </row>
    <row r="2" spans="1:12" x14ac:dyDescent="0.3">
      <c r="A2" s="8" t="s">
        <v>12</v>
      </c>
      <c r="B2" s="11">
        <f>[1]TD2!$M$51</f>
        <v>24123.090021425607</v>
      </c>
      <c r="C2" s="8" t="s">
        <v>15</v>
      </c>
      <c r="D2" s="14">
        <f>[1]TD1!$F$51</f>
        <v>0.27050782375518878</v>
      </c>
      <c r="E2" s="18" t="s">
        <v>26</v>
      </c>
      <c r="I2" s="8"/>
      <c r="L2" s="14">
        <f>D2</f>
        <v>0.27050782375518878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(D2-SUMPRODUCT(D5:D27,I5:I27))/I4</f>
        <v>0.29000952415569381</v>
      </c>
      <c r="E4" s="14"/>
      <c r="F4" s="8"/>
      <c r="G4" s="8"/>
      <c r="H4" s="17">
        <f>((1-B4)*B2-(1-B5)*C5*A5)/(B5-B4)</f>
        <v>19221.281982592474</v>
      </c>
      <c r="I4" s="18">
        <f t="shared" ref="I4" si="0">B5-B4</f>
        <v>0.89736461639404297</v>
      </c>
      <c r="L4" s="14"/>
    </row>
    <row r="5" spans="1:12" x14ac:dyDescent="0.3">
      <c r="A5" s="11">
        <f>30000+8500</f>
        <v>38500</v>
      </c>
      <c r="B5" s="12">
        <v>0.89736461639404297</v>
      </c>
      <c r="C5" s="8">
        <f>(SUMPRODUCT(H5:H$27,I5:I$27)/(1-B5))/A5</f>
        <v>1.7397589096938126</v>
      </c>
      <c r="D5" s="14">
        <f t="shared" ref="D5:D27" si="1">L5*D$2/L$2</f>
        <v>0.1</v>
      </c>
      <c r="E5" s="14"/>
      <c r="F5" s="8"/>
      <c r="G5" s="8"/>
      <c r="H5" s="17">
        <f>'1944raw'!H5+8750</f>
        <v>43701.74503681127</v>
      </c>
      <c r="I5" s="18">
        <f t="shared" ref="I5:I10" si="2">B6-B5</f>
        <v>4.2242646217346191E-2</v>
      </c>
      <c r="L5" s="14">
        <v>0.1</v>
      </c>
    </row>
    <row r="6" spans="1:12" x14ac:dyDescent="0.3">
      <c r="A6" s="11">
        <f>40000+9000</f>
        <v>49000</v>
      </c>
      <c r="B6" s="12">
        <v>0.93960726261138916</v>
      </c>
      <c r="C6" s="8">
        <f>(SUMPRODUCT(H6:H$27,I6:I$27)/(1-B6))/A6</f>
        <v>1.6992563335335011</v>
      </c>
      <c r="D6" s="14">
        <f t="shared" si="1"/>
        <v>0.1</v>
      </c>
      <c r="E6" s="14"/>
      <c r="H6" s="17">
        <f>'1944raw'!H6+9250</f>
        <v>54251.331997164561</v>
      </c>
      <c r="I6" s="18">
        <f t="shared" si="2"/>
        <v>2.196955680847168E-2</v>
      </c>
      <c r="L6" s="14">
        <v>0.1</v>
      </c>
    </row>
    <row r="7" spans="1:12" x14ac:dyDescent="0.3">
      <c r="A7" s="11">
        <f>50000+9500</f>
        <v>59500</v>
      </c>
      <c r="B7" s="12">
        <v>0.96157681941986084</v>
      </c>
      <c r="C7" s="8">
        <f>(SUMPRODUCT(H7:H$27,I7:I$27)/(1-B7))/A7</f>
        <v>1.6781871424983359</v>
      </c>
      <c r="D7" s="14">
        <f t="shared" si="1"/>
        <v>0.1</v>
      </c>
      <c r="E7" s="14"/>
      <c r="H7" s="17">
        <f>'1944raw'!H7+10000</f>
        <v>65066.087058295976</v>
      </c>
      <c r="I7" s="18">
        <f t="shared" si="2"/>
        <v>1.2650370597839355E-2</v>
      </c>
      <c r="L7" s="14">
        <v>0.1</v>
      </c>
    </row>
    <row r="8" spans="1:12" x14ac:dyDescent="0.3">
      <c r="A8" s="11">
        <f>60000+10500</f>
        <v>70500</v>
      </c>
      <c r="B8" s="12">
        <v>0.9742271900177002</v>
      </c>
      <c r="C8" s="8">
        <f>(SUMPRODUCT(H8:H$27,I8:I$27)/(1-B8))/A8</f>
        <v>1.6585330335408024</v>
      </c>
      <c r="D8" s="14">
        <f t="shared" si="1"/>
        <v>0.1</v>
      </c>
      <c r="E8" s="14"/>
      <c r="H8" s="17">
        <f>'1944raw'!H8+11000</f>
        <v>76081.931880465447</v>
      </c>
      <c r="I8" s="18">
        <f t="shared" si="2"/>
        <v>7.6986551284790039E-3</v>
      </c>
      <c r="L8" s="14">
        <v>0.1</v>
      </c>
    </row>
    <row r="9" spans="1:12" x14ac:dyDescent="0.3">
      <c r="A9" s="11">
        <f>70000+11500</f>
        <v>81500</v>
      </c>
      <c r="B9" s="12">
        <v>0.9819258451461792</v>
      </c>
      <c r="C9" s="8">
        <f>(SUMPRODUCT(H9:H$27,I9:I$27)/(1-B9))/A9</f>
        <v>1.6481507471827683</v>
      </c>
      <c r="D9" s="14">
        <f t="shared" si="1"/>
        <v>0.1</v>
      </c>
      <c r="E9" s="14"/>
      <c r="H9" s="17">
        <f>'1944raw'!H9+12000</f>
        <v>87154.318596081444</v>
      </c>
      <c r="I9" s="18">
        <f t="shared" si="2"/>
        <v>4.826664924621582E-3</v>
      </c>
      <c r="L9" s="14">
        <v>0.1</v>
      </c>
    </row>
    <row r="10" spans="1:12" x14ac:dyDescent="0.3">
      <c r="A10" s="11">
        <f>80000+12500</f>
        <v>92500</v>
      </c>
      <c r="B10" s="12">
        <v>0.98675251007080078</v>
      </c>
      <c r="C10" s="8">
        <f>(SUMPRODUCT(H10:H$27,I10:I$27)/(1-B10))/A10</f>
        <v>1.6379508848783537</v>
      </c>
      <c r="D10" s="14">
        <f t="shared" si="1"/>
        <v>0.1</v>
      </c>
      <c r="E10" s="14"/>
      <c r="H10" s="17">
        <f>'1944raw'!H10+12750</f>
        <v>97892.195456343587</v>
      </c>
      <c r="I10" s="18">
        <f t="shared" si="2"/>
        <v>3.1510591506958008E-3</v>
      </c>
      <c r="L10" s="14">
        <v>0.1</v>
      </c>
    </row>
    <row r="11" spans="1:12" x14ac:dyDescent="0.3">
      <c r="A11" s="11">
        <f>90000+13000</f>
        <v>103000</v>
      </c>
      <c r="B11" s="12">
        <v>0.98990356922149658</v>
      </c>
      <c r="C11" s="8">
        <f>(SUMPRODUCT(H11:H$27,I11:I$27)/(1-B11))/A11</f>
        <v>1.6334419446211532</v>
      </c>
      <c r="D11" s="14">
        <f t="shared" si="1"/>
        <v>0.1</v>
      </c>
      <c r="E11" s="14"/>
      <c r="H11" s="17">
        <f>'1944raw'!H11+13250</f>
        <v>108469.29460840295</v>
      </c>
      <c r="I11" s="18">
        <f t="shared" ref="I11:I26" si="3">B12-B11</f>
        <v>2.1633505821228027E-3</v>
      </c>
      <c r="L11" s="14">
        <v>0.1</v>
      </c>
    </row>
    <row r="12" spans="1:12" x14ac:dyDescent="0.3">
      <c r="A12" s="11">
        <f>100000+13500</f>
        <v>113500</v>
      </c>
      <c r="B12" s="12">
        <v>0.99206691980361938</v>
      </c>
      <c r="C12" s="8">
        <f>(SUMPRODUCT(H12:H$27,I12:I$27)/(1-B12))/A12</f>
        <v>1.6259490874160381</v>
      </c>
      <c r="D12" s="14">
        <f t="shared" si="1"/>
        <v>0.1</v>
      </c>
      <c r="E12" s="14"/>
      <c r="H12" s="17">
        <f>'1944raw'!H12+13750</f>
        <v>123286.58300483537</v>
      </c>
      <c r="I12" s="18">
        <f t="shared" si="3"/>
        <v>2.6875734329223633E-3</v>
      </c>
      <c r="L12" s="14">
        <v>0.1</v>
      </c>
    </row>
    <row r="13" spans="1:12" x14ac:dyDescent="0.3">
      <c r="A13" s="11">
        <f>120000+14000</f>
        <v>134000</v>
      </c>
      <c r="B13" s="12">
        <v>0.99475449323654175</v>
      </c>
      <c r="C13" s="8">
        <f>(SUMPRODUCT(H13:H$27,I13:I$27)/(1-B13))/A13</f>
        <v>1.611429321556173</v>
      </c>
      <c r="D13" s="14">
        <f t="shared" si="1"/>
        <v>0.1</v>
      </c>
      <c r="E13" s="14"/>
      <c r="H13" s="17">
        <f>'1944raw'!H13+14500</f>
        <v>144256.523681194</v>
      </c>
      <c r="I13" s="18">
        <f t="shared" si="3"/>
        <v>1.5751123428344727E-3</v>
      </c>
      <c r="L13" s="14">
        <v>0.1</v>
      </c>
    </row>
    <row r="14" spans="1:12" x14ac:dyDescent="0.3">
      <c r="A14" s="11">
        <f>140000+15000</f>
        <v>155000</v>
      </c>
      <c r="B14" s="12">
        <v>0.99632960557937622</v>
      </c>
      <c r="C14" s="8">
        <f>(SUMPRODUCT(H14:H$27,I14:I$27)/(1-B14))/A14</f>
        <v>1.5915492056243099</v>
      </c>
      <c r="D14" s="14">
        <f t="shared" si="1"/>
        <v>0.1</v>
      </c>
      <c r="E14" s="14"/>
      <c r="H14" s="17">
        <f>'1944raw'!H14+15500</f>
        <v>164921.58347163297</v>
      </c>
      <c r="I14" s="18">
        <f t="shared" si="3"/>
        <v>9.9503993988037109E-4</v>
      </c>
      <c r="L14" s="14">
        <v>0.1</v>
      </c>
    </row>
    <row r="15" spans="1:12" x14ac:dyDescent="0.3">
      <c r="A15" s="11">
        <f>160000+16000</f>
        <v>176000</v>
      </c>
      <c r="B15" s="12">
        <v>0.99732464551925659</v>
      </c>
      <c r="C15" s="8">
        <f>(SUMPRODUCT(H15:H$27,I15:I$27)/(1-B15))/A15</f>
        <v>1.574444085410337</v>
      </c>
      <c r="D15" s="14">
        <f t="shared" si="1"/>
        <v>0.1</v>
      </c>
      <c r="E15" s="14"/>
      <c r="H15" s="17">
        <f>'1944raw'!H15+16500</f>
        <v>186202.76866960275</v>
      </c>
      <c r="I15" s="18">
        <f t="shared" si="3"/>
        <v>6.663203239440918E-4</v>
      </c>
      <c r="L15" s="14">
        <v>0.1</v>
      </c>
    </row>
    <row r="16" spans="1:12" x14ac:dyDescent="0.3">
      <c r="A16" s="11">
        <f>'1944raw'!A16+17000</f>
        <v>197000</v>
      </c>
      <c r="B16" s="12">
        <v>0.99799096584320068</v>
      </c>
      <c r="C16" s="8">
        <f>(SUMPRODUCT(H16:H$27,I16:I$27)/(1-B16))/A16</f>
        <v>1.5596448443262709</v>
      </c>
      <c r="D16" s="14">
        <f t="shared" si="1"/>
        <v>0.1</v>
      </c>
      <c r="E16" s="14"/>
      <c r="H16" s="17">
        <f>'1944raw'!H16+17000</f>
        <v>206894.09285390232</v>
      </c>
      <c r="I16" s="18">
        <f t="shared" si="3"/>
        <v>4.5770406723022461E-4</v>
      </c>
      <c r="L16" s="14">
        <v>0.1</v>
      </c>
    </row>
    <row r="17" spans="1:12" x14ac:dyDescent="0.3">
      <c r="A17" s="11">
        <f>'1944raw'!A17+17000</f>
        <v>217000</v>
      </c>
      <c r="B17" s="12">
        <v>0.99844866991043091</v>
      </c>
      <c r="C17" s="8">
        <f>(SUMPRODUCT(H17:H$27,I17:I$27)/(1-B17))/A17</f>
        <v>1.5523457505186582</v>
      </c>
      <c r="D17" s="14">
        <f t="shared" si="1"/>
        <v>0.1</v>
      </c>
      <c r="E17" s="14"/>
      <c r="H17" s="17">
        <f>'1944raw'!H17+17000</f>
        <v>229240.36104063541</v>
      </c>
      <c r="I17" s="18">
        <f t="shared" si="3"/>
        <v>3.9130449295043945E-4</v>
      </c>
      <c r="L17" s="14">
        <v>0.1</v>
      </c>
    </row>
    <row r="18" spans="1:12" x14ac:dyDescent="0.3">
      <c r="A18" s="11">
        <f>'1944raw'!A18+17000</f>
        <v>242000</v>
      </c>
      <c r="B18" s="12">
        <v>0.99883997440338135</v>
      </c>
      <c r="C18" s="8">
        <f>(SUMPRODUCT(H18:H$27,I18:I$27)/(1-B18))/A18</f>
        <v>1.541989209730763</v>
      </c>
      <c r="D18" s="14">
        <f t="shared" si="1"/>
        <v>0.1</v>
      </c>
      <c r="E18" s="14"/>
      <c r="H18" s="17">
        <f>'1944raw'!H18+17000</f>
        <v>254192.14984268392</v>
      </c>
      <c r="I18" s="18">
        <f t="shared" si="3"/>
        <v>2.7757883071899414E-4</v>
      </c>
      <c r="L18" s="14">
        <v>0.1</v>
      </c>
    </row>
    <row r="19" spans="1:12" x14ac:dyDescent="0.3">
      <c r="A19" s="11">
        <f>'1944raw'!A19+17000</f>
        <v>267000</v>
      </c>
      <c r="B19" s="12">
        <v>0.99911755323410034</v>
      </c>
      <c r="C19" s="8">
        <f>(SUMPRODUCT(H19:H$27,I19:I$27)/(1-B19))/A19</f>
        <v>1.5377672808000658</v>
      </c>
      <c r="D19" s="14">
        <f t="shared" si="1"/>
        <v>0.1</v>
      </c>
      <c r="E19" s="14"/>
      <c r="H19" s="17">
        <f>'1944raw'!H19+17000</f>
        <v>279280.84380345017</v>
      </c>
      <c r="I19" s="18">
        <f t="shared" si="3"/>
        <v>1.9979476928710938E-4</v>
      </c>
      <c r="L19" s="14">
        <v>0.1</v>
      </c>
    </row>
    <row r="20" spans="1:12" x14ac:dyDescent="0.3">
      <c r="A20" s="11">
        <f>'1944raw'!A20+17000</f>
        <v>292000</v>
      </c>
      <c r="B20" s="12">
        <v>0.99931734800338745</v>
      </c>
      <c r="C20" s="8">
        <f>(SUMPRODUCT(H20:H$27,I20:I$27)/(1-B20))/A20</f>
        <v>1.5377154031844988</v>
      </c>
      <c r="D20" s="14">
        <f t="shared" si="1"/>
        <v>0.1</v>
      </c>
      <c r="E20" s="14"/>
      <c r="H20" s="17">
        <f>'1944raw'!H20+17000</f>
        <v>304391.60450380674</v>
      </c>
      <c r="I20" s="18">
        <f t="shared" si="3"/>
        <v>1.4603137969970703E-4</v>
      </c>
      <c r="L20" s="14">
        <v>0.1</v>
      </c>
    </row>
    <row r="21" spans="1:12" x14ac:dyDescent="0.3">
      <c r="A21" s="11">
        <f>'1944raw'!A21+17000</f>
        <v>317000</v>
      </c>
      <c r="B21" s="12">
        <v>0.99946337938308716</v>
      </c>
      <c r="C21" s="8">
        <f>(SUMPRODUCT(H21:H$27,I21:I$27)/(1-B21))/A21</f>
        <v>1.5405959270730003</v>
      </c>
      <c r="D21" s="14">
        <f t="shared" si="1"/>
        <v>0.1</v>
      </c>
      <c r="E21" s="14"/>
      <c r="H21" s="17">
        <f>'1944raw'!H21+17000</f>
        <v>329489.52029885841</v>
      </c>
      <c r="I21" s="18">
        <f t="shared" si="3"/>
        <v>1.023411750793457E-4</v>
      </c>
      <c r="L21" s="14">
        <v>0.1</v>
      </c>
    </row>
    <row r="22" spans="1:12" x14ac:dyDescent="0.3">
      <c r="A22" s="11">
        <f>'1944raw'!A22+17000</f>
        <v>342000</v>
      </c>
      <c r="B22" s="12">
        <v>0.9995657205581665</v>
      </c>
      <c r="C22" s="8">
        <f>(SUMPRODUCT(H22:H$27,I22:I$27)/(1-B22))/A22</f>
        <v>1.5374561886341251</v>
      </c>
      <c r="D22" s="14">
        <f t="shared" si="1"/>
        <v>0.1</v>
      </c>
      <c r="E22" s="14"/>
      <c r="H22" s="17">
        <f>'1944raw'!H22+17000</f>
        <v>354366.66103862546</v>
      </c>
      <c r="I22" s="18">
        <f t="shared" si="3"/>
        <v>8.2731246948242188E-5</v>
      </c>
      <c r="L22" s="14">
        <v>0.1</v>
      </c>
    </row>
    <row r="23" spans="1:12" x14ac:dyDescent="0.3">
      <c r="A23" s="11">
        <f>'1944raw'!A23+17000</f>
        <v>367000</v>
      </c>
      <c r="B23" s="12">
        <v>0.99964845180511475</v>
      </c>
      <c r="C23" s="8">
        <f>(SUMPRODUCT(H23:H$27,I23:I$27)/(1-B23))/A23</f>
        <v>1.5426606787647799</v>
      </c>
      <c r="D23" s="14">
        <f t="shared" si="1"/>
        <v>0.1</v>
      </c>
      <c r="E23" s="14"/>
      <c r="H23" s="17">
        <f>'1944raw'!H23+17000</f>
        <v>379379.95659196097</v>
      </c>
      <c r="I23" s="18">
        <f t="shared" si="3"/>
        <v>6.1511993408203125E-5</v>
      </c>
      <c r="L23" s="14">
        <v>0.1</v>
      </c>
    </row>
    <row r="24" spans="1:12" x14ac:dyDescent="0.3">
      <c r="A24" s="11">
        <f>'1944raw'!A24+17000</f>
        <v>392000</v>
      </c>
      <c r="B24" s="12">
        <v>0.99970996379852295</v>
      </c>
      <c r="C24" s="8">
        <f>(SUMPRODUCT(H24:H$27,I24:I$27)/(1-B24))/A24</f>
        <v>1.5453284449723301</v>
      </c>
      <c r="D24" s="14">
        <f t="shared" si="1"/>
        <v>0.1</v>
      </c>
      <c r="E24" s="14"/>
      <c r="H24" s="17">
        <f>'1944raw'!H24+17000</f>
        <v>404406.47567963775</v>
      </c>
      <c r="I24" s="18">
        <f t="shared" si="3"/>
        <v>4.9233436584472656E-5</v>
      </c>
      <c r="L24" s="14">
        <v>0.1</v>
      </c>
    </row>
    <row r="25" spans="1:12" x14ac:dyDescent="0.3">
      <c r="A25" s="11">
        <f>'1944raw'!A25+17000</f>
        <v>417000</v>
      </c>
      <c r="B25" s="12">
        <v>0.99975919723510742</v>
      </c>
      <c r="C25" s="8">
        <f>(SUMPRODUCT(H25:H$27,I25:I$27)/(1-B25))/A25</f>
        <v>1.5514109449135027</v>
      </c>
      <c r="D25" s="14">
        <f t="shared" si="1"/>
        <v>0.1</v>
      </c>
      <c r="E25" s="14"/>
      <c r="H25" s="17">
        <f>'1944raw'!H25+17000</f>
        <v>467508.62381246279</v>
      </c>
      <c r="I25" s="18">
        <f t="shared" si="3"/>
        <v>1.2534856796264648E-4</v>
      </c>
      <c r="L25" s="14">
        <v>0.1</v>
      </c>
    </row>
    <row r="26" spans="1:12" x14ac:dyDescent="0.3">
      <c r="A26" s="11">
        <f>'1944raw'!A26+17000</f>
        <v>537000</v>
      </c>
      <c r="B26" s="12">
        <v>0.99988454580307007</v>
      </c>
      <c r="C26" s="8">
        <f>(SUMPRODUCT(H26:H$27,I26:I$27)/(1-B26))/A26</f>
        <v>1.5674956231143888</v>
      </c>
      <c r="D26" s="14">
        <f t="shared" si="1"/>
        <v>0.1</v>
      </c>
      <c r="E26" s="14"/>
      <c r="H26" s="17">
        <f>'1944raw'!H26+17000</f>
        <v>689505.72071921441</v>
      </c>
      <c r="I26" s="18">
        <f t="shared" si="3"/>
        <v>9.6082687377929688E-5</v>
      </c>
      <c r="L26" s="14">
        <v>0.1</v>
      </c>
    </row>
    <row r="27" spans="1:12" x14ac:dyDescent="0.3">
      <c r="A27" s="11">
        <f>'1944raw'!A27+17000</f>
        <v>1037000</v>
      </c>
      <c r="B27" s="12">
        <v>0.999980628490448</v>
      </c>
      <c r="C27" s="8">
        <f>(SUMPRODUCT(H27:H$27,I27:I$27)/(1-B27))/A27</f>
        <v>1.5398772583633173</v>
      </c>
      <c r="D27" s="14">
        <f t="shared" si="1"/>
        <v>0.1</v>
      </c>
      <c r="E27" s="14"/>
      <c r="H27" s="17">
        <f>'1944raw'!H27+17000</f>
        <v>1596852.71692276</v>
      </c>
      <c r="I27" s="18">
        <f>1-B27</f>
        <v>1.9371509552001953E-5</v>
      </c>
      <c r="L27" s="14">
        <v>0.1</v>
      </c>
    </row>
    <row r="28" spans="1:12" x14ac:dyDescent="0.3">
      <c r="A28" s="13"/>
      <c r="B28" s="13"/>
      <c r="C28" s="13"/>
      <c r="D28" s="13"/>
      <c r="E28" s="13"/>
      <c r="H28" s="13"/>
      <c r="L28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B2" sqref="B2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1945</v>
      </c>
      <c r="C1" s="8" t="s">
        <v>24</v>
      </c>
      <c r="D1" s="10">
        <f>1000*[1]TD1!$C$52</f>
        <v>15138382.140876664</v>
      </c>
      <c r="E1" s="8" t="s">
        <v>30</v>
      </c>
      <c r="F1" s="21">
        <f>(SUMPRODUCT(D4:D13,H4:H13,I4:I13)/(D2*B2))/((1-SUMPRODUCT(D4:D13,H4:H13,I4:I13)/B2)/(1-D2))</f>
        <v>0.74318136685823033</v>
      </c>
      <c r="G1" s="19"/>
      <c r="H1" s="16"/>
    </row>
    <row r="2" spans="1:12" x14ac:dyDescent="0.3">
      <c r="A2" s="8" t="s">
        <v>12</v>
      </c>
      <c r="B2" s="11">
        <f>[1]TD2!$M$52</f>
        <v>43982.700044470155</v>
      </c>
      <c r="C2" s="8" t="s">
        <v>15</v>
      </c>
      <c r="D2" s="14">
        <f>[1]TD1!$F$52</f>
        <v>0.26824870693450031</v>
      </c>
      <c r="E2" s="18" t="s">
        <v>26</v>
      </c>
      <c r="I2" s="8"/>
      <c r="L2" s="14">
        <f>D2</f>
        <v>0.26824870693450031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0.30870441788462882</v>
      </c>
      <c r="E4" s="14"/>
      <c r="F4" s="8"/>
      <c r="G4" s="8"/>
      <c r="H4" s="17">
        <f>((1-B4)*B2-(1-B5)*C5*A5)/(B5-B4)</f>
        <v>30838.807835939326</v>
      </c>
      <c r="I4" s="18">
        <f t="shared" ref="I4:I6" si="0">B5-B4</f>
        <v>0.81352849813459804</v>
      </c>
      <c r="L4" s="14"/>
    </row>
    <row r="5" spans="1:12" x14ac:dyDescent="0.3">
      <c r="A5" s="11">
        <v>61000</v>
      </c>
      <c r="B5" s="12">
        <v>0.81352849813459804</v>
      </c>
      <c r="C5" s="8">
        <v>1.6610854506639852</v>
      </c>
      <c r="D5" s="14">
        <f t="shared" ref="D5:D13" si="1">L5*D$2/L$2</f>
        <v>0.10648293990155075</v>
      </c>
      <c r="E5" s="14"/>
      <c r="F5" s="8"/>
      <c r="G5" s="8"/>
      <c r="H5" s="17">
        <f t="shared" ref="H5:H6" si="2">((1-B5)*C5*A5-(1-B6)*C6*A6)/(B6-B5)</f>
        <v>69188.442441382809</v>
      </c>
      <c r="I5" s="18">
        <f t="shared" si="0"/>
        <v>9.0154419348915993E-2</v>
      </c>
      <c r="L5" s="14">
        <v>0.10648293990155075</v>
      </c>
    </row>
    <row r="6" spans="1:12" x14ac:dyDescent="0.3">
      <c r="A6" s="11">
        <v>81000</v>
      </c>
      <c r="B6" s="12">
        <v>0.90368291748351404</v>
      </c>
      <c r="C6" s="8">
        <v>1.6223173971667642</v>
      </c>
      <c r="D6" s="14">
        <f t="shared" si="1"/>
        <v>8.077316882933365E-2</v>
      </c>
      <c r="E6" s="14"/>
      <c r="F6" s="8"/>
      <c r="G6" s="8"/>
      <c r="H6" s="17">
        <f t="shared" si="2"/>
        <v>89559.853020586117</v>
      </c>
      <c r="I6" s="18">
        <f t="shared" si="0"/>
        <v>4.0827192039167404E-2</v>
      </c>
      <c r="L6" s="14">
        <v>8.077316882933365E-2</v>
      </c>
    </row>
    <row r="7" spans="1:12" x14ac:dyDescent="0.3">
      <c r="A7" s="11">
        <v>101000</v>
      </c>
      <c r="B7" s="12">
        <v>0.94451010952268144</v>
      </c>
      <c r="C7" s="8">
        <v>1.6059173294142204</v>
      </c>
      <c r="D7" s="14">
        <f t="shared" si="1"/>
        <v>7.1468616005816499E-2</v>
      </c>
      <c r="E7" s="14"/>
      <c r="H7" s="17">
        <f t="shared" ref="H7:H12" si="3">((1-B7)*C7*A7-(1-B8)*C8*A8)/(B8-B7)</f>
        <v>120090.16159693681</v>
      </c>
      <c r="I7" s="18">
        <f t="shared" ref="I7:I12" si="4">B8-B7</f>
        <v>3.7304078943572683E-2</v>
      </c>
      <c r="L7" s="14">
        <v>7.1468616005816499E-2</v>
      </c>
    </row>
    <row r="8" spans="1:12" x14ac:dyDescent="0.3">
      <c r="A8" s="11">
        <v>151000</v>
      </c>
      <c r="B8" s="12">
        <v>0.98181418846625412</v>
      </c>
      <c r="C8" s="8">
        <v>1.6461697951245107</v>
      </c>
      <c r="D8" s="14">
        <f t="shared" si="1"/>
        <v>8.3376908812380038E-2</v>
      </c>
      <c r="E8" s="14"/>
      <c r="H8" s="17">
        <f t="shared" si="3"/>
        <v>196190.59395754786</v>
      </c>
      <c r="I8" s="18">
        <f t="shared" si="4"/>
        <v>1.5062690478931384E-2</v>
      </c>
      <c r="L8" s="14">
        <v>8.3376908812380038E-2</v>
      </c>
    </row>
    <row r="9" spans="1:12" x14ac:dyDescent="0.3">
      <c r="A9" s="11">
        <v>301000</v>
      </c>
      <c r="B9" s="12">
        <v>0.99687687894518551</v>
      </c>
      <c r="C9" s="12">
        <v>1.665127465931894</v>
      </c>
      <c r="D9" s="14">
        <f t="shared" si="1"/>
        <v>9.1403953075422817E-2</v>
      </c>
      <c r="E9" s="14"/>
      <c r="H9" s="17">
        <f t="shared" si="3"/>
        <v>370290.28032485838</v>
      </c>
      <c r="I9" s="18">
        <f t="shared" si="4"/>
        <v>2.2692649505285933E-3</v>
      </c>
      <c r="L9" s="14">
        <v>9.1403953075422817E-2</v>
      </c>
    </row>
    <row r="10" spans="1:12" x14ac:dyDescent="0.3">
      <c r="A10" s="11">
        <v>501000</v>
      </c>
      <c r="B10" s="12">
        <v>0.9991461438957141</v>
      </c>
      <c r="C10" s="12">
        <v>1.6948637152431945</v>
      </c>
      <c r="D10" s="14">
        <f t="shared" si="1"/>
        <v>9.50927734375E-2</v>
      </c>
      <c r="E10" s="14"/>
      <c r="H10" s="17">
        <f t="shared" si="3"/>
        <v>596980.46875002549</v>
      </c>
      <c r="I10" s="18">
        <f t="shared" si="4"/>
        <v>5.4114104953661979E-4</v>
      </c>
      <c r="L10" s="14">
        <v>9.50927734375E-2</v>
      </c>
    </row>
    <row r="11" spans="1:12" x14ac:dyDescent="0.3">
      <c r="A11" s="11">
        <v>751000</v>
      </c>
      <c r="B11" s="12">
        <v>0.99968728494525072</v>
      </c>
      <c r="C11" s="12">
        <v>1.7116589231538628</v>
      </c>
      <c r="D11" s="14">
        <f t="shared" si="1"/>
        <v>0.10020876826722339</v>
      </c>
      <c r="E11" s="14"/>
      <c r="H11" s="17">
        <f t="shared" si="3"/>
        <v>856040.50104353286</v>
      </c>
      <c r="I11" s="18">
        <f t="shared" si="4"/>
        <v>1.5820713057124181E-4</v>
      </c>
      <c r="L11" s="14">
        <v>0.10020876826722339</v>
      </c>
    </row>
    <row r="12" spans="1:12" x14ac:dyDescent="0.3">
      <c r="A12" s="11">
        <v>1001000</v>
      </c>
      <c r="B12" s="12">
        <v>0.99984549207582196</v>
      </c>
      <c r="C12" s="12">
        <v>1.7234287730226165</v>
      </c>
      <c r="D12" s="14">
        <f t="shared" si="1"/>
        <v>9.4786729857819899E-2</v>
      </c>
      <c r="E12" s="14"/>
      <c r="H12" s="17">
        <f t="shared" si="3"/>
        <v>1206524.7122553419</v>
      </c>
      <c r="I12" s="18">
        <f t="shared" si="4"/>
        <v>9.7566568623808081E-5</v>
      </c>
      <c r="L12" s="14">
        <v>9.4786729857819899E-2</v>
      </c>
    </row>
    <row r="13" spans="1:12" x14ac:dyDescent="0.3">
      <c r="A13" s="11">
        <v>1500000</v>
      </c>
      <c r="B13" s="12">
        <v>0.99994305864444577</v>
      </c>
      <c r="C13" s="12">
        <v>1.7425320959010053</v>
      </c>
      <c r="D13" s="14">
        <f t="shared" si="1"/>
        <v>9.2807424593967514E-2</v>
      </c>
      <c r="E13" s="14"/>
      <c r="H13" s="17">
        <f>C13*A13</f>
        <v>2613798.1438515079</v>
      </c>
      <c r="I13" s="18">
        <f>1-B13</f>
        <v>5.6941355554229744E-5</v>
      </c>
      <c r="L13" s="14">
        <v>9.2807424593967514E-2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20" zoomScaleNormal="120" zoomScalePageLayoutView="120" workbookViewId="0">
      <selection activeCell="H4" sqref="H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1946</v>
      </c>
      <c r="C1" s="8" t="s">
        <v>24</v>
      </c>
      <c r="D1" s="10">
        <f>1000*[1]TD1!$C$53</f>
        <v>16535847.579875706</v>
      </c>
      <c r="E1" s="8" t="s">
        <v>30</v>
      </c>
      <c r="F1" s="21">
        <f>(SUMPRODUCT(D4:D11,H4:H11,I4:I11)/(D2*B2))/((1-SUMPRODUCT(D4:D11,H4:H11,I4:I11)/B2)/(1-D2))</f>
        <v>0.77129993702499433</v>
      </c>
      <c r="G1" s="19"/>
      <c r="H1" s="16"/>
    </row>
    <row r="2" spans="1:12" x14ac:dyDescent="0.3">
      <c r="A2" s="8" t="s">
        <v>12</v>
      </c>
      <c r="B2" s="11">
        <f>[1]TD2!$M$53</f>
        <v>68636.517781170493</v>
      </c>
      <c r="C2" s="8" t="s">
        <v>15</v>
      </c>
      <c r="D2" s="14">
        <f>[1]TD1!$F$53</f>
        <v>0.23687631022372346</v>
      </c>
      <c r="E2" s="18" t="s">
        <v>26</v>
      </c>
      <c r="I2" s="8"/>
      <c r="L2" s="14">
        <f>D2</f>
        <v>0.23687631022372346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(D2-SUMPRODUCT(D5:D11,I5:I11))/I4</f>
        <v>0.26095917405787611</v>
      </c>
      <c r="E4" s="14"/>
      <c r="F4" s="8"/>
      <c r="G4" s="8"/>
      <c r="H4" s="17">
        <f>((1-B4)*B2-(1-B5)*C5*A5)/(B5-B4)</f>
        <v>47614.451742467405</v>
      </c>
      <c r="I4" s="18">
        <f t="shared" ref="I4:I10" si="0">B5-B4</f>
        <v>0.84871212900073845</v>
      </c>
      <c r="L4" s="14"/>
    </row>
    <row r="5" spans="1:12" x14ac:dyDescent="0.3">
      <c r="A5" s="11">
        <v>101000</v>
      </c>
      <c r="B5" s="12">
        <v>0.84871212900073845</v>
      </c>
      <c r="C5" s="8">
        <v>1.847213127247413</v>
      </c>
      <c r="D5" s="14">
        <f t="shared" ref="D5:D11" si="1">L5*D$2/L$2</f>
        <v>0.11713605458172063</v>
      </c>
      <c r="E5" s="14"/>
      <c r="H5" s="17">
        <f t="shared" ref="H5:H10" si="2">((1-B5)*C5*A5-(1-B6)*C6*A6)/(B6-B5)</f>
        <v>121429.02885826615</v>
      </c>
      <c r="I5" s="18">
        <f t="shared" si="0"/>
        <v>8.4244564975104907E-2</v>
      </c>
      <c r="L5" s="14">
        <v>0.11713605458172063</v>
      </c>
    </row>
    <row r="6" spans="1:12" x14ac:dyDescent="0.3">
      <c r="A6" s="11">
        <v>151000</v>
      </c>
      <c r="B6" s="12">
        <v>0.93295669397584335</v>
      </c>
      <c r="C6" s="8">
        <v>1.777621342440606</v>
      </c>
      <c r="D6" s="14">
        <f t="shared" si="1"/>
        <v>8.1185730973958897E-2</v>
      </c>
      <c r="E6" s="14"/>
      <c r="H6" s="17">
        <f t="shared" si="2"/>
        <v>198421.01529311511</v>
      </c>
      <c r="I6" s="18">
        <f t="shared" si="0"/>
        <v>5.3685176122861278E-2</v>
      </c>
      <c r="L6" s="14">
        <v>8.1185730973958897E-2</v>
      </c>
    </row>
    <row r="7" spans="1:12" x14ac:dyDescent="0.3">
      <c r="A7" s="11">
        <v>301000</v>
      </c>
      <c r="B7" s="12">
        <v>0.98664187009870463</v>
      </c>
      <c r="C7" s="12">
        <v>1.8263921367946305</v>
      </c>
      <c r="D7" s="14">
        <f t="shared" si="1"/>
        <v>8.6559028726402837E-2</v>
      </c>
      <c r="E7" s="14"/>
      <c r="H7" s="17">
        <f t="shared" si="2"/>
        <v>371512.6173611189</v>
      </c>
      <c r="I7" s="18">
        <f t="shared" si="0"/>
        <v>9.075494877120116E-3</v>
      </c>
      <c r="L7" s="14">
        <v>8.6559028726402837E-2</v>
      </c>
    </row>
    <row r="8" spans="1:12" x14ac:dyDescent="0.3">
      <c r="A8" s="11">
        <v>501000</v>
      </c>
      <c r="B8" s="12">
        <v>0.99571736497582475</v>
      </c>
      <c r="C8" s="12">
        <v>1.851179660532924</v>
      </c>
      <c r="D8" s="14">
        <f t="shared" si="1"/>
        <v>9.0541100733985219E-2</v>
      </c>
      <c r="E8" s="14"/>
      <c r="H8" s="17">
        <f t="shared" si="2"/>
        <v>598974.66409811447</v>
      </c>
      <c r="I8" s="18">
        <f t="shared" si="0"/>
        <v>2.480005926633444E-3</v>
      </c>
      <c r="L8" s="14">
        <v>9.0541100733985219E-2</v>
      </c>
    </row>
    <row r="9" spans="1:12" x14ac:dyDescent="0.3">
      <c r="A9" s="11">
        <v>751000</v>
      </c>
      <c r="B9" s="12">
        <v>0.99819737090245819</v>
      </c>
      <c r="C9" s="12">
        <v>1.8366653551214234</v>
      </c>
      <c r="D9" s="14">
        <f t="shared" si="1"/>
        <v>8.682395644283121E-2</v>
      </c>
      <c r="E9" s="14"/>
      <c r="H9" s="17">
        <f t="shared" si="2"/>
        <v>856712.37749552354</v>
      </c>
      <c r="I9" s="18">
        <f t="shared" si="0"/>
        <v>8.3303864125872096E-4</v>
      </c>
      <c r="L9" s="14">
        <v>8.682395644283121E-2</v>
      </c>
    </row>
    <row r="10" spans="1:12" x14ac:dyDescent="0.3">
      <c r="A10" s="11">
        <v>1001000</v>
      </c>
      <c r="B10" s="12">
        <v>0.99903040954371691</v>
      </c>
      <c r="C10" s="12">
        <v>1.8265290500680009</v>
      </c>
      <c r="D10" s="14">
        <f t="shared" si="1"/>
        <v>9.0609730189080098E-2</v>
      </c>
      <c r="E10" s="14"/>
      <c r="H10" s="17">
        <f t="shared" si="2"/>
        <v>1208220.7350754102</v>
      </c>
      <c r="I10" s="18">
        <f t="shared" si="0"/>
        <v>5.6930858575743315E-4</v>
      </c>
      <c r="L10" s="14">
        <v>9.0609730189080098E-2</v>
      </c>
    </row>
    <row r="11" spans="1:12" x14ac:dyDescent="0.3">
      <c r="A11" s="11">
        <v>1500000</v>
      </c>
      <c r="B11" s="12">
        <v>0.99959971812947435</v>
      </c>
      <c r="C11" s="12">
        <v>1.8069028554162261</v>
      </c>
      <c r="D11" s="14">
        <f t="shared" si="1"/>
        <v>9.1252455053633483E-2</v>
      </c>
      <c r="E11" s="14"/>
      <c r="H11" s="17">
        <f>C11*A11</f>
        <v>2710354.2831243393</v>
      </c>
      <c r="I11" s="18">
        <f>1-B11</f>
        <v>4.0028187052565389E-4</v>
      </c>
      <c r="L11" s="14">
        <v>9.1252455053633483E-2</v>
      </c>
    </row>
    <row r="12" spans="1:12" x14ac:dyDescent="0.3">
      <c r="A12" s="13"/>
      <c r="B12" s="13"/>
      <c r="C12" s="13"/>
      <c r="D12" s="13"/>
      <c r="E12" s="13"/>
      <c r="H12" s="13"/>
      <c r="L12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1947</v>
      </c>
      <c r="C1" s="8" t="s">
        <v>24</v>
      </c>
      <c r="D1" s="10">
        <f>1000*[1]TD1!$C$54</f>
        <v>16648051.617944187</v>
      </c>
      <c r="E1" s="8" t="s">
        <v>30</v>
      </c>
      <c r="F1" s="21">
        <f>(SUMPRODUCT(D4:D11,H4:H11,I4:I11)/(D2*B2))/((1-SUMPRODUCT(D4:D11,H4:H11,I4:I11)/B2)/(1-D2))</f>
        <v>0.74571034851075269</v>
      </c>
      <c r="G1" s="19"/>
      <c r="H1" s="16"/>
    </row>
    <row r="2" spans="1:12" x14ac:dyDescent="0.3">
      <c r="A2" s="8" t="s">
        <v>12</v>
      </c>
      <c r="B2" s="11">
        <f>[1]TD2!$M$54</f>
        <v>89254.631589527198</v>
      </c>
      <c r="C2" s="8" t="s">
        <v>15</v>
      </c>
      <c r="D2" s="14">
        <f>[1]TD1!$F$54</f>
        <v>0.23617562360809807</v>
      </c>
      <c r="E2" s="18" t="s">
        <v>26</v>
      </c>
      <c r="I2" s="8"/>
      <c r="L2" s="14">
        <f>D2</f>
        <v>0.23617562360809807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(D2-SUMPRODUCT(D5:D11,I5:I11))/I4</f>
        <v>0.26084111173227892</v>
      </c>
      <c r="E4" s="14"/>
      <c r="F4" s="8"/>
      <c r="G4" s="8"/>
      <c r="H4" s="17">
        <f>((1-B4)*B2-(1-B5)*C5*A5)/(B5-B4)</f>
        <v>59813.826041263332</v>
      </c>
      <c r="I4" s="18">
        <f t="shared" ref="I4:I10" si="0">B5-B4</f>
        <v>0.85456279024872339</v>
      </c>
      <c r="L4" s="14"/>
    </row>
    <row r="5" spans="1:12" x14ac:dyDescent="0.3">
      <c r="A5" s="11">
        <v>151000</v>
      </c>
      <c r="B5" s="12">
        <v>0.85456279024872339</v>
      </c>
      <c r="C5" s="8">
        <v>1.7367118566367976</v>
      </c>
      <c r="D5" s="14">
        <f t="shared" ref="D5:D11" si="1">L5*D$2/L$2</f>
        <v>9.4594270512325537E-2</v>
      </c>
      <c r="E5" s="14"/>
      <c r="H5" s="17">
        <f t="shared" ref="H5:H10" si="2">((1-B5)*C5*A5-(1-B6)*C6*A6)/(B6-B5)</f>
        <v>203636.08002319015</v>
      </c>
      <c r="I5" s="18">
        <f t="shared" si="0"/>
        <v>0.11704090687285162</v>
      </c>
      <c r="L5" s="14">
        <v>9.4594270512325537E-2</v>
      </c>
    </row>
    <row r="6" spans="1:12" x14ac:dyDescent="0.3">
      <c r="A6" s="11">
        <v>301000</v>
      </c>
      <c r="B6" s="12">
        <v>0.97160369712157502</v>
      </c>
      <c r="C6" s="8">
        <v>1.6737720116080248</v>
      </c>
      <c r="D6" s="14">
        <f t="shared" si="1"/>
        <v>7.5406913240879864E-2</v>
      </c>
      <c r="E6" s="14"/>
      <c r="H6" s="17">
        <f t="shared" si="2"/>
        <v>368959.47483623755</v>
      </c>
      <c r="I6" s="18">
        <f t="shared" si="0"/>
        <v>2.095862404800608E-2</v>
      </c>
      <c r="L6" s="14">
        <v>7.5406913240879864E-2</v>
      </c>
    </row>
    <row r="7" spans="1:12" x14ac:dyDescent="0.3">
      <c r="A7" s="11">
        <v>501000</v>
      </c>
      <c r="B7" s="12">
        <v>0.9925623211695811</v>
      </c>
      <c r="C7" s="12">
        <v>1.7640467808414395</v>
      </c>
      <c r="D7" s="14">
        <f t="shared" si="1"/>
        <v>8.164438749661132E-2</v>
      </c>
      <c r="E7" s="14"/>
      <c r="H7" s="17">
        <f t="shared" si="2"/>
        <v>596726.22539841803</v>
      </c>
      <c r="I7" s="18">
        <f t="shared" si="0"/>
        <v>4.5489324473585446E-3</v>
      </c>
      <c r="L7" s="14">
        <v>8.1644387496611334E-2</v>
      </c>
    </row>
    <row r="8" spans="1:12" x14ac:dyDescent="0.3">
      <c r="A8" s="11">
        <v>751000</v>
      </c>
      <c r="B8" s="12">
        <v>0.99711125361693964</v>
      </c>
      <c r="C8" s="12">
        <v>1.7787284480156929</v>
      </c>
      <c r="D8" s="14">
        <f t="shared" si="1"/>
        <v>8.4767980424713799E-2</v>
      </c>
      <c r="E8" s="14"/>
      <c r="H8" s="17">
        <f t="shared" si="2"/>
        <v>854906.53674738307</v>
      </c>
      <c r="I8" s="18">
        <f t="shared" si="0"/>
        <v>1.3746953697646447E-3</v>
      </c>
      <c r="L8" s="14">
        <v>8.4767980424713799E-2</v>
      </c>
    </row>
    <row r="9" spans="1:12" x14ac:dyDescent="0.3">
      <c r="A9" s="11">
        <v>1001000</v>
      </c>
      <c r="B9" s="12">
        <v>0.99848594898670429</v>
      </c>
      <c r="C9" s="12">
        <v>1.7707083838957203</v>
      </c>
      <c r="D9" s="14">
        <f t="shared" si="1"/>
        <v>8.7153176264092358E-2</v>
      </c>
      <c r="E9" s="14"/>
      <c r="H9" s="17">
        <f t="shared" si="2"/>
        <v>1204955.1070005631</v>
      </c>
      <c r="I9" s="18">
        <f t="shared" si="0"/>
        <v>8.8977377052879003E-4</v>
      </c>
      <c r="L9" s="14">
        <v>8.7153176264092358E-2</v>
      </c>
    </row>
    <row r="10" spans="1:12" x14ac:dyDescent="0.3">
      <c r="A10" s="11">
        <v>1501000</v>
      </c>
      <c r="B10" s="12">
        <v>0.99937572275723308</v>
      </c>
      <c r="C10" s="12">
        <v>1.7197623086260911</v>
      </c>
      <c r="D10" s="14">
        <f t="shared" si="1"/>
        <v>8.441091954022989E-2</v>
      </c>
      <c r="E10" s="14"/>
      <c r="H10" s="17">
        <f t="shared" si="2"/>
        <v>1991943.486590117</v>
      </c>
      <c r="I10" s="18">
        <f t="shared" si="0"/>
        <v>5.0168031671216085E-4</v>
      </c>
      <c r="L10" s="14">
        <v>8.441091954022989E-2</v>
      </c>
    </row>
    <row r="11" spans="1:12" x14ac:dyDescent="0.3">
      <c r="A11" s="11">
        <v>3000000</v>
      </c>
      <c r="B11" s="12">
        <v>0.99987740307394524</v>
      </c>
      <c r="C11" s="12">
        <v>1.6644448799608036</v>
      </c>
      <c r="D11" s="14">
        <f t="shared" si="1"/>
        <v>8.8682018618324351E-2</v>
      </c>
      <c r="E11" s="14"/>
      <c r="H11" s="17">
        <f>C11*A11</f>
        <v>4993334.6398824109</v>
      </c>
      <c r="I11" s="18">
        <f>1-B11</f>
        <v>1.2259692605476324E-4</v>
      </c>
      <c r="L11" s="14">
        <v>8.8682018618324351E-2</v>
      </c>
    </row>
    <row r="12" spans="1:12" x14ac:dyDescent="0.3">
      <c r="A12" s="13"/>
      <c r="B12" s="13"/>
      <c r="C12" s="13"/>
      <c r="D12" s="13"/>
      <c r="E12" s="13"/>
      <c r="H12" s="13"/>
      <c r="L12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H4" sqref="H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1948</v>
      </c>
      <c r="C1" s="8" t="s">
        <v>24</v>
      </c>
      <c r="D1" s="10">
        <f>1000*[1]TD1!$C$55</f>
        <v>16817525.168527227</v>
      </c>
      <c r="E1" s="8" t="s">
        <v>30</v>
      </c>
      <c r="F1" s="21">
        <f>(SUMPRODUCT(D4:D12,H4:H12,I4:I12)/(D2*B2))/((1-SUMPRODUCT(D4:D12,H4:H12,I4:I12)/B2)/(1-D2))</f>
        <v>0.74954879700119958</v>
      </c>
      <c r="G1" s="19"/>
      <c r="H1" s="16"/>
    </row>
    <row r="2" spans="1:12" x14ac:dyDescent="0.3">
      <c r="A2" s="8" t="s">
        <v>12</v>
      </c>
      <c r="B2" s="11">
        <f>[1]TD2!$M$55</f>
        <v>151378.18780649625</v>
      </c>
      <c r="C2" s="8" t="s">
        <v>15</v>
      </c>
      <c r="D2" s="14">
        <f>[1]TD1!$F$55</f>
        <v>0.23909938838315181</v>
      </c>
      <c r="E2" s="18" t="s">
        <v>26</v>
      </c>
      <c r="I2" s="8"/>
      <c r="L2" s="14">
        <f>D2</f>
        <v>0.23909938838315181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(D2-SUMPRODUCT(D5:D12,I5:I12))/I4</f>
        <v>0.26901596052735283</v>
      </c>
      <c r="E4" s="14"/>
      <c r="F4" s="8"/>
      <c r="G4" s="8"/>
      <c r="H4" s="17">
        <f>((1-B4)*B2-(1-B5)*C5*A5)/(B5-B4)</f>
        <v>100264.46478978853</v>
      </c>
      <c r="I4" s="18">
        <f t="shared" ref="I4:I11" si="0">B5-B4</f>
        <v>0.81088321288005993</v>
      </c>
      <c r="L4" s="14"/>
    </row>
    <row r="5" spans="1:12" x14ac:dyDescent="0.3">
      <c r="A5" s="11">
        <v>201000</v>
      </c>
      <c r="B5" s="12">
        <v>0.81088321288005993</v>
      </c>
      <c r="C5" s="12">
        <v>1.8434847484770027</v>
      </c>
      <c r="D5" s="14">
        <f t="shared" ref="D5:D12" si="1">L5*D$2/L$2</f>
        <v>0.14229903248045361</v>
      </c>
      <c r="E5" s="14"/>
      <c r="H5" s="17">
        <f t="shared" ref="H5:H11" si="2">((1-B5)*C5*A5-(1-B6)*C6*A6)/(B6-B5)</f>
        <v>245083.35610774465</v>
      </c>
      <c r="I5" s="18">
        <f t="shared" si="0"/>
        <v>0.10077949914001338</v>
      </c>
      <c r="L5" s="14">
        <v>0.14229903248045361</v>
      </c>
    </row>
    <row r="6" spans="1:12" x14ac:dyDescent="0.3">
      <c r="A6" s="11">
        <v>301000</v>
      </c>
      <c r="B6" s="12">
        <v>0.91166271202007332</v>
      </c>
      <c r="C6" s="8">
        <v>1.706538226359817</v>
      </c>
      <c r="D6" s="14">
        <f t="shared" si="1"/>
        <v>7.375668138192551E-2</v>
      </c>
      <c r="E6" s="14"/>
      <c r="H6" s="17">
        <f t="shared" si="2"/>
        <v>373715.7944509653</v>
      </c>
      <c r="I6" s="18">
        <f t="shared" si="0"/>
        <v>6.4024258119358857E-2</v>
      </c>
      <c r="L6" s="14">
        <v>7.375668138192551E-2</v>
      </c>
    </row>
    <row r="7" spans="1:12" x14ac:dyDescent="0.3">
      <c r="A7" s="11">
        <v>501000</v>
      </c>
      <c r="B7" s="12">
        <v>0.97568697013943217</v>
      </c>
      <c r="C7" s="8">
        <v>1.7608952500546249</v>
      </c>
      <c r="D7" s="14">
        <f t="shared" si="1"/>
        <v>7.6257660426252705E-2</v>
      </c>
      <c r="E7" s="14"/>
      <c r="H7" s="17">
        <f t="shared" si="2"/>
        <v>609942.00149372558</v>
      </c>
      <c r="I7" s="18">
        <f t="shared" si="0"/>
        <v>1.653846144519322E-2</v>
      </c>
      <c r="L7" s="14">
        <v>7.6257660426252705E-2</v>
      </c>
    </row>
    <row r="8" spans="1:12" x14ac:dyDescent="0.3">
      <c r="A8" s="11">
        <v>801000</v>
      </c>
      <c r="B8" s="12">
        <v>0.99222543158462539</v>
      </c>
      <c r="C8" s="12">
        <v>1.8244542446974743</v>
      </c>
      <c r="D8" s="14">
        <f t="shared" si="1"/>
        <v>8.0374414166461114E-2</v>
      </c>
      <c r="E8" s="14"/>
      <c r="H8" s="17">
        <f t="shared" si="2"/>
        <v>955768.75641008711</v>
      </c>
      <c r="I8" s="18">
        <f t="shared" si="0"/>
        <v>4.580162611806271E-3</v>
      </c>
      <c r="L8" s="14">
        <v>8.0374414166461114E-2</v>
      </c>
    </row>
    <row r="9" spans="1:12" x14ac:dyDescent="0.3">
      <c r="A9" s="11">
        <v>1201000</v>
      </c>
      <c r="B9" s="12">
        <v>0.99680559419643167</v>
      </c>
      <c r="C9" s="12">
        <v>1.8204398311584098</v>
      </c>
      <c r="D9" s="14">
        <f t="shared" si="1"/>
        <v>8.2881465456690923E-2</v>
      </c>
      <c r="E9" s="14"/>
      <c r="H9" s="17">
        <f t="shared" si="2"/>
        <v>1498159.7505127355</v>
      </c>
      <c r="I9" s="18">
        <f t="shared" si="0"/>
        <v>2.1164231742378803E-3</v>
      </c>
      <c r="L9" s="14">
        <v>8.2881465456690923E-2</v>
      </c>
    </row>
    <row r="10" spans="1:12" x14ac:dyDescent="0.3">
      <c r="A10" s="11">
        <v>2001000</v>
      </c>
      <c r="B10" s="12">
        <v>0.99892201737066955</v>
      </c>
      <c r="C10" s="12">
        <v>1.767856763327752</v>
      </c>
      <c r="D10" s="14">
        <f t="shared" si="1"/>
        <v>8.3753972705178537E-2</v>
      </c>
      <c r="E10" s="14"/>
      <c r="H10" s="17">
        <f t="shared" si="2"/>
        <v>2402411.665732122</v>
      </c>
      <c r="I10" s="18">
        <f t="shared" si="0"/>
        <v>6.3612213407127083E-4</v>
      </c>
      <c r="L10" s="14">
        <v>8.3753972705178537E-2</v>
      </c>
    </row>
    <row r="11" spans="1:12" x14ac:dyDescent="0.3">
      <c r="A11" s="11">
        <v>3001000</v>
      </c>
      <c r="B11" s="12">
        <v>0.99955813950474082</v>
      </c>
      <c r="C11" s="12">
        <v>1.7232850791090091</v>
      </c>
      <c r="D11" s="14">
        <f t="shared" si="1"/>
        <v>8.6325439266615733E-2</v>
      </c>
      <c r="E11" s="14"/>
      <c r="H11" s="17">
        <f t="shared" si="2"/>
        <v>3748090.1451494852</v>
      </c>
      <c r="I11" s="18">
        <f t="shared" si="0"/>
        <v>3.1134188577275346E-4</v>
      </c>
      <c r="L11" s="14">
        <v>8.6325439266615733E-2</v>
      </c>
    </row>
    <row r="12" spans="1:12" x14ac:dyDescent="0.3">
      <c r="A12" s="11">
        <v>5000000</v>
      </c>
      <c r="B12" s="12">
        <v>0.99986948139051357</v>
      </c>
      <c r="C12" s="12">
        <v>1.7134396355353074</v>
      </c>
      <c r="D12" s="14">
        <f t="shared" si="1"/>
        <v>8.3826879271070617E-2</v>
      </c>
      <c r="E12" s="14"/>
      <c r="H12" s="17">
        <f>C12*A12</f>
        <v>8567198.177676538</v>
      </c>
      <c r="I12" s="18">
        <f>1-B12</f>
        <v>1.3051860948642968E-4</v>
      </c>
      <c r="L12" s="14">
        <v>8.3826879271070617E-2</v>
      </c>
    </row>
    <row r="13" spans="1:12" x14ac:dyDescent="0.3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1949</v>
      </c>
      <c r="C1" s="8" t="s">
        <v>24</v>
      </c>
      <c r="D1" s="10">
        <f>1000*[1]TD1!$C$56</f>
        <v>16961530.403966609</v>
      </c>
      <c r="E1" s="8" t="s">
        <v>30</v>
      </c>
      <c r="F1" s="21">
        <f>(SUMPRODUCT(D4:D12,H4:H12,I4:I12)/(D2*B2))/((1-SUMPRODUCT(D4:D12,H4:H12,I4:I12)/B2)/(1-D2))</f>
        <v>0.77165695389233113</v>
      </c>
      <c r="G1" s="19"/>
      <c r="H1" s="16"/>
    </row>
    <row r="2" spans="1:12" x14ac:dyDescent="0.3">
      <c r="A2" s="8" t="s">
        <v>12</v>
      </c>
      <c r="B2" s="11">
        <f>[1]TD2!$M$56</f>
        <v>291.06057751029397</v>
      </c>
      <c r="C2" s="8" t="s">
        <v>15</v>
      </c>
      <c r="D2" s="14">
        <f>[1]TD1!$F$56</f>
        <v>0.24097809989450347</v>
      </c>
      <c r="E2" s="18" t="s">
        <v>26</v>
      </c>
      <c r="I2" s="8"/>
      <c r="L2" s="14">
        <f>D2</f>
        <v>0.24097809989450347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(D2-SUMPRODUCT(D5:D12,I5:I12))/I4</f>
        <v>0.26878162353867474</v>
      </c>
      <c r="E4" s="14"/>
      <c r="F4" s="8"/>
      <c r="G4" s="8"/>
      <c r="H4" s="17">
        <f>((1-B4)*B2-(1-B5)*C5*A5)/(B5-B4)</f>
        <v>183.5879271668633</v>
      </c>
      <c r="I4" s="18">
        <f t="shared" ref="I4:I11" si="0">B5-B4</f>
        <v>0.74812379999965506</v>
      </c>
      <c r="L4" s="14"/>
    </row>
    <row r="5" spans="1:12" x14ac:dyDescent="0.3">
      <c r="A5" s="9">
        <v>306.42252464719485</v>
      </c>
      <c r="B5" s="12">
        <v>0.74812379999965506</v>
      </c>
      <c r="C5" s="12">
        <v>1.9916170268840931</v>
      </c>
      <c r="D5" s="14">
        <f t="shared" ref="D5:D12" si="1">L5*D$2/L$2</f>
        <v>0.22441096494745616</v>
      </c>
      <c r="E5" s="14"/>
      <c r="H5" s="17">
        <f t="shared" ref="H5:H11" si="2">((1-B5)*C5*A5-(1-B6)*C6*A6)/(B6-B5)</f>
        <v>375.37486709987974</v>
      </c>
      <c r="I5" s="18">
        <f t="shared" si="0"/>
        <v>0.11790657834015739</v>
      </c>
      <c r="L5" s="14">
        <v>0.22441096494745616</v>
      </c>
    </row>
    <row r="6" spans="1:12" x14ac:dyDescent="0.3">
      <c r="A6" s="9">
        <v>458.87154188460522</v>
      </c>
      <c r="B6" s="12">
        <v>0.86603037833981245</v>
      </c>
      <c r="C6" s="8">
        <v>1.7804829003363922</v>
      </c>
      <c r="D6" s="14">
        <f t="shared" si="1"/>
        <v>0.11055822099887565</v>
      </c>
      <c r="E6" s="14"/>
      <c r="H6" s="17">
        <f t="shared" si="2"/>
        <v>576.21603561113375</v>
      </c>
      <c r="I6" s="18">
        <f t="shared" si="0"/>
        <v>9.2222494761982188E-2</v>
      </c>
      <c r="L6" s="14">
        <v>0.11055822099887565</v>
      </c>
    </row>
    <row r="7" spans="1:12" x14ac:dyDescent="0.3">
      <c r="A7" s="9">
        <v>763.76957635942597</v>
      </c>
      <c r="B7" s="12">
        <v>0.95825287310179463</v>
      </c>
      <c r="C7" s="8">
        <v>1.7661754997661361</v>
      </c>
      <c r="D7" s="14">
        <f t="shared" si="1"/>
        <v>7.5333658081424101E-2</v>
      </c>
      <c r="E7" s="14"/>
      <c r="H7" s="17">
        <f t="shared" si="2"/>
        <v>934.06202814645201</v>
      </c>
      <c r="I7" s="18">
        <f t="shared" si="0"/>
        <v>2.864512520925222E-2</v>
      </c>
      <c r="L7" s="14">
        <v>7.5333658081424101E-2</v>
      </c>
    </row>
    <row r="8" spans="1:12" x14ac:dyDescent="0.3">
      <c r="A8" s="11">
        <v>1221.1166280716573</v>
      </c>
      <c r="B8" s="12">
        <v>0.98689799831104685</v>
      </c>
      <c r="C8" s="12">
        <v>1.847513988695789</v>
      </c>
      <c r="D8" s="14">
        <f t="shared" si="1"/>
        <v>7.9715270357717943E-2</v>
      </c>
      <c r="E8" s="14"/>
      <c r="H8" s="17">
        <f t="shared" si="2"/>
        <v>1453.5527073561211</v>
      </c>
      <c r="I8" s="18">
        <f t="shared" si="0"/>
        <v>7.8352599579647464E-3</v>
      </c>
      <c r="L8" s="14">
        <v>7.9715270357717943E-2</v>
      </c>
    </row>
    <row r="9" spans="1:12" x14ac:dyDescent="0.3">
      <c r="A9" s="11">
        <v>1830.9126970212988</v>
      </c>
      <c r="B9" s="12">
        <v>0.9947332582690116</v>
      </c>
      <c r="C9" s="12">
        <v>1.8842322065303794</v>
      </c>
      <c r="D9" s="14">
        <f t="shared" si="1"/>
        <v>8.5257154565944945E-2</v>
      </c>
      <c r="E9" s="14"/>
      <c r="H9" s="17">
        <f t="shared" si="2"/>
        <v>2283.0127994626105</v>
      </c>
      <c r="I9" s="18">
        <f t="shared" si="0"/>
        <v>3.4527544746967287E-3</v>
      </c>
      <c r="L9" s="14">
        <v>8.5257154565944945E-2</v>
      </c>
    </row>
    <row r="10" spans="1:12" x14ac:dyDescent="0.3">
      <c r="A10" s="11">
        <v>3050.5048349205817</v>
      </c>
      <c r="B10" s="12">
        <v>0.99818601274370833</v>
      </c>
      <c r="C10" s="12">
        <v>1.8589899018249585</v>
      </c>
      <c r="D10" s="14">
        <f t="shared" si="1"/>
        <v>8.7845208704139643E-2</v>
      </c>
      <c r="E10" s="14"/>
      <c r="H10" s="17">
        <f t="shared" si="2"/>
        <v>3665.0084686024497</v>
      </c>
      <c r="I10" s="18">
        <f t="shared" si="0"/>
        <v>1.0268530955158672E-3</v>
      </c>
      <c r="L10" s="14">
        <v>8.784520870413963E-2</v>
      </c>
    </row>
    <row r="11" spans="1:12" x14ac:dyDescent="0.3">
      <c r="A11" s="11">
        <v>4574.9950072946858</v>
      </c>
      <c r="B11" s="12">
        <v>0.9992128658392242</v>
      </c>
      <c r="C11" s="12">
        <v>1.8114951371538677</v>
      </c>
      <c r="D11" s="14">
        <f t="shared" si="1"/>
        <v>8.9540412044374004E-2</v>
      </c>
      <c r="E11" s="14"/>
      <c r="H11" s="17">
        <f t="shared" si="2"/>
        <v>5725.7255410006774</v>
      </c>
      <c r="I11" s="18">
        <f t="shared" si="0"/>
        <v>5.208256442433834E-4</v>
      </c>
      <c r="L11" s="14">
        <v>8.9540412044374004E-2</v>
      </c>
    </row>
    <row r="12" spans="1:12" x14ac:dyDescent="0.3">
      <c r="A12" s="11">
        <v>7622.4508618705195</v>
      </c>
      <c r="B12" s="12">
        <v>0.99973369148346758</v>
      </c>
      <c r="C12" s="12">
        <v>1.7445649767544833</v>
      </c>
      <c r="D12" s="14">
        <f t="shared" si="1"/>
        <v>0.10117334514058003</v>
      </c>
      <c r="E12" s="14"/>
      <c r="H12" s="17">
        <f>C12*A12</f>
        <v>13297.860810651335</v>
      </c>
      <c r="I12" s="18">
        <f>1-B12</f>
        <v>2.6630851653242082E-4</v>
      </c>
      <c r="L12" s="14">
        <v>0.10117334514058003</v>
      </c>
    </row>
    <row r="13" spans="1:12" x14ac:dyDescent="0.3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1950</v>
      </c>
      <c r="C1" s="8" t="s">
        <v>24</v>
      </c>
      <c r="D1" s="10">
        <f>1000*[1]TD1!$C$57</f>
        <v>17077292.455622979</v>
      </c>
      <c r="E1" s="8" t="s">
        <v>30</v>
      </c>
      <c r="F1" s="21">
        <f>(SUMPRODUCT(D4:D10,H4:H10,I4:I10)/(D2*B2))/((1-SUMPRODUCT(D4:D10,H4:H10,I4:I10)/B2)/(1-D2))</f>
        <v>0.72811683171209396</v>
      </c>
      <c r="G1" s="19"/>
      <c r="H1" s="16"/>
    </row>
    <row r="2" spans="1:12" x14ac:dyDescent="0.3">
      <c r="A2" s="8" t="s">
        <v>12</v>
      </c>
      <c r="B2" s="11">
        <f>[1]TD2!$M$57</f>
        <v>337.3516019445895</v>
      </c>
      <c r="C2" s="8" t="s">
        <v>15</v>
      </c>
      <c r="D2" s="14">
        <f>[1]TD1!$F$57</f>
        <v>0.24419195112040493</v>
      </c>
      <c r="E2" s="18" t="s">
        <v>26</v>
      </c>
      <c r="I2" s="8"/>
      <c r="L2" s="14">
        <f>D2</f>
        <v>0.24419195112040493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(D2-SUMPRODUCT(D5:D10,I5:I10))/I4</f>
        <v>0.28248086887846324</v>
      </c>
      <c r="E4" s="14"/>
      <c r="F4" s="8"/>
      <c r="G4" s="8"/>
      <c r="H4" s="17">
        <f>((1-B4)*B2-(1-B5)*A5*C5)/(B5-B4)</f>
        <v>217.9483068013019</v>
      </c>
      <c r="I4" s="18">
        <f t="shared" ref="I4:I9" si="0">B5-B4</f>
        <v>0.79365612707574673</v>
      </c>
      <c r="L4" s="14"/>
    </row>
    <row r="5" spans="1:12" x14ac:dyDescent="0.3">
      <c r="A5" s="11">
        <v>458.87154188460522</v>
      </c>
      <c r="B5" s="12">
        <v>0.79365612707574673</v>
      </c>
      <c r="C5" s="12">
        <v>1.73601962319952</v>
      </c>
      <c r="D5" s="14">
        <f t="shared" ref="D5:D10" si="1">L5*D$2/L$2</f>
        <v>0.10384350690605045</v>
      </c>
      <c r="E5" s="14"/>
      <c r="H5" s="17">
        <f t="shared" ref="H5:H9" si="2">((1-B5)*C5*A5-(1-B6)*C6*A6)/(B6-B5)</f>
        <v>573.29047257467653</v>
      </c>
      <c r="I5" s="18">
        <f t="shared" si="0"/>
        <v>0.14418091992744797</v>
      </c>
      <c r="L5" s="14">
        <v>0.10384350690605045</v>
      </c>
    </row>
    <row r="6" spans="1:12" x14ac:dyDescent="0.3">
      <c r="A6" s="11">
        <v>763.76957635942597</v>
      </c>
      <c r="B6" s="12">
        <v>0.9378370470031947</v>
      </c>
      <c r="C6" s="12">
        <v>1.7211708291992109</v>
      </c>
      <c r="D6" s="14">
        <f t="shared" si="1"/>
        <v>8.0775522639241829E-2</v>
      </c>
      <c r="E6" s="14"/>
      <c r="H6" s="17">
        <f t="shared" si="2"/>
        <v>909.38967019307495</v>
      </c>
      <c r="I6" s="18">
        <f t="shared" si="0"/>
        <v>4.0186244740572863E-2</v>
      </c>
      <c r="L6" s="14">
        <v>8.0775522639241829E-2</v>
      </c>
    </row>
    <row r="7" spans="1:12" x14ac:dyDescent="0.3">
      <c r="A7" s="11">
        <v>1144.8921194529519</v>
      </c>
      <c r="B7" s="12">
        <v>0.97802329174376756</v>
      </c>
      <c r="C7" s="12">
        <v>1.795364291531917</v>
      </c>
      <c r="D7" s="14">
        <f t="shared" si="1"/>
        <v>7.7671234931304192E-2</v>
      </c>
      <c r="E7" s="14"/>
      <c r="H7" s="17">
        <f t="shared" si="2"/>
        <v>1390.2821601172784</v>
      </c>
      <c r="I7" s="18">
        <f t="shared" si="0"/>
        <v>1.4770647909149726E-2</v>
      </c>
      <c r="L7" s="14">
        <v>7.7671234931304192E-2</v>
      </c>
    </row>
    <row r="8" spans="1:12" x14ac:dyDescent="0.3">
      <c r="A8" s="11">
        <v>1830.9126970212988</v>
      </c>
      <c r="B8" s="12">
        <v>0.99279393965291729</v>
      </c>
      <c r="C8" s="12">
        <v>1.8673898843439016</v>
      </c>
      <c r="D8" s="14">
        <f t="shared" si="1"/>
        <v>8.5875055292096575E-2</v>
      </c>
      <c r="E8" s="14"/>
      <c r="H8" s="17">
        <f t="shared" si="2"/>
        <v>2455.3432976542572</v>
      </c>
      <c r="I8" s="18">
        <f t="shared" si="0"/>
        <v>5.692412907526867E-3</v>
      </c>
      <c r="L8" s="14">
        <v>8.5875055292096575E-2</v>
      </c>
    </row>
    <row r="9" spans="1:12" x14ac:dyDescent="0.3">
      <c r="A9" s="11">
        <v>3812.7499211076338</v>
      </c>
      <c r="B9" s="12">
        <v>0.99848635256044416</v>
      </c>
      <c r="C9" s="12">
        <v>1.8472706859072303</v>
      </c>
      <c r="D9" s="14">
        <f t="shared" si="1"/>
        <v>9.2291371994342286E-2</v>
      </c>
      <c r="E9" s="14"/>
      <c r="H9" s="17">
        <f t="shared" si="2"/>
        <v>5079.5032976168932</v>
      </c>
      <c r="I9" s="18">
        <f t="shared" si="0"/>
        <v>1.1592001513964778E-3</v>
      </c>
      <c r="L9" s="14">
        <v>9.2291371994342286E-2</v>
      </c>
    </row>
    <row r="10" spans="1:12" x14ac:dyDescent="0.3">
      <c r="A10" s="11">
        <v>7622.4508618705195</v>
      </c>
      <c r="B10" s="12">
        <v>0.99964555271184063</v>
      </c>
      <c r="C10" s="12">
        <v>1.7665289938873285</v>
      </c>
      <c r="D10" s="14">
        <f t="shared" si="1"/>
        <v>0.10688914587807699</v>
      </c>
      <c r="E10" s="14"/>
      <c r="H10" s="17">
        <f>C10*A10</f>
        <v>13465.280451975728</v>
      </c>
      <c r="I10" s="18">
        <f>1-B10</f>
        <v>3.5444728815936521E-4</v>
      </c>
      <c r="L10" s="14">
        <v>0.10688914587807699</v>
      </c>
    </row>
    <row r="11" spans="1:12" x14ac:dyDescent="0.3">
      <c r="A11" s="13"/>
      <c r="B11" s="13"/>
      <c r="C11" s="13"/>
      <c r="D11" s="13"/>
      <c r="E11" s="13"/>
      <c r="H11" s="13"/>
      <c r="L11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20" zoomScaleNormal="120" zoomScalePageLayoutView="120" workbookViewId="0">
      <selection activeCell="A3" sqref="A3"/>
    </sheetView>
  </sheetViews>
  <sheetFormatPr baseColWidth="10" defaultRowHeight="15.6" x14ac:dyDescent="0.3"/>
  <cols>
    <col min="1" max="11" width="12.5" customWidth="1"/>
    <col min="12" max="12" width="14.19921875" customWidth="1"/>
    <col min="13" max="13" width="12.796875" customWidth="1"/>
  </cols>
  <sheetData>
    <row r="1" spans="1:13" x14ac:dyDescent="0.3">
      <c r="A1" s="8" t="s">
        <v>9</v>
      </c>
      <c r="B1" s="8">
        <v>1915</v>
      </c>
      <c r="C1" s="8" t="s">
        <v>24</v>
      </c>
      <c r="D1" s="10">
        <f>1000*[1]TD1!$C$22</f>
        <v>15249089.568197712</v>
      </c>
      <c r="E1" s="8" t="s">
        <v>30</v>
      </c>
      <c r="F1" s="21">
        <f>(SUMPRODUCT(D4:D13,H4:H13,I4:I13)/(D2*B2))/((1-SUMPRODUCT(D4:D13,H4:H13,I4:I13)/B2)/(1-D2))</f>
        <v>0.84089426218294494</v>
      </c>
      <c r="G1" s="19"/>
      <c r="H1" s="16"/>
    </row>
    <row r="2" spans="1:13" x14ac:dyDescent="0.3">
      <c r="A2" s="8" t="s">
        <v>12</v>
      </c>
      <c r="B2" s="11">
        <f>[1]TD2!$M$22</f>
        <v>1529.0568617666609</v>
      </c>
      <c r="C2" s="8" t="s">
        <v>15</v>
      </c>
      <c r="D2" s="14">
        <f>[1]TD1!$F$22</f>
        <v>0.22792854212696878</v>
      </c>
      <c r="E2" s="18" t="s">
        <v>26</v>
      </c>
      <c r="I2" s="8"/>
      <c r="L2" s="14">
        <f>D2</f>
        <v>0.22792854212696878</v>
      </c>
      <c r="M2" s="71">
        <v>1.9</v>
      </c>
    </row>
    <row r="3" spans="1:13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3">
      <c r="A4" s="8">
        <v>0</v>
      </c>
      <c r="B4" s="12">
        <v>0</v>
      </c>
      <c r="C4" s="8"/>
      <c r="D4" s="14">
        <f>(D2-SUMPRODUCT(D5:D13,I5:I13))/I4</f>
        <v>0.23062032159089038</v>
      </c>
      <c r="E4" s="14"/>
      <c r="F4" s="8"/>
      <c r="G4" s="8"/>
      <c r="H4" s="17">
        <f>((1-B4)*B2-(1-B5)*C5*A5)/(B5-B4)</f>
        <v>1181.808273912445</v>
      </c>
      <c r="I4" s="18">
        <f t="shared" ref="I4:I12" si="0">B5-B4</f>
        <v>0.97939233779907231</v>
      </c>
      <c r="L4" s="14"/>
      <c r="M4" s="12">
        <v>0</v>
      </c>
    </row>
    <row r="5" spans="1:13" x14ac:dyDescent="0.3">
      <c r="A5" s="11">
        <v>5000</v>
      </c>
      <c r="B5" s="12">
        <f>1-M$2*(1-M5)</f>
        <v>0.97939233779907231</v>
      </c>
      <c r="C5" s="12">
        <v>3.6064536571502686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7479.0802760409861</v>
      </c>
      <c r="I5" s="18">
        <f t="shared" si="0"/>
        <v>9.7442686557769331E-3</v>
      </c>
      <c r="L5" s="14">
        <v>0.1</v>
      </c>
      <c r="M5" s="12">
        <v>0.98915386199951172</v>
      </c>
    </row>
    <row r="6" spans="1:13" x14ac:dyDescent="0.3">
      <c r="A6" s="11">
        <v>10000</v>
      </c>
      <c r="B6" s="12">
        <f t="shared" ref="B6:B13" si="3">1-M$2*(1-M6)</f>
        <v>0.98913660645484924</v>
      </c>
      <c r="C6" s="12">
        <v>2.7498288154602051</v>
      </c>
      <c r="D6" s="14">
        <f t="shared" si="1"/>
        <v>0.1</v>
      </c>
      <c r="E6" s="14"/>
      <c r="F6" s="8"/>
      <c r="G6" s="8"/>
      <c r="H6" s="17">
        <f t="shared" si="2"/>
        <v>12365.232486423321</v>
      </c>
      <c r="I6" s="18">
        <f t="shared" si="0"/>
        <v>4.8070728778839555E-3</v>
      </c>
      <c r="L6" s="14">
        <v>0.1</v>
      </c>
      <c r="M6" s="12">
        <v>0.99428242444992065</v>
      </c>
    </row>
    <row r="7" spans="1:13" x14ac:dyDescent="0.3">
      <c r="A7" s="11">
        <v>15000</v>
      </c>
      <c r="B7" s="12">
        <f t="shared" si="3"/>
        <v>0.9939436793327332</v>
      </c>
      <c r="C7" s="12">
        <v>2.63398814201354</v>
      </c>
      <c r="D7" s="14">
        <f t="shared" si="1"/>
        <v>0.1</v>
      </c>
      <c r="E7" s="14"/>
      <c r="H7" s="17">
        <f t="shared" si="2"/>
        <v>17429.463061362298</v>
      </c>
      <c r="I7" s="18">
        <f t="shared" si="0"/>
        <v>2.1384775638579878E-3</v>
      </c>
      <c r="L7" s="14">
        <v>0.1</v>
      </c>
      <c r="M7" s="12">
        <v>0.99681246280670166</v>
      </c>
    </row>
    <row r="8" spans="1:13" x14ac:dyDescent="0.3">
      <c r="A8" s="11">
        <v>20000</v>
      </c>
      <c r="B8" s="12">
        <f t="shared" si="3"/>
        <v>0.99608215689659119</v>
      </c>
      <c r="C8" s="12">
        <v>2.5780975818634033</v>
      </c>
      <c r="D8" s="14">
        <f t="shared" si="1"/>
        <v>0.1</v>
      </c>
      <c r="E8" s="14"/>
      <c r="H8" s="17">
        <f t="shared" si="2"/>
        <v>22623.841849759658</v>
      </c>
      <c r="I8" s="18">
        <f t="shared" si="0"/>
        <v>1.1516273021697776E-3</v>
      </c>
      <c r="L8" s="14">
        <v>0.1</v>
      </c>
      <c r="M8" s="12">
        <v>0.99793797731399536</v>
      </c>
    </row>
    <row r="9" spans="1:13" x14ac:dyDescent="0.3">
      <c r="A9" s="11">
        <v>25000</v>
      </c>
      <c r="B9" s="12">
        <f t="shared" si="3"/>
        <v>0.99723378419876096</v>
      </c>
      <c r="C9" s="12">
        <v>2.5443770885467529</v>
      </c>
      <c r="D9" s="14">
        <f t="shared" si="1"/>
        <v>0.1</v>
      </c>
      <c r="E9" s="14"/>
      <c r="H9" s="17">
        <f t="shared" ref="H9" si="4">((1-B9)*C9*A9-(1-B10)*C10*A10)/(B10-B9)</f>
        <v>33815.113940143136</v>
      </c>
      <c r="I9" s="18">
        <f t="shared" ref="I9" si="5">B10-B9</f>
        <v>1.8344044685364436E-3</v>
      </c>
      <c r="L9" s="14">
        <v>0.1</v>
      </c>
      <c r="M9" s="12">
        <v>0.99854409694671631</v>
      </c>
    </row>
    <row r="10" spans="1:13" x14ac:dyDescent="0.3">
      <c r="A10" s="11">
        <v>50000</v>
      </c>
      <c r="B10" s="12">
        <f t="shared" si="3"/>
        <v>0.99906818866729741</v>
      </c>
      <c r="C10" s="12">
        <v>2.4452762603759766</v>
      </c>
      <c r="D10" s="14">
        <f t="shared" si="1"/>
        <v>0.1</v>
      </c>
      <c r="E10" s="14"/>
      <c r="H10" s="17">
        <f t="shared" si="2"/>
        <v>66892.357427555253</v>
      </c>
      <c r="I10" s="18">
        <f t="shared" si="0"/>
        <v>6.3827037811270415E-4</v>
      </c>
      <c r="L10" s="14">
        <v>0.1</v>
      </c>
      <c r="M10" s="12">
        <v>0.99950957298278809</v>
      </c>
    </row>
    <row r="11" spans="1:13" x14ac:dyDescent="0.3">
      <c r="A11" s="11">
        <v>100000</v>
      </c>
      <c r="B11" s="12">
        <f t="shared" si="3"/>
        <v>0.99970645904541011</v>
      </c>
      <c r="C11" s="12">
        <v>2.4266254901885986</v>
      </c>
      <c r="D11" s="14">
        <f t="shared" si="1"/>
        <v>0.1</v>
      </c>
      <c r="E11" s="14"/>
      <c r="H11" s="17">
        <f t="shared" si="2"/>
        <v>135816.63915941317</v>
      </c>
      <c r="I11" s="18">
        <f t="shared" si="0"/>
        <v>1.9886493682863549E-4</v>
      </c>
      <c r="L11" s="14">
        <v>0.1</v>
      </c>
      <c r="M11" s="12">
        <v>0.99984550476074219</v>
      </c>
    </row>
    <row r="12" spans="1:13" x14ac:dyDescent="0.3">
      <c r="A12" s="11">
        <v>200000</v>
      </c>
      <c r="B12" s="12">
        <f t="shared" si="3"/>
        <v>0.99990532398223875</v>
      </c>
      <c r="C12" s="12">
        <v>2.3354504108428955</v>
      </c>
      <c r="D12" s="14">
        <f t="shared" si="1"/>
        <v>0.1</v>
      </c>
      <c r="E12" s="14"/>
      <c r="H12" s="17">
        <f t="shared" si="2"/>
        <v>291550.31408222509</v>
      </c>
      <c r="I12" s="18">
        <f t="shared" si="0"/>
        <v>7.8368186950728003E-5</v>
      </c>
      <c r="L12" s="14">
        <v>0.1</v>
      </c>
      <c r="M12" s="12">
        <v>0.99995017051696777</v>
      </c>
    </row>
    <row r="13" spans="1:13" x14ac:dyDescent="0.3">
      <c r="A13" s="11">
        <v>500000</v>
      </c>
      <c r="B13" s="12">
        <f t="shared" si="3"/>
        <v>0.99998369216918948</v>
      </c>
      <c r="C13" s="12">
        <v>2.6213123798370361</v>
      </c>
      <c r="D13" s="14">
        <f t="shared" si="1"/>
        <v>0.1</v>
      </c>
      <c r="E13" s="14"/>
      <c r="H13" s="17">
        <f>C13*A13</f>
        <v>1310656.1899185181</v>
      </c>
      <c r="I13" s="18">
        <f>1-B13</f>
        <v>1.6307830810524671E-5</v>
      </c>
      <c r="L13" s="14">
        <v>0.1</v>
      </c>
      <c r="M13" s="12">
        <v>0.99999141693115234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1951</v>
      </c>
      <c r="C1" s="8" t="s">
        <v>24</v>
      </c>
      <c r="D1" s="10">
        <f>1000*[1]TD1!$C$58</f>
        <v>17204642.136917062</v>
      </c>
      <c r="E1" s="8" t="s">
        <v>30</v>
      </c>
      <c r="F1" s="21">
        <f>(SUMPRODUCT(D4:D10,H4:H10,I4:I10)/(D2*B2))/((1-SUMPRODUCT(D4:D10,H4:H10,I4:I10)/B2)/(1-D2))</f>
        <v>0.6805759993671715</v>
      </c>
      <c r="G1" s="19"/>
      <c r="H1" s="16"/>
    </row>
    <row r="2" spans="1:12" x14ac:dyDescent="0.3">
      <c r="A2" s="8" t="s">
        <v>12</v>
      </c>
      <c r="B2" s="11">
        <f>[1]TD2!$M$58</f>
        <v>420.2061930992171</v>
      </c>
      <c r="C2" s="8" t="s">
        <v>15</v>
      </c>
      <c r="D2" s="14">
        <f>[1]TD1!$F$58</f>
        <v>0.24384048147149429</v>
      </c>
      <c r="E2" s="18" t="s">
        <v>26</v>
      </c>
      <c r="I2" s="8"/>
      <c r="L2" s="14">
        <f>D2</f>
        <v>0.24384048147149429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(D2-SUMPRODUCT(D5:D10,I5:I10))/I4</f>
        <v>0.29389523716461735</v>
      </c>
      <c r="E4" s="14"/>
      <c r="F4" s="8"/>
      <c r="G4" s="8"/>
      <c r="H4" s="17">
        <f>((1-B4)*B2-(1-B5)*A5*C5)/(B5-B4)</f>
        <v>242.2780113553269</v>
      </c>
      <c r="I4" s="18">
        <f t="shared" ref="I4:I9" si="0">B5-B4</f>
        <v>0.74262315964143988</v>
      </c>
      <c r="L4" s="14"/>
    </row>
    <row r="5" spans="1:12" x14ac:dyDescent="0.3">
      <c r="A5" s="11">
        <v>535.09605050331038</v>
      </c>
      <c r="B5" s="12">
        <v>0.74262315964143988</v>
      </c>
      <c r="C5" s="12">
        <v>1.744718334167108</v>
      </c>
      <c r="D5" s="14">
        <f t="shared" ref="D5:D10" si="1">L5*D$2/L$2</f>
        <v>0.10716220753584367</v>
      </c>
      <c r="E5" s="14"/>
      <c r="H5" s="17">
        <f t="shared" ref="H5:H9" si="2">((1-B5)*C5*A5-(1-B6)*C6*A6)/(B6-B5)</f>
        <v>683.14179967298742</v>
      </c>
      <c r="I5" s="18">
        <f t="shared" si="0"/>
        <v>0.18410409957016949</v>
      </c>
      <c r="L5" s="14">
        <v>0.10716220753584367</v>
      </c>
    </row>
    <row r="6" spans="1:12" x14ac:dyDescent="0.3">
      <c r="A6" s="11">
        <v>916.2185935968364</v>
      </c>
      <c r="B6" s="12">
        <v>0.92672725921160937</v>
      </c>
      <c r="C6" s="12">
        <v>1.7057822414132491</v>
      </c>
      <c r="D6" s="14">
        <f t="shared" si="1"/>
        <v>8.1538661745869198E-2</v>
      </c>
      <c r="E6" s="14"/>
      <c r="H6" s="17">
        <f t="shared" si="2"/>
        <v>1093.669643007705</v>
      </c>
      <c r="I6" s="18">
        <f t="shared" si="0"/>
        <v>4.7275408985490541E-2</v>
      </c>
      <c r="L6" s="14">
        <v>8.1538661745869198E-2</v>
      </c>
    </row>
    <row r="7" spans="1:12" x14ac:dyDescent="0.3">
      <c r="A7" s="11">
        <v>1373.5656453090676</v>
      </c>
      <c r="B7" s="12">
        <v>0.97400266819709991</v>
      </c>
      <c r="C7" s="12">
        <v>1.7589955370642112</v>
      </c>
      <c r="D7" s="14">
        <f t="shared" si="1"/>
        <v>7.424744376796516E-2</v>
      </c>
      <c r="E7" s="14"/>
      <c r="H7" s="17">
        <f t="shared" si="2"/>
        <v>1694.5260971760108</v>
      </c>
      <c r="I7" s="18">
        <f t="shared" si="0"/>
        <v>1.8444486532078086E-2</v>
      </c>
      <c r="L7" s="14">
        <v>7.424744376796516E-2</v>
      </c>
    </row>
    <row r="8" spans="1:12" x14ac:dyDescent="0.3">
      <c r="A8" s="11">
        <v>2288.2597487335297</v>
      </c>
      <c r="B8" s="12">
        <v>0.99244715472917799</v>
      </c>
      <c r="C8" s="12">
        <v>1.8259338938111935</v>
      </c>
      <c r="D8" s="14">
        <f t="shared" si="1"/>
        <v>8.2005701827938954E-2</v>
      </c>
      <c r="E8" s="14"/>
      <c r="H8" s="17">
        <f t="shared" si="2"/>
        <v>3018.8878643058679</v>
      </c>
      <c r="I8" s="18">
        <f t="shared" si="0"/>
        <v>5.8920725693260012E-3</v>
      </c>
      <c r="L8" s="14">
        <v>8.2005701827938954E-2</v>
      </c>
    </row>
    <row r="9" spans="1:12" x14ac:dyDescent="0.3">
      <c r="A9" s="11">
        <v>4574.9950072946858</v>
      </c>
      <c r="B9" s="12">
        <v>0.998339227298504</v>
      </c>
      <c r="C9" s="12">
        <v>1.8122961917534388</v>
      </c>
      <c r="D9" s="14">
        <f t="shared" si="1"/>
        <v>8.8862984218077479E-2</v>
      </c>
      <c r="E9" s="14"/>
      <c r="H9" s="17">
        <f t="shared" si="2"/>
        <v>6064.5372813954791</v>
      </c>
      <c r="I9" s="18">
        <f t="shared" si="0"/>
        <v>1.2963943000093847E-3</v>
      </c>
      <c r="L9" s="14">
        <v>8.8862984218077479E-2</v>
      </c>
    </row>
    <row r="10" spans="1:12" x14ac:dyDescent="0.3">
      <c r="A10" s="11">
        <v>9146.9410342446226</v>
      </c>
      <c r="B10" s="12">
        <v>0.99963562159851338</v>
      </c>
      <c r="C10" s="12">
        <v>1.7725580900728453</v>
      </c>
      <c r="D10" s="14">
        <f t="shared" si="1"/>
        <v>9.7304195246450786E-2</v>
      </c>
      <c r="E10" s="14"/>
      <c r="H10" s="17">
        <f>C10*A10</f>
        <v>16213.484329669584</v>
      </c>
      <c r="I10" s="18">
        <f>1-B10</f>
        <v>3.6437840148662026E-4</v>
      </c>
      <c r="L10" s="14">
        <v>9.7304195246450786E-2</v>
      </c>
    </row>
    <row r="11" spans="1:12" x14ac:dyDescent="0.3">
      <c r="A11" s="13"/>
      <c r="B11" s="13"/>
      <c r="C11" s="13"/>
      <c r="D11" s="13"/>
      <c r="E11" s="13"/>
      <c r="H11" s="13"/>
      <c r="L11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1952</v>
      </c>
      <c r="C1" s="8" t="s">
        <v>24</v>
      </c>
      <c r="D1" s="10">
        <f>1000*[1]TD1!$C$59</f>
        <v>17302224.45507849</v>
      </c>
      <c r="E1" s="8" t="s">
        <v>30</v>
      </c>
      <c r="F1" s="21">
        <f>(SUMPRODUCT(D4:D10,H4:H10,I4:I10)/(D2*B2))/((1-SUMPRODUCT(D4:D10,H4:H10,I4:I10)/B2)/(1-D2))</f>
        <v>0.79016274396565966</v>
      </c>
      <c r="G1" s="19"/>
      <c r="H1" s="16"/>
    </row>
    <row r="2" spans="1:12" x14ac:dyDescent="0.3">
      <c r="A2" s="8" t="s">
        <v>12</v>
      </c>
      <c r="B2" s="11">
        <f>[1]TD2!$M$59</f>
        <v>491.14101914003879</v>
      </c>
      <c r="C2" s="8" t="s">
        <v>15</v>
      </c>
      <c r="D2" s="14">
        <f>[1]TD1!$F$59</f>
        <v>0.24406869584896995</v>
      </c>
      <c r="E2" s="18" t="s">
        <v>26</v>
      </c>
      <c r="I2" s="8"/>
      <c r="L2" s="14">
        <f>D2</f>
        <v>0.24406869584896995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(D2-SUMPRODUCT(D5:D10,I5:I10))/I4</f>
        <v>0.26197442215761346</v>
      </c>
      <c r="E4" s="14"/>
      <c r="F4" s="8"/>
      <c r="G4" s="8"/>
      <c r="H4" s="17">
        <f>((1-B4)*B2-(1-B5)*A5*C5)/(B5-B4)</f>
        <v>364.05739806400402</v>
      </c>
      <c r="I4" s="18">
        <f t="shared" ref="I4:I9" si="0">B5-B4</f>
        <v>0.89640154314067955</v>
      </c>
      <c r="L4" s="14"/>
    </row>
    <row r="5" spans="1:12" x14ac:dyDescent="0.3">
      <c r="A5" s="11">
        <v>916.2185935968364</v>
      </c>
      <c r="B5" s="12">
        <v>0.89640154314067955</v>
      </c>
      <c r="C5" s="12">
        <v>1.7362139997202939</v>
      </c>
      <c r="D5" s="14">
        <f t="shared" ref="D5:D10" si="1">L5*D$2/L$2</f>
        <v>9.6002141625367271E-2</v>
      </c>
      <c r="E5" s="14"/>
      <c r="H5" s="17">
        <f t="shared" ref="H5:H9" si="2">((1-B5)*C5*A5-(1-B6)*C6*A6)/(B6-B5)</f>
        <v>1097.521666005217</v>
      </c>
      <c r="I5" s="18">
        <f t="shared" si="0"/>
        <v>6.4582620080328001E-2</v>
      </c>
      <c r="L5" s="14">
        <v>9.6002141625367271E-2</v>
      </c>
    </row>
    <row r="6" spans="1:12" x14ac:dyDescent="0.3">
      <c r="A6" s="11">
        <v>1373.5656453090676</v>
      </c>
      <c r="B6" s="12">
        <v>0.96098416322100755</v>
      </c>
      <c r="C6" s="12">
        <v>1.7525127095667881</v>
      </c>
      <c r="D6" s="14">
        <f t="shared" si="1"/>
        <v>7.6278222144643248E-2</v>
      </c>
      <c r="E6" s="14"/>
      <c r="H6" s="17">
        <f t="shared" si="2"/>
        <v>1699.6806459044888</v>
      </c>
      <c r="I6" s="18">
        <f t="shared" si="0"/>
        <v>2.7575747066024836E-2</v>
      </c>
      <c r="L6" s="14">
        <v>7.6278222144643248E-2</v>
      </c>
    </row>
    <row r="7" spans="1:12" x14ac:dyDescent="0.3">
      <c r="A7" s="11">
        <v>2288.2597487335297</v>
      </c>
      <c r="B7" s="12">
        <v>0.98855991028703238</v>
      </c>
      <c r="C7" s="12">
        <v>1.7972649862361281</v>
      </c>
      <c r="D7" s="14">
        <f t="shared" si="1"/>
        <v>8.0317315653340354E-2</v>
      </c>
      <c r="E7" s="14"/>
      <c r="H7" s="17">
        <f t="shared" si="2"/>
        <v>3017.5330322782197</v>
      </c>
      <c r="I7" s="18">
        <f t="shared" si="0"/>
        <v>9.0050270937427346E-3</v>
      </c>
      <c r="L7" s="14">
        <v>8.0317315653340354E-2</v>
      </c>
    </row>
    <row r="8" spans="1:12" x14ac:dyDescent="0.3">
      <c r="A8" s="11">
        <v>4574.9950072946858</v>
      </c>
      <c r="B8" s="12">
        <v>0.99756493738077512</v>
      </c>
      <c r="C8" s="12">
        <v>1.7841057632835007</v>
      </c>
      <c r="D8" s="14">
        <f t="shared" si="1"/>
        <v>8.2581582611854457E-2</v>
      </c>
      <c r="E8" s="14"/>
      <c r="H8" s="17">
        <f t="shared" si="2"/>
        <v>6066.0254954755119</v>
      </c>
      <c r="I8" s="18">
        <f t="shared" si="0"/>
        <v>1.9092342771165338E-3</v>
      </c>
      <c r="L8" s="14">
        <v>8.2581582611854457E-2</v>
      </c>
    </row>
    <row r="9" spans="1:12" x14ac:dyDescent="0.3">
      <c r="A9" s="11">
        <v>9146.9410342446226</v>
      </c>
      <c r="B9" s="12">
        <v>0.99947417165789165</v>
      </c>
      <c r="C9" s="12">
        <v>1.7244632519967757</v>
      </c>
      <c r="D9" s="14">
        <f t="shared" si="1"/>
        <v>8.8988476312419976E-2</v>
      </c>
      <c r="E9" s="14"/>
      <c r="H9" s="17">
        <f t="shared" si="2"/>
        <v>11375.605124269752</v>
      </c>
      <c r="I9" s="18">
        <f t="shared" si="0"/>
        <v>3.611096374470657E-4</v>
      </c>
      <c r="L9" s="14">
        <v>8.8988476312419976E-2</v>
      </c>
    </row>
    <row r="10" spans="1:12" x14ac:dyDescent="0.3">
      <c r="A10" s="11">
        <v>15244.901723741039</v>
      </c>
      <c r="B10" s="12">
        <v>0.99983528129533872</v>
      </c>
      <c r="C10" s="12">
        <v>1.6671228070175439</v>
      </c>
      <c r="D10" s="14">
        <f t="shared" si="1"/>
        <v>0.10842105263157895</v>
      </c>
      <c r="E10" s="14"/>
      <c r="H10" s="17">
        <f>C10*A10</f>
        <v>25415.123354389754</v>
      </c>
      <c r="I10" s="18">
        <f>1-B10</f>
        <v>1.6471870466128191E-4</v>
      </c>
      <c r="L10" s="14">
        <v>0.10842105263157895</v>
      </c>
    </row>
    <row r="11" spans="1:12" x14ac:dyDescent="0.3">
      <c r="A11" s="13"/>
      <c r="B11" s="13"/>
      <c r="C11" s="13"/>
      <c r="D11" s="13"/>
      <c r="E11" s="13"/>
      <c r="H11" s="13"/>
      <c r="L11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1953</v>
      </c>
      <c r="C1" s="8" t="s">
        <v>24</v>
      </c>
      <c r="D1" s="10">
        <f>1000*[1]TD1!$C$60</f>
        <v>17410185.264045775</v>
      </c>
      <c r="E1" s="8" t="s">
        <v>30</v>
      </c>
      <c r="F1" s="21">
        <f>(SUMPRODUCT(D4:D11,H4:H11,I4:I11)/(D2*B2))/((1-SUMPRODUCT(D4:D11,H4:H11,I4:I11)/B2)/(1-D2))</f>
        <v>0.73048433082620789</v>
      </c>
      <c r="G1" s="19"/>
      <c r="H1" s="16"/>
    </row>
    <row r="2" spans="1:12" x14ac:dyDescent="0.3">
      <c r="A2" s="8" t="s">
        <v>12</v>
      </c>
      <c r="B2" s="11">
        <f>[1]TD2!$M$60</f>
        <v>474.06047482809873</v>
      </c>
      <c r="C2" s="8" t="s">
        <v>15</v>
      </c>
      <c r="D2" s="14">
        <f>[1]TD1!$F$60</f>
        <v>0.24393883539805161</v>
      </c>
      <c r="E2" s="18" t="s">
        <v>26</v>
      </c>
      <c r="I2" s="8"/>
      <c r="L2" s="14">
        <f>D2</f>
        <v>0.24393883539805161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(D2-SUMPRODUCT(D5:D11,I5:I11))/I4</f>
        <v>0.28178283829534928</v>
      </c>
      <c r="E4" s="14"/>
      <c r="F4" s="8"/>
      <c r="G4" s="8"/>
      <c r="H4" s="17">
        <f>((1-B4)*B2-(1-B5)*A5*C5)/(B5-B4)</f>
        <v>260.78814728345782</v>
      </c>
      <c r="I4" s="18">
        <f t="shared" ref="I4:I5" si="0">B5-B4</f>
        <v>0.70203875497666635</v>
      </c>
      <c r="L4" s="14"/>
    </row>
    <row r="5" spans="1:12" x14ac:dyDescent="0.3">
      <c r="A5" s="11">
        <v>533.57156033093634</v>
      </c>
      <c r="B5" s="12">
        <v>0.70203875497666635</v>
      </c>
      <c r="C5" s="8">
        <v>1.8302328267037269</v>
      </c>
      <c r="D5" s="14">
        <f t="shared" ref="D5:D11" si="1">L5*D$2/L$2</f>
        <v>0.187074361314227</v>
      </c>
      <c r="E5" s="14"/>
      <c r="F5" s="8"/>
      <c r="G5" s="8"/>
      <c r="H5" s="17">
        <f t="shared" ref="H5" si="2">((1-B5)*C5*A5-(1-B6)*C6*A6)/(B6-B5)</f>
        <v>682.8869850632226</v>
      </c>
      <c r="I5" s="18">
        <f t="shared" si="0"/>
        <v>0.20394541149842149</v>
      </c>
      <c r="L5" s="14">
        <v>0.187074361314227</v>
      </c>
    </row>
    <row r="6" spans="1:12" x14ac:dyDescent="0.3">
      <c r="A6" s="11">
        <v>914.69410342446224</v>
      </c>
      <c r="B6" s="12">
        <v>0.90598416647508784</v>
      </c>
      <c r="C6" s="8">
        <v>1.7641041476385888</v>
      </c>
      <c r="D6" s="14">
        <f t="shared" si="1"/>
        <v>8.7074361314227355E-2</v>
      </c>
      <c r="E6" s="14"/>
      <c r="H6" s="17">
        <f t="shared" ref="H6:H10" si="3">((1-B6)*C6*A6-(1-B7)*C7*A7)/(B7-B6)</f>
        <v>1097.5875592802167</v>
      </c>
      <c r="I6" s="18">
        <f t="shared" ref="I6:I10" si="4">B7-B6</f>
        <v>5.8236424358203642E-2</v>
      </c>
      <c r="L6" s="14">
        <v>8.7074361314227355E-2</v>
      </c>
    </row>
    <row r="7" spans="1:12" x14ac:dyDescent="0.3">
      <c r="A7" s="11">
        <v>1372.0411551366935</v>
      </c>
      <c r="B7" s="12">
        <v>0.96422059083329148</v>
      </c>
      <c r="C7" s="12">
        <v>1.7882333841802995</v>
      </c>
      <c r="D7" s="14">
        <f t="shared" si="1"/>
        <v>8.0540336342865962E-2</v>
      </c>
      <c r="E7" s="14"/>
      <c r="H7" s="17">
        <f t="shared" si="3"/>
        <v>1699.1605885457957</v>
      </c>
      <c r="I7" s="18">
        <f t="shared" si="4"/>
        <v>2.4817320188015524E-2</v>
      </c>
      <c r="L7" s="14">
        <v>8.0540336342865962E-2</v>
      </c>
    </row>
    <row r="8" spans="1:12" x14ac:dyDescent="0.3">
      <c r="A8" s="11">
        <v>2286.7352585611557</v>
      </c>
      <c r="B8" s="12">
        <v>0.989037911021307</v>
      </c>
      <c r="C8" s="12">
        <v>1.8197835670222651</v>
      </c>
      <c r="D8" s="14">
        <f t="shared" si="1"/>
        <v>8.0691104946948117E-2</v>
      </c>
      <c r="E8" s="14"/>
      <c r="H8" s="17">
        <f t="shared" si="3"/>
        <v>3029.8881317754367</v>
      </c>
      <c r="I8" s="18">
        <f t="shared" si="4"/>
        <v>8.553498871004761E-3</v>
      </c>
      <c r="L8" s="14">
        <v>8.0691104946948117E-2</v>
      </c>
    </row>
    <row r="9" spans="1:12" x14ac:dyDescent="0.3">
      <c r="A9" s="11">
        <v>4573.4705171223113</v>
      </c>
      <c r="B9" s="12">
        <v>0.99759140989231176</v>
      </c>
      <c r="C9" s="12">
        <v>1.7884691817300202</v>
      </c>
      <c r="D9" s="14">
        <f t="shared" si="1"/>
        <v>8.26671062391824E-2</v>
      </c>
      <c r="E9" s="14"/>
      <c r="H9" s="17">
        <f t="shared" si="3"/>
        <v>6051.7934261823475</v>
      </c>
      <c r="I9" s="18">
        <f t="shared" si="4"/>
        <v>1.8947529563699828E-3</v>
      </c>
      <c r="L9" s="14">
        <v>8.26671062391824E-2</v>
      </c>
    </row>
    <row r="10" spans="1:12" x14ac:dyDescent="0.3">
      <c r="A10" s="11">
        <v>9146.9410342446226</v>
      </c>
      <c r="B10" s="12">
        <v>0.99948616284868175</v>
      </c>
      <c r="C10" s="12">
        <v>1.7519934421342873</v>
      </c>
      <c r="D10" s="14">
        <f t="shared" si="1"/>
        <v>8.6792452830188674E-2</v>
      </c>
      <c r="E10" s="14"/>
      <c r="H10" s="17">
        <f t="shared" si="3"/>
        <v>11395.07053446717</v>
      </c>
      <c r="I10" s="18">
        <f t="shared" si="4"/>
        <v>3.5042705792454054E-4</v>
      </c>
      <c r="L10" s="14">
        <v>8.6792452830188674E-2</v>
      </c>
    </row>
    <row r="11" spans="1:12" x14ac:dyDescent="0.3">
      <c r="A11" s="11">
        <v>15244.901723741039</v>
      </c>
      <c r="B11" s="12">
        <v>0.99983658990660629</v>
      </c>
      <c r="C11" s="12">
        <v>1.702530755711775</v>
      </c>
      <c r="D11" s="14">
        <f t="shared" si="1"/>
        <v>0.10079312623925975</v>
      </c>
      <c r="E11" s="14"/>
      <c r="H11" s="17">
        <f>C11*A11</f>
        <v>25954.914052472574</v>
      </c>
      <c r="I11" s="18">
        <f>1-B11</f>
        <v>1.6341009339371215E-4</v>
      </c>
      <c r="L11" s="14">
        <v>0.10079312623925975</v>
      </c>
    </row>
    <row r="12" spans="1:12" x14ac:dyDescent="0.3">
      <c r="A12" s="13"/>
      <c r="B12" s="13"/>
      <c r="C12" s="13"/>
      <c r="D12" s="13"/>
      <c r="E12" s="13"/>
      <c r="H12" s="13"/>
      <c r="L12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>
      <selection activeCell="B2" sqref="B2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1954</v>
      </c>
      <c r="C1" s="8" t="s">
        <v>24</v>
      </c>
      <c r="D1" s="10">
        <f>1000*[1]TD1!$C$61</f>
        <v>17497477.148364056</v>
      </c>
      <c r="E1" s="8" t="s">
        <v>30</v>
      </c>
      <c r="F1" s="21">
        <f>(SUMPRODUCT(D4:D10,H4:H10,I4:I10)/(D2*B2))/((1-SUMPRODUCT(D4:D10,H4:H10,I4:I10)/B2)/(1-D2))</f>
        <v>0.78213293874524237</v>
      </c>
      <c r="G1" s="19"/>
      <c r="H1" s="16"/>
    </row>
    <row r="2" spans="1:12" x14ac:dyDescent="0.3">
      <c r="A2" s="8" t="s">
        <v>12</v>
      </c>
      <c r="B2" s="11">
        <f>[1]TD2!$M$61</f>
        <v>472.73137670756199</v>
      </c>
      <c r="C2" s="8" t="s">
        <v>15</v>
      </c>
      <c r="D2" s="14">
        <f>[1]TD1!$F$61</f>
        <v>0.24578039440886457</v>
      </c>
      <c r="E2" s="18" t="s">
        <v>26</v>
      </c>
      <c r="I2" s="8"/>
      <c r="L2" s="14">
        <f>D2</f>
        <v>0.24578039440886457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(D2-SUMPRODUCT(D5:D10,I5:I10))/I4</f>
        <v>0.26313154555449081</v>
      </c>
      <c r="E4" s="14"/>
      <c r="F4" s="8"/>
      <c r="G4" s="8"/>
      <c r="H4" s="17">
        <f>((1-B4)*B2-(1-B5)*A5*C5)/(B5-B4)</f>
        <v>347.99176921733414</v>
      </c>
      <c r="I4" s="18">
        <f t="shared" ref="I4:I9" si="0">B5-B4</f>
        <v>0.902765218874649</v>
      </c>
      <c r="L4" s="14"/>
    </row>
    <row r="5" spans="1:12" x14ac:dyDescent="0.3">
      <c r="A5" s="11">
        <v>916.2185935968364</v>
      </c>
      <c r="B5" s="12">
        <v>0.902765218874649</v>
      </c>
      <c r="C5" s="8">
        <v>1.7799922700442166</v>
      </c>
      <c r="D5" s="14">
        <f t="shared" ref="D5:D10" si="1">L5*D$2/L$2</f>
        <v>8.7074361314227355E-2</v>
      </c>
      <c r="E5" s="14"/>
      <c r="H5" s="17">
        <f t="shared" ref="H5:H9" si="2">((1-B5)*C5*A5-(1-B6)*C6*A6)/(B6-B5)</f>
        <v>1098.182917013188</v>
      </c>
      <c r="I5" s="18">
        <f t="shared" si="0"/>
        <v>5.9899645129937173E-2</v>
      </c>
      <c r="L5" s="14">
        <v>8.7074361314227355E-2</v>
      </c>
    </row>
    <row r="6" spans="1:12" x14ac:dyDescent="0.3">
      <c r="A6" s="11">
        <v>1373.5656453090676</v>
      </c>
      <c r="B6" s="12">
        <v>0.96266486400458617</v>
      </c>
      <c r="C6" s="12">
        <v>1.8095096371695127</v>
      </c>
      <c r="D6" s="14">
        <f t="shared" si="1"/>
        <v>8.0540336342865962E-2</v>
      </c>
      <c r="E6" s="14"/>
      <c r="H6" s="17">
        <f t="shared" si="2"/>
        <v>1701.1692841033398</v>
      </c>
      <c r="I6" s="18">
        <f t="shared" si="0"/>
        <v>2.5514231858994485E-2</v>
      </c>
      <c r="L6" s="14">
        <v>8.0540336342865962E-2</v>
      </c>
    </row>
    <row r="7" spans="1:12" x14ac:dyDescent="0.3">
      <c r="A7" s="11">
        <v>2288.2597487335297</v>
      </c>
      <c r="B7" s="12">
        <v>0.98817909586358066</v>
      </c>
      <c r="C7" s="12">
        <v>1.8259887698041244</v>
      </c>
      <c r="D7" s="14">
        <f t="shared" si="1"/>
        <v>8.0691104946948117E-2</v>
      </c>
      <c r="E7" s="14"/>
      <c r="H7" s="17">
        <f t="shared" si="2"/>
        <v>3039.0721921097097</v>
      </c>
      <c r="I7" s="18">
        <f t="shared" si="0"/>
        <v>9.1890961557867801E-3</v>
      </c>
      <c r="L7" s="14">
        <v>8.0691104946948117E-2</v>
      </c>
    </row>
    <row r="8" spans="1:12" x14ac:dyDescent="0.3">
      <c r="A8" s="11">
        <v>4574.9950072946858</v>
      </c>
      <c r="B8" s="12">
        <v>0.99736819201936744</v>
      </c>
      <c r="C8" s="12">
        <v>1.7827644133099319</v>
      </c>
      <c r="D8" s="14">
        <f t="shared" si="1"/>
        <v>8.26671062391824E-2</v>
      </c>
      <c r="E8" s="14"/>
      <c r="H8" s="17">
        <f t="shared" si="2"/>
        <v>6055.784761487891</v>
      </c>
      <c r="I8" s="18">
        <f t="shared" si="0"/>
        <v>2.0802427510758781E-3</v>
      </c>
      <c r="L8" s="14">
        <v>8.26671062391824E-2</v>
      </c>
    </row>
    <row r="9" spans="1:12" x14ac:dyDescent="0.3">
      <c r="A9" s="11">
        <v>9146.9410342446226</v>
      </c>
      <c r="B9" s="12">
        <v>0.99944843477044332</v>
      </c>
      <c r="C9" s="12">
        <v>1.7577107726315062</v>
      </c>
      <c r="D9" s="14">
        <f t="shared" si="1"/>
        <v>8.6792452830188674E-2</v>
      </c>
      <c r="E9" s="14"/>
      <c r="H9" s="17">
        <f t="shared" si="2"/>
        <v>11379.484981772364</v>
      </c>
      <c r="I9" s="18">
        <f t="shared" si="0"/>
        <v>3.786260124145624E-4</v>
      </c>
      <c r="L9" s="14">
        <v>8.6792452830188674E-2</v>
      </c>
    </row>
    <row r="10" spans="1:12" x14ac:dyDescent="0.3">
      <c r="A10" s="11">
        <v>15244.901723741039</v>
      </c>
      <c r="B10" s="12">
        <v>0.99982706078285788</v>
      </c>
      <c r="C10" s="12">
        <v>1.7293456708526107</v>
      </c>
      <c r="D10" s="14">
        <f t="shared" si="1"/>
        <v>0.10079312623925975</v>
      </c>
      <c r="E10" s="14"/>
      <c r="H10" s="17">
        <f>C10*A10</f>
        <v>26363.704798525068</v>
      </c>
      <c r="I10" s="18">
        <f>1-B10</f>
        <v>1.7293921714212068E-4</v>
      </c>
      <c r="L10" s="14">
        <v>0.10079312623925975</v>
      </c>
    </row>
    <row r="11" spans="1:12" x14ac:dyDescent="0.3">
      <c r="A11" s="13"/>
      <c r="B11" s="13"/>
      <c r="C11" s="13"/>
      <c r="D11" s="13"/>
      <c r="E11" s="13"/>
      <c r="H11" s="13"/>
      <c r="L11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1955</v>
      </c>
      <c r="C1" s="8" t="s">
        <v>24</v>
      </c>
      <c r="D1" s="10">
        <f>1000*[1]TD1!$C$62</f>
        <v>17647342.953881387</v>
      </c>
      <c r="E1" s="8" t="s">
        <v>30</v>
      </c>
      <c r="F1" s="21">
        <f>(SUMPRODUCT(D4:D10,H4:H10,I4:I10)/(D2*B2))/((1-SUMPRODUCT(D4:D10,H4:H10,I4:I10)/B2)/(1-D2))</f>
        <v>0.75107608827959094</v>
      </c>
      <c r="G1" s="19"/>
      <c r="H1" s="16"/>
    </row>
    <row r="2" spans="1:12" x14ac:dyDescent="0.3">
      <c r="A2" s="8" t="s">
        <v>12</v>
      </c>
      <c r="B2" s="11">
        <f>[1]TD2!$M$62</f>
        <v>508.61460067577462</v>
      </c>
      <c r="C2" s="8" t="s">
        <v>15</v>
      </c>
      <c r="D2" s="14">
        <f>[1]TD1!$F$62</f>
        <v>0.25015767935292477</v>
      </c>
      <c r="E2" s="18" t="s">
        <v>26</v>
      </c>
      <c r="I2" s="8"/>
      <c r="L2" s="14">
        <f>D2</f>
        <v>0.25015767935292477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(D2-SUMPRODUCT(D5:D10,I5:I10))/I4</f>
        <v>0.27205888606771317</v>
      </c>
      <c r="E4" s="14"/>
      <c r="F4" s="8"/>
      <c r="G4" s="8"/>
      <c r="H4" s="17">
        <f>((1-B4)*B2-(1-B5)*A5*C5)/(B5-B4)</f>
        <v>353.96901939513538</v>
      </c>
      <c r="I4" s="18">
        <f t="shared" ref="I4:I9" si="0">B5-B4</f>
        <v>0.88014806346312269</v>
      </c>
      <c r="L4" s="14"/>
    </row>
    <row r="5" spans="1:12" x14ac:dyDescent="0.3">
      <c r="A5" s="11">
        <v>916.2185935968364</v>
      </c>
      <c r="B5" s="12">
        <v>0.88014806346312269</v>
      </c>
      <c r="C5" s="8">
        <v>1.7946309615118825</v>
      </c>
      <c r="D5" s="14">
        <f t="shared" ref="D5:D10" si="1">L5*D$2/L$2</f>
        <v>9.5112211403822269E-2</v>
      </c>
      <c r="E5" s="14"/>
      <c r="H5" s="17">
        <f t="shared" ref="H5:H9" si="2">((1-B5)*C5*A5-(1-B6)*C6*A6)/(B6-B5)</f>
        <v>1101.6028537949403</v>
      </c>
      <c r="I5" s="18">
        <f t="shared" si="0"/>
        <v>7.2333991552194554E-2</v>
      </c>
      <c r="L5" s="14">
        <v>9.5112211403822269E-2</v>
      </c>
    </row>
    <row r="6" spans="1:12" x14ac:dyDescent="0.3">
      <c r="A6" s="11">
        <v>1373.5656453090676</v>
      </c>
      <c r="B6" s="12">
        <v>0.95248205501531724</v>
      </c>
      <c r="C6" s="12">
        <v>1.7984968676426452</v>
      </c>
      <c r="D6" s="14">
        <f t="shared" si="1"/>
        <v>8.0371480279852331E-2</v>
      </c>
      <c r="E6" s="14"/>
      <c r="H6" s="17">
        <f t="shared" si="2"/>
        <v>1703.5525633465097</v>
      </c>
      <c r="I6" s="18">
        <f t="shared" si="0"/>
        <v>3.2668400739702674E-2</v>
      </c>
      <c r="L6" s="14">
        <v>8.0371480279852331E-2</v>
      </c>
    </row>
    <row r="7" spans="1:12" x14ac:dyDescent="0.3">
      <c r="A7" s="11">
        <v>2288.2597487335297</v>
      </c>
      <c r="B7" s="12">
        <v>0.98515045575501992</v>
      </c>
      <c r="C7" s="12">
        <v>1.8167888455961974</v>
      </c>
      <c r="D7" s="14">
        <f t="shared" si="1"/>
        <v>8.026834463677987E-2</v>
      </c>
      <c r="E7" s="14"/>
      <c r="H7" s="17">
        <f t="shared" si="2"/>
        <v>3030.2055594311428</v>
      </c>
      <c r="I7" s="18">
        <f t="shared" si="0"/>
        <v>1.15719970158501E-2</v>
      </c>
      <c r="L7" s="14">
        <v>8.026834463677987E-2</v>
      </c>
    </row>
    <row r="8" spans="1:12" x14ac:dyDescent="0.3">
      <c r="A8" s="11">
        <v>4574.9950072946858</v>
      </c>
      <c r="B8" s="12">
        <v>0.99672245277087002</v>
      </c>
      <c r="C8" s="12">
        <v>1.7785046754816167</v>
      </c>
      <c r="D8" s="14">
        <f t="shared" si="1"/>
        <v>8.0961320178119273E-2</v>
      </c>
      <c r="E8" s="14"/>
      <c r="H8" s="17">
        <f t="shared" si="2"/>
        <v>6049.4094111959676</v>
      </c>
      <c r="I8" s="18">
        <f t="shared" si="0"/>
        <v>2.5959715363226277E-3</v>
      </c>
      <c r="L8" s="14">
        <v>8.0961320178119273E-2</v>
      </c>
    </row>
    <row r="9" spans="1:12" x14ac:dyDescent="0.3">
      <c r="A9" s="11">
        <v>9146.9410342446226</v>
      </c>
      <c r="B9" s="12">
        <v>0.99931842430719264</v>
      </c>
      <c r="C9" s="12">
        <v>1.7586742046336326</v>
      </c>
      <c r="D9" s="14">
        <f t="shared" si="1"/>
        <v>8.5573098710377243E-2</v>
      </c>
      <c r="E9" s="14"/>
      <c r="H9" s="17">
        <f t="shared" si="2"/>
        <v>11352.187635285092</v>
      </c>
      <c r="I9" s="18">
        <f t="shared" si="0"/>
        <v>4.7015576348707899E-4</v>
      </c>
      <c r="L9" s="14">
        <v>8.5573098710377243E-2</v>
      </c>
    </row>
    <row r="10" spans="1:12" x14ac:dyDescent="0.3">
      <c r="A10" s="11">
        <v>15244.901723741039</v>
      </c>
      <c r="B10" s="12">
        <v>0.99978858007067972</v>
      </c>
      <c r="C10" s="12">
        <v>1.745805414098097</v>
      </c>
      <c r="D10" s="14">
        <f t="shared" si="1"/>
        <v>9.863307424283034E-2</v>
      </c>
      <c r="E10" s="14"/>
      <c r="H10" s="17">
        <f>C10*A10</f>
        <v>26614.631966700515</v>
      </c>
      <c r="I10" s="18">
        <f>1-B10</f>
        <v>2.1141992932027787E-4</v>
      </c>
      <c r="L10" s="14">
        <v>9.863307424283034E-2</v>
      </c>
    </row>
    <row r="11" spans="1:12" x14ac:dyDescent="0.3">
      <c r="A11" s="13"/>
      <c r="B11" s="13"/>
      <c r="C11" s="13"/>
      <c r="D11" s="13"/>
      <c r="E11" s="13"/>
      <c r="H11" s="13"/>
      <c r="L11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>
      <selection activeCell="B2" sqref="B2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1956</v>
      </c>
      <c r="C1" s="8" t="s">
        <v>24</v>
      </c>
      <c r="D1" s="10">
        <f>1000*[1]TD1!$C$63</f>
        <v>17820251.643483676</v>
      </c>
      <c r="E1" s="8" t="s">
        <v>30</v>
      </c>
      <c r="F1" s="21">
        <f>(SUMPRODUCT(D4:D10,H4:H10,I4:I10)/(D2*B2))/((1-SUMPRODUCT(D4:D10,H4:H10,I4:I10)/B2)/(1-D2))</f>
        <v>0.72991787222822202</v>
      </c>
      <c r="G1" s="19"/>
      <c r="H1" s="16"/>
    </row>
    <row r="2" spans="1:12" x14ac:dyDescent="0.3">
      <c r="A2" s="8" t="s">
        <v>12</v>
      </c>
      <c r="B2" s="11">
        <f>[1]TD2!$M$63</f>
        <v>557.82188757315259</v>
      </c>
      <c r="C2" s="8" t="s">
        <v>15</v>
      </c>
      <c r="D2" s="14">
        <f>[1]TD1!$F$63</f>
        <v>0.25628237378177543</v>
      </c>
      <c r="E2" s="18" t="s">
        <v>26</v>
      </c>
      <c r="I2" s="8"/>
      <c r="L2" s="14">
        <f>D2</f>
        <v>0.25628237378177543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(D2-SUMPRODUCT(D5:D10,I5:I10))/I4</f>
        <v>0.28336943476769932</v>
      </c>
      <c r="E4" s="14"/>
      <c r="F4" s="8"/>
      <c r="G4" s="8"/>
      <c r="H4" s="17">
        <f>((1-B4)*B2-(1-B5)*A5*C5)/(B5-B4)</f>
        <v>373.70188243517566</v>
      </c>
      <c r="I4" s="18">
        <f t="shared" ref="I4:I9" si="0">B5-B4</f>
        <v>0.85692850087931505</v>
      </c>
      <c r="L4" s="14"/>
    </row>
    <row r="5" spans="1:12" x14ac:dyDescent="0.3">
      <c r="A5" s="11">
        <v>916.2185935968364</v>
      </c>
      <c r="B5" s="12">
        <v>0.85692850087931505</v>
      </c>
      <c r="C5" s="8">
        <v>1.8124614921786752</v>
      </c>
      <c r="D5" s="14">
        <f t="shared" ref="D5:D10" si="1">L5*D$2/L$2</f>
        <v>0.1033339395834556</v>
      </c>
      <c r="E5" s="14"/>
      <c r="H5" s="17">
        <f t="shared" ref="H5:H9" si="2">((1-B5)*C5*A5-(1-B6)*C6*A6)/(B6-B5)</f>
        <v>1104.6472711892379</v>
      </c>
      <c r="I5" s="18">
        <f t="shared" si="0"/>
        <v>8.4665408790359886E-2</v>
      </c>
      <c r="L5" s="14">
        <v>0.1033339395834556</v>
      </c>
    </row>
    <row r="6" spans="1:12" x14ac:dyDescent="0.3">
      <c r="A6" s="11">
        <v>1373.5656453090676</v>
      </c>
      <c r="B6" s="12">
        <v>0.94159390966967493</v>
      </c>
      <c r="C6" s="12">
        <v>1.795717054569189</v>
      </c>
      <c r="D6" s="14">
        <f t="shared" si="1"/>
        <v>8.0550223211811059E-2</v>
      </c>
      <c r="E6" s="14"/>
      <c r="H6" s="17">
        <f t="shared" si="2"/>
        <v>1701.3190069815082</v>
      </c>
      <c r="I6" s="18">
        <f t="shared" si="0"/>
        <v>4.0299555896621486E-2</v>
      </c>
      <c r="L6" s="14">
        <v>8.0550223211811059E-2</v>
      </c>
    </row>
    <row r="7" spans="1:12" x14ac:dyDescent="0.3">
      <c r="A7" s="11">
        <v>2288.2597487335297</v>
      </c>
      <c r="B7" s="12">
        <v>0.98189346556629642</v>
      </c>
      <c r="C7" s="12">
        <v>1.8222015186158269</v>
      </c>
      <c r="D7" s="14">
        <f t="shared" si="1"/>
        <v>8.0431247027983904E-2</v>
      </c>
      <c r="E7" s="14"/>
      <c r="H7" s="17">
        <f t="shared" si="2"/>
        <v>3033.7986129807628</v>
      </c>
      <c r="I7" s="18">
        <f t="shared" si="0"/>
        <v>1.4043067685383104E-2</v>
      </c>
      <c r="L7" s="14">
        <v>8.0431247027983904E-2</v>
      </c>
    </row>
    <row r="8" spans="1:12" x14ac:dyDescent="0.3">
      <c r="A8" s="11">
        <v>4574.9950072946858</v>
      </c>
      <c r="B8" s="12">
        <v>0.99593653325167952</v>
      </c>
      <c r="C8" s="12">
        <v>1.7694373023899563</v>
      </c>
      <c r="D8" s="14">
        <f t="shared" si="1"/>
        <v>7.9866657406764352E-2</v>
      </c>
      <c r="E8" s="14"/>
      <c r="H8" s="17">
        <f t="shared" si="2"/>
        <v>6058.5647041403217</v>
      </c>
      <c r="I8" s="18">
        <f t="shared" si="0"/>
        <v>3.2320531242924222E-3</v>
      </c>
      <c r="L8" s="14">
        <v>7.9866657406764352E-2</v>
      </c>
    </row>
    <row r="9" spans="1:12" x14ac:dyDescent="0.3">
      <c r="A9" s="11">
        <v>9146.9410342446226</v>
      </c>
      <c r="B9" s="12">
        <v>0.99916858637597195</v>
      </c>
      <c r="C9" s="12">
        <v>1.7505625710484749</v>
      </c>
      <c r="D9" s="14">
        <f t="shared" si="1"/>
        <v>8.4263178145440557E-2</v>
      </c>
      <c r="E9" s="14"/>
      <c r="H9" s="17">
        <f t="shared" si="2"/>
        <v>11356.601884629363</v>
      </c>
      <c r="I9" s="18">
        <f t="shared" si="0"/>
        <v>5.8338121189227543E-4</v>
      </c>
      <c r="L9" s="14">
        <v>8.4263178145440557E-2</v>
      </c>
    </row>
    <row r="10" spans="1:12" x14ac:dyDescent="0.3">
      <c r="A10" s="11">
        <v>15244.901723741039</v>
      </c>
      <c r="B10" s="12">
        <v>0.99975196758786422</v>
      </c>
      <c r="C10" s="12">
        <v>1.7686336212806801</v>
      </c>
      <c r="D10" s="14">
        <f t="shared" si="1"/>
        <v>9.3891402714932126E-2</v>
      </c>
      <c r="E10" s="14"/>
      <c r="H10" s="17">
        <f>C10*A10</f>
        <v>26962.645741728196</v>
      </c>
      <c r="I10" s="18">
        <f>1-B10</f>
        <v>2.4803241213577909E-4</v>
      </c>
      <c r="L10" s="14">
        <v>9.3891402714932126E-2</v>
      </c>
    </row>
    <row r="11" spans="1:12" x14ac:dyDescent="0.3">
      <c r="A11" s="13"/>
      <c r="B11" s="13"/>
      <c r="C11" s="13"/>
      <c r="D11" s="13"/>
      <c r="E11" s="13"/>
      <c r="H11" s="13"/>
      <c r="L11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1957</v>
      </c>
      <c r="C1" s="8" t="s">
        <v>24</v>
      </c>
      <c r="D1" s="10">
        <f>1000*[1]TD1!$C$64</f>
        <v>18006842.073500037</v>
      </c>
      <c r="E1" s="8" t="s">
        <v>30</v>
      </c>
      <c r="F1" s="21">
        <f>(SUMPRODUCT(D4:D13,H4:H13,I4:I13)/(D2*B2))/((1-SUMPRODUCT(D4:D13,H4:H13,I4:I13)/B2)/(1-D2))</f>
        <v>0.69345901851078062</v>
      </c>
      <c r="G1" s="19"/>
      <c r="H1" s="16"/>
    </row>
    <row r="2" spans="1:12" x14ac:dyDescent="0.3">
      <c r="A2" s="8" t="s">
        <v>12</v>
      </c>
      <c r="B2" s="11">
        <f>[1]TD2!$M$64</f>
        <v>620.62260461080996</v>
      </c>
      <c r="C2" s="8" t="s">
        <v>15</v>
      </c>
      <c r="D2" s="14">
        <f>[1]TD1!$F$64</f>
        <v>0.26334772846363497</v>
      </c>
      <c r="E2" s="18" t="s">
        <v>26</v>
      </c>
      <c r="I2" s="8"/>
      <c r="L2" s="14">
        <f>D2</f>
        <v>0.26334772846363497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(D2-SUMPRODUCT(D5:D13,I5:I13))/I4</f>
        <v>0.29905101796415529</v>
      </c>
      <c r="E4" s="14"/>
      <c r="F4" s="8"/>
      <c r="G4" s="8"/>
      <c r="H4" s="17">
        <f>((1-B4)*B2-(1-B5)*C5*A5)/(B5-B4)</f>
        <v>386.64972851625788</v>
      </c>
      <c r="I4" s="18">
        <f>B5-B4</f>
        <v>0.82076771275432103</v>
      </c>
      <c r="L4" s="14"/>
    </row>
    <row r="5" spans="1:12" x14ac:dyDescent="0.3">
      <c r="A5" s="11">
        <v>916.2185935968364</v>
      </c>
      <c r="B5" s="12">
        <v>0.82076771275432103</v>
      </c>
      <c r="C5" s="8">
        <v>1.846793710599282</v>
      </c>
      <c r="D5" s="14">
        <f t="shared" ref="D5:D13" si="0">L5*D$2/L$2</f>
        <v>0.11559776774643307</v>
      </c>
      <c r="E5" s="14"/>
      <c r="F5" s="8"/>
      <c r="G5" s="8"/>
      <c r="H5" s="17">
        <f t="shared" ref="H5" si="1">((1-B5)*C5*A5-(1-B6)*C6*A6)/(B6-B5)</f>
        <v>1108.843417736073</v>
      </c>
      <c r="I5" s="18">
        <f t="shared" ref="I5" si="2">B6-B5</f>
        <v>0.10115631349202503</v>
      </c>
      <c r="L5" s="14">
        <v>0.11559776774643307</v>
      </c>
    </row>
    <row r="6" spans="1:12" x14ac:dyDescent="0.3">
      <c r="A6" s="11">
        <v>1373.5656453090676</v>
      </c>
      <c r="B6" s="12">
        <v>0.92192402624634606</v>
      </c>
      <c r="C6" s="8">
        <v>1.7820036178438696</v>
      </c>
      <c r="D6" s="14">
        <f t="shared" si="0"/>
        <v>7.8570038144603629E-2</v>
      </c>
      <c r="E6" s="14"/>
      <c r="H6" s="17">
        <f t="shared" ref="H6:H12" si="3">((1-B6)*C6*A6-(1-B7)*C7*A7)/(B7-B6)</f>
        <v>1706.1821954277618</v>
      </c>
      <c r="I6" s="18">
        <f t="shared" ref="I6:I12" si="4">B7-B6</f>
        <v>5.4286891428807937E-2</v>
      </c>
      <c r="L6" s="14">
        <v>7.8570038144603629E-2</v>
      </c>
    </row>
    <row r="7" spans="1:12" x14ac:dyDescent="0.3">
      <c r="A7" s="11">
        <v>2288.2597487335297</v>
      </c>
      <c r="B7" s="12">
        <v>0.976210917675154</v>
      </c>
      <c r="C7" s="8">
        <v>1.8091681206185388</v>
      </c>
      <c r="D7" s="14">
        <f t="shared" si="0"/>
        <v>8.1923765960688594E-2</v>
      </c>
      <c r="E7" s="14"/>
      <c r="H7" s="17">
        <f t="shared" si="3"/>
        <v>3029.2963784837425</v>
      </c>
      <c r="I7" s="18">
        <f t="shared" si="4"/>
        <v>1.857051042776181E-2</v>
      </c>
      <c r="L7" s="14">
        <v>8.1923765960688594E-2</v>
      </c>
    </row>
    <row r="8" spans="1:12" x14ac:dyDescent="0.3">
      <c r="A8" s="11">
        <v>4574.9950072946858</v>
      </c>
      <c r="B8" s="12">
        <v>0.99478142810291581</v>
      </c>
      <c r="C8" s="8">
        <v>1.7686985044926851</v>
      </c>
      <c r="D8" s="14">
        <f t="shared" si="0"/>
        <v>7.8196011335079932E-2</v>
      </c>
      <c r="E8" s="14"/>
      <c r="H8" s="17">
        <f t="shared" si="3"/>
        <v>6059.9360589338976</v>
      </c>
      <c r="I8" s="18">
        <f t="shared" si="4"/>
        <v>4.1546429792983508E-3</v>
      </c>
      <c r="L8" s="14">
        <v>7.8196011335079932E-2</v>
      </c>
    </row>
    <row r="9" spans="1:12" x14ac:dyDescent="0.3">
      <c r="A9" s="11">
        <v>9148.4655244169971</v>
      </c>
      <c r="B9" s="12">
        <v>0.99893607108221416</v>
      </c>
      <c r="C9" s="12">
        <v>1.751787236490616</v>
      </c>
      <c r="D9" s="14">
        <f t="shared" si="0"/>
        <v>8.3819350979512486E-2</v>
      </c>
      <c r="E9" s="14"/>
      <c r="H9" s="17">
        <f t="shared" si="3"/>
        <v>11362.775074978674</v>
      </c>
      <c r="I9" s="18">
        <f t="shared" si="4"/>
        <v>7.4271768172395891E-4</v>
      </c>
      <c r="L9" s="14">
        <v>8.3819350979512486E-2</v>
      </c>
    </row>
    <row r="10" spans="1:12" x14ac:dyDescent="0.3">
      <c r="A10" s="11">
        <v>15246.426213913412</v>
      </c>
      <c r="B10" s="12">
        <v>0.99967878876393812</v>
      </c>
      <c r="C10" s="12">
        <v>1.7583822530610009</v>
      </c>
      <c r="D10" s="14">
        <f t="shared" si="0"/>
        <v>7.9083094555873923E-2</v>
      </c>
      <c r="E10" s="14"/>
      <c r="H10" s="17">
        <f t="shared" si="3"/>
        <v>18197.345584794901</v>
      </c>
      <c r="I10" s="18">
        <f t="shared" si="4"/>
        <v>1.9381521678007996E-4</v>
      </c>
      <c r="L10" s="14">
        <v>7.9083094555873923E-2</v>
      </c>
    </row>
    <row r="11" spans="1:12" x14ac:dyDescent="0.3">
      <c r="A11" s="11">
        <v>22868.87707578393</v>
      </c>
      <c r="B11" s="12">
        <v>0.9998726039807182</v>
      </c>
      <c r="C11" s="12">
        <v>1.7451902509027732</v>
      </c>
      <c r="D11" s="14">
        <f t="shared" si="0"/>
        <v>0.10135746606334842</v>
      </c>
      <c r="E11" s="14"/>
      <c r="H11" s="17">
        <f t="shared" si="3"/>
        <v>26160.527283773048</v>
      </c>
      <c r="I11" s="18">
        <f t="shared" si="4"/>
        <v>6.1365562906035009E-5</v>
      </c>
      <c r="L11" s="14">
        <v>0.10135746606334842</v>
      </c>
    </row>
    <row r="12" spans="1:12" x14ac:dyDescent="0.3">
      <c r="A12" s="11">
        <v>30491.327937654449</v>
      </c>
      <c r="B12" s="12">
        <v>0.99993396954362423</v>
      </c>
      <c r="C12" s="12">
        <v>1.7280044324108437</v>
      </c>
      <c r="D12" s="14">
        <f t="shared" si="0"/>
        <v>0.10013717421124829</v>
      </c>
      <c r="E12" s="14"/>
      <c r="H12" s="17">
        <f t="shared" si="3"/>
        <v>36433.014791612513</v>
      </c>
      <c r="I12" s="18">
        <f t="shared" si="4"/>
        <v>4.0484611184110619E-5</v>
      </c>
      <c r="L12" s="14">
        <v>0.10013717421124829</v>
      </c>
    </row>
    <row r="13" spans="1:12" x14ac:dyDescent="0.3">
      <c r="A13" s="11">
        <v>45734.705171223111</v>
      </c>
      <c r="B13" s="12">
        <v>0.99997445415480835</v>
      </c>
      <c r="C13" s="12">
        <v>1.7153623188405798</v>
      </c>
      <c r="D13" s="14">
        <f t="shared" si="0"/>
        <v>0.13478260869565217</v>
      </c>
      <c r="E13" s="14"/>
      <c r="H13" s="17">
        <f>C13*A13</f>
        <v>78451.589913999531</v>
      </c>
      <c r="I13" s="18">
        <f>1-B13</f>
        <v>2.5545845191654593E-5</v>
      </c>
      <c r="L13" s="14">
        <v>0.13478260869565217</v>
      </c>
    </row>
    <row r="14" spans="1:12" x14ac:dyDescent="0.3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1958</v>
      </c>
      <c r="C1" s="8" t="s">
        <v>24</v>
      </c>
      <c r="D1" s="10">
        <f>1000*[1]TD1!$C$65</f>
        <v>18223085.580970295</v>
      </c>
      <c r="E1" s="8" t="s">
        <v>30</v>
      </c>
      <c r="F1" s="21">
        <f>(SUMPRODUCT(D4:D12,H4:H12,I4:I12)/(D2*B2))/((1-SUMPRODUCT(D4:D12,H4:H12,I4:I12)/B2)/(1-D2))</f>
        <v>0.73782862985832787</v>
      </c>
      <c r="G1" s="19"/>
      <c r="H1" s="16"/>
    </row>
    <row r="2" spans="1:12" x14ac:dyDescent="0.3">
      <c r="A2" s="8" t="s">
        <v>12</v>
      </c>
      <c r="B2" s="11">
        <f>[1]TD2!$M$65</f>
        <v>706.41238613498433</v>
      </c>
      <c r="C2" s="8" t="s">
        <v>15</v>
      </c>
      <c r="D2" s="14">
        <f>[1]TD1!$F$65</f>
        <v>0.27122474793384344</v>
      </c>
      <c r="E2" s="18" t="s">
        <v>26</v>
      </c>
      <c r="I2" s="8"/>
      <c r="L2" s="14">
        <f>D2</f>
        <v>0.27122474793384344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(D2-SUMPRODUCT(D5:D12,I5:I12))/I4</f>
        <v>0.29499663881672866</v>
      </c>
      <c r="E4" s="14"/>
      <c r="F4" s="8"/>
      <c r="G4" s="8"/>
      <c r="H4" s="17">
        <f>((1-B4)*B2-(1-B5)*C5*A5)/(B5-B4)</f>
        <v>502.62163292966142</v>
      </c>
      <c r="I4" s="18">
        <f t="shared" ref="I4" si="0">B5-B4</f>
        <v>0.89118238174874709</v>
      </c>
      <c r="L4" s="14"/>
    </row>
    <row r="5" spans="1:12" x14ac:dyDescent="0.3">
      <c r="A5" s="9">
        <v>1373.5656453090676</v>
      </c>
      <c r="B5" s="12">
        <v>0.89118238174874709</v>
      </c>
      <c r="C5" s="8">
        <v>1.7293641217738898</v>
      </c>
      <c r="D5" s="14">
        <f t="shared" ref="D5:D12" si="1">L5*D$2/L$2</f>
        <v>7.6108294101777815E-2</v>
      </c>
      <c r="E5" s="14"/>
      <c r="H5" s="17">
        <f t="shared" ref="H5:H11" si="2">((1-B5)*C5*A5-(1-B6)*C6*A6)/(B6-B5)</f>
        <v>1705.3067529080004</v>
      </c>
      <c r="I5" s="18">
        <f t="shared" ref="I5:I11" si="3">B6-B5</f>
        <v>7.7856963995560413E-2</v>
      </c>
      <c r="L5" s="14">
        <v>7.6108294101777815E-2</v>
      </c>
    </row>
    <row r="6" spans="1:12" x14ac:dyDescent="0.3">
      <c r="A6" s="9">
        <v>2288.2597487335297</v>
      </c>
      <c r="B6" s="12">
        <v>0.9690393457443075</v>
      </c>
      <c r="C6" s="8">
        <v>1.7744798878245285</v>
      </c>
      <c r="D6" s="14">
        <f t="shared" si="1"/>
        <v>7.7977791120863421E-2</v>
      </c>
      <c r="E6" s="14"/>
      <c r="H6" s="17">
        <f t="shared" si="2"/>
        <v>3014.1430827096988</v>
      </c>
      <c r="I6" s="18">
        <f t="shared" si="3"/>
        <v>2.4458901329518112E-2</v>
      </c>
      <c r="L6" s="14">
        <v>7.7977791120863421E-2</v>
      </c>
    </row>
    <row r="7" spans="1:12" x14ac:dyDescent="0.3">
      <c r="A7" s="9">
        <v>4574.9950072946858</v>
      </c>
      <c r="B7" s="12">
        <v>0.99349824707382561</v>
      </c>
      <c r="C7" s="8">
        <v>1.747902367818617</v>
      </c>
      <c r="D7" s="14">
        <f t="shared" si="1"/>
        <v>7.4580484773151032E-2</v>
      </c>
      <c r="E7" s="14"/>
      <c r="H7" s="17">
        <f t="shared" si="2"/>
        <v>6043.0552118406458</v>
      </c>
      <c r="I7" s="18">
        <f t="shared" si="3"/>
        <v>5.2093812311968524E-3</v>
      </c>
      <c r="L7" s="14">
        <v>7.4580484773151032E-2</v>
      </c>
    </row>
    <row r="8" spans="1:12" x14ac:dyDescent="0.3">
      <c r="A8" s="11">
        <v>9148.4655244169971</v>
      </c>
      <c r="B8" s="12">
        <v>0.99870762830502247</v>
      </c>
      <c r="C8" s="12">
        <v>1.7348601072114069</v>
      </c>
      <c r="D8" s="14">
        <f t="shared" si="1"/>
        <v>8.1575588110145286E-2</v>
      </c>
      <c r="E8" s="14"/>
      <c r="H8" s="17">
        <f t="shared" si="2"/>
        <v>11350.598945560596</v>
      </c>
      <c r="I8" s="18">
        <f t="shared" si="3"/>
        <v>9.0275600841049908E-4</v>
      </c>
      <c r="L8" s="14">
        <v>8.1575588110145286E-2</v>
      </c>
    </row>
    <row r="9" spans="1:12" x14ac:dyDescent="0.3">
      <c r="A9" s="11">
        <v>15246.426213913412</v>
      </c>
      <c r="B9" s="12">
        <v>0.99961038431343296</v>
      </c>
      <c r="C9" s="12">
        <v>1.728010297561793</v>
      </c>
      <c r="D9" s="14">
        <f t="shared" si="1"/>
        <v>7.5119508308672894E-2</v>
      </c>
      <c r="E9" s="14"/>
      <c r="H9" s="17">
        <f t="shared" si="2"/>
        <v>18248.768541876449</v>
      </c>
      <c r="I9" s="18">
        <f t="shared" si="3"/>
        <v>2.4106784663224801E-4</v>
      </c>
      <c r="L9" s="14">
        <v>7.5119508308672894E-2</v>
      </c>
    </row>
    <row r="10" spans="1:12" x14ac:dyDescent="0.3">
      <c r="A10" s="11">
        <v>22868.87707578393</v>
      </c>
      <c r="B10" s="12">
        <v>0.99985145216006521</v>
      </c>
      <c r="C10" s="12">
        <v>1.7266426789377691</v>
      </c>
      <c r="D10" s="14">
        <f t="shared" si="1"/>
        <v>9.0771558245083206E-2</v>
      </c>
      <c r="E10" s="14"/>
      <c r="H10" s="17">
        <f t="shared" si="2"/>
        <v>26025.884039562818</v>
      </c>
      <c r="I10" s="18">
        <f t="shared" si="3"/>
        <v>7.2545343329788459E-5</v>
      </c>
      <c r="L10" s="14">
        <v>9.0771558245083206E-2</v>
      </c>
    </row>
    <row r="11" spans="1:12" x14ac:dyDescent="0.3">
      <c r="A11" s="11">
        <v>30491.327937654449</v>
      </c>
      <c r="B11" s="12">
        <v>0.999923997503395</v>
      </c>
      <c r="C11" s="12">
        <v>1.7163762750490634</v>
      </c>
      <c r="D11" s="14">
        <f t="shared" si="1"/>
        <v>0.10983981693363844</v>
      </c>
      <c r="E11" s="14"/>
      <c r="H11" s="17">
        <f t="shared" si="2"/>
        <v>36327.868215127884</v>
      </c>
      <c r="I11" s="18">
        <f t="shared" si="3"/>
        <v>4.7961142261909728E-5</v>
      </c>
      <c r="L11" s="14">
        <v>0.10983981693363844</v>
      </c>
    </row>
    <row r="12" spans="1:12" x14ac:dyDescent="0.3">
      <c r="A12" s="11">
        <v>45734.705171223111</v>
      </c>
      <c r="B12" s="12">
        <v>0.99997195864565691</v>
      </c>
      <c r="C12" s="12">
        <v>1.7429223744292237</v>
      </c>
      <c r="D12" s="14">
        <f t="shared" si="1"/>
        <v>0.14285714285714285</v>
      </c>
      <c r="E12" s="14"/>
      <c r="H12" s="17">
        <f>C12*A12</f>
        <v>79712.040930848685</v>
      </c>
      <c r="I12" s="18">
        <f>1-B12</f>
        <v>2.8041354343089075E-5</v>
      </c>
      <c r="L12" s="14">
        <v>0.14285714285714285</v>
      </c>
    </row>
    <row r="13" spans="1:12" x14ac:dyDescent="0.3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1959</v>
      </c>
      <c r="C1" s="8" t="s">
        <v>24</v>
      </c>
      <c r="D1" s="10">
        <f>1000*[1]TD1!$C$66</f>
        <v>18418173.830754351</v>
      </c>
      <c r="E1" s="8" t="s">
        <v>30</v>
      </c>
      <c r="F1" s="21">
        <f>(SUMPRODUCT(D4:D12,H4:H12,I4:I12)/(D2*B2))/((1-SUMPRODUCT(D4:D12,H4:H12,I4:I12)/B2)/(1-D2))</f>
        <v>0.73222477574665235</v>
      </c>
      <c r="G1" s="19"/>
      <c r="H1" s="16"/>
    </row>
    <row r="2" spans="1:12" x14ac:dyDescent="0.3">
      <c r="A2" s="8" t="s">
        <v>12</v>
      </c>
      <c r="B2" s="11">
        <f>[1]TD2!$M$66</f>
        <v>709.21998015738234</v>
      </c>
      <c r="C2" s="8" t="s">
        <v>15</v>
      </c>
      <c r="D2" s="14">
        <f>[1]TD1!$F$66</f>
        <v>0.27818773088485993</v>
      </c>
      <c r="E2" s="18" t="s">
        <v>26</v>
      </c>
      <c r="I2" s="8"/>
      <c r="L2" s="14">
        <f>D2</f>
        <v>0.27818773088485993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(D2-SUMPRODUCT(D5:D12,I5:I12))/I4</f>
        <v>0.30029999666571872</v>
      </c>
      <c r="E4" s="14"/>
      <c r="F4" s="8"/>
      <c r="G4" s="8"/>
      <c r="H4" s="17">
        <f>((1-B4)*B2-(1-B5)*C5*A5)/(B5-B4)</f>
        <v>492.99859857999871</v>
      </c>
      <c r="I4" s="18">
        <f t="shared" ref="I4:I11" si="0">B5-B4</f>
        <v>0.89376623769644969</v>
      </c>
      <c r="L4" s="14"/>
    </row>
    <row r="5" spans="1:12" x14ac:dyDescent="0.3">
      <c r="A5" s="9">
        <v>1373.5656453090676</v>
      </c>
      <c r="B5" s="12">
        <v>0.89376623769644969</v>
      </c>
      <c r="C5" s="8">
        <v>1.8407088339522395</v>
      </c>
      <c r="D5" s="14">
        <f t="shared" ref="D5:D12" si="1">L5*D$2/L$2</f>
        <v>9.8335136494164949E-2</v>
      </c>
      <c r="E5" s="14"/>
      <c r="H5" s="17">
        <f t="shared" ref="H5:H11" si="2">((1-B5)*C5*A5-(1-B6)*C6*A6)/(B6-B5)</f>
        <v>1726.5561237029419</v>
      </c>
      <c r="I5" s="18">
        <f t="shared" si="0"/>
        <v>7.0297735203361134E-2</v>
      </c>
      <c r="L5" s="14">
        <v>9.8335136494164949E-2</v>
      </c>
    </row>
    <row r="6" spans="1:12" x14ac:dyDescent="0.3">
      <c r="A6" s="9">
        <v>2288.2597487335297</v>
      </c>
      <c r="B6" s="12">
        <v>0.96406397289981083</v>
      </c>
      <c r="C6" s="8">
        <v>1.7903413087002829</v>
      </c>
      <c r="D6" s="14">
        <f t="shared" si="1"/>
        <v>8.0610917586840941E-2</v>
      </c>
      <c r="E6" s="14"/>
      <c r="H6" s="17">
        <f t="shared" si="2"/>
        <v>3026.5867600633596</v>
      </c>
      <c r="I6" s="18">
        <f t="shared" si="0"/>
        <v>2.8258121570574835E-2</v>
      </c>
      <c r="L6" s="14">
        <v>8.0610917586840941E-2</v>
      </c>
    </row>
    <row r="7" spans="1:12" x14ac:dyDescent="0.3">
      <c r="A7" s="9">
        <v>4574.9950072946858</v>
      </c>
      <c r="B7" s="12">
        <v>0.99232209447038566</v>
      </c>
      <c r="C7" s="8">
        <v>1.7563960945577382</v>
      </c>
      <c r="D7" s="14">
        <f t="shared" si="1"/>
        <v>7.7398749057357052E-2</v>
      </c>
      <c r="E7" s="14"/>
      <c r="H7" s="17">
        <f t="shared" si="2"/>
        <v>6044.3414831853479</v>
      </c>
      <c r="I7" s="18">
        <f t="shared" si="0"/>
        <v>6.1197706135255325E-3</v>
      </c>
      <c r="L7" s="14">
        <v>7.7398749057357052E-2</v>
      </c>
    </row>
    <row r="8" spans="1:12" x14ac:dyDescent="0.3">
      <c r="A8" s="11">
        <v>9148.4655244169971</v>
      </c>
      <c r="B8" s="12">
        <v>0.9984418650839112</v>
      </c>
      <c r="C8" s="12">
        <v>1.7331914005226137</v>
      </c>
      <c r="D8" s="14">
        <f t="shared" si="1"/>
        <v>7.9998021075545447E-2</v>
      </c>
      <c r="E8" s="14"/>
      <c r="H8" s="17">
        <f t="shared" si="2"/>
        <v>11356.95777485406</v>
      </c>
      <c r="I8" s="18">
        <f t="shared" si="0"/>
        <v>1.0974486395881611E-3</v>
      </c>
      <c r="L8" s="14">
        <v>7.9998021075545447E-2</v>
      </c>
    </row>
    <row r="9" spans="1:12" x14ac:dyDescent="0.3">
      <c r="A9" s="11">
        <v>15246.426213913412</v>
      </c>
      <c r="B9" s="12">
        <v>0.99953931372349936</v>
      </c>
      <c r="C9" s="12">
        <v>1.7429512204937432</v>
      </c>
      <c r="D9" s="14">
        <f t="shared" si="1"/>
        <v>7.3138043270151248E-2</v>
      </c>
      <c r="E9" s="14"/>
      <c r="H9" s="17">
        <f t="shared" si="2"/>
        <v>18489.003967825913</v>
      </c>
      <c r="I9" s="18">
        <f t="shared" si="0"/>
        <v>2.8357860013705771E-4</v>
      </c>
      <c r="L9" s="14">
        <v>7.3138043270151248E-2</v>
      </c>
    </row>
    <row r="10" spans="1:12" x14ac:dyDescent="0.3">
      <c r="A10" s="11">
        <v>22868.87707578393</v>
      </c>
      <c r="B10" s="12">
        <v>0.99982289232363641</v>
      </c>
      <c r="C10" s="12">
        <v>1.7280617834143164</v>
      </c>
      <c r="D10" s="14">
        <f t="shared" si="1"/>
        <v>8.4017687934301963E-2</v>
      </c>
      <c r="E10" s="14"/>
      <c r="H10" s="17">
        <f t="shared" si="2"/>
        <v>26086.212947034433</v>
      </c>
      <c r="I10" s="18">
        <f t="shared" si="0"/>
        <v>8.5947716641165961E-5</v>
      </c>
      <c r="L10" s="14">
        <v>8.4017687934301963E-2</v>
      </c>
    </row>
    <row r="11" spans="1:12" x14ac:dyDescent="0.3">
      <c r="A11" s="11">
        <v>30491.327937654449</v>
      </c>
      <c r="B11" s="12">
        <v>0.99990884004027758</v>
      </c>
      <c r="C11" s="12">
        <v>1.7114183004369734</v>
      </c>
      <c r="D11" s="14">
        <f t="shared" si="1"/>
        <v>0.10288461538461538</v>
      </c>
      <c r="E11" s="14"/>
      <c r="H11" s="17">
        <f t="shared" si="2"/>
        <v>36475.186401206382</v>
      </c>
      <c r="I11" s="18">
        <f t="shared" si="0"/>
        <v>5.646596671315951E-5</v>
      </c>
      <c r="L11" s="14">
        <v>0.10288461538461538</v>
      </c>
    </row>
    <row r="12" spans="1:12" x14ac:dyDescent="0.3">
      <c r="A12" s="11">
        <v>45734.705171223111</v>
      </c>
      <c r="B12" s="12">
        <v>0.99996530600699074</v>
      </c>
      <c r="C12" s="12">
        <v>1.7000052164840898</v>
      </c>
      <c r="D12" s="14">
        <f t="shared" si="1"/>
        <v>0.1111111111111111</v>
      </c>
      <c r="E12" s="14"/>
      <c r="H12" s="17">
        <f>C12*A12</f>
        <v>77749.237365441164</v>
      </c>
      <c r="I12" s="18">
        <f>1-B12</f>
        <v>3.469399300926046E-5</v>
      </c>
      <c r="L12" s="14">
        <v>0.1111111111111111</v>
      </c>
    </row>
    <row r="13" spans="1:12" x14ac:dyDescent="0.3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6" sqref="A6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1960</v>
      </c>
      <c r="C1" s="8" t="s">
        <v>24</v>
      </c>
      <c r="D1" s="10">
        <f>1000*[1]TD1!$C$67</f>
        <v>18612827.096206594</v>
      </c>
      <c r="E1" s="8" t="s">
        <v>30</v>
      </c>
      <c r="F1" s="21">
        <f>(SUMPRODUCT(D4:D14,H4:H14,I4:I14)/(D2*B2))/((1-SUMPRODUCT(D4:D14,H4:H14,I4:I14)/B2)/(1-D2))</f>
        <v>0.60437250281112365</v>
      </c>
      <c r="G1" s="19"/>
      <c r="H1" s="16"/>
    </row>
    <row r="2" spans="1:12" x14ac:dyDescent="0.3">
      <c r="A2" s="8" t="s">
        <v>12</v>
      </c>
      <c r="B2" s="11">
        <f>[1]TD2!$M$67</f>
        <v>771.29953774802061</v>
      </c>
      <c r="C2" s="8" t="s">
        <v>15</v>
      </c>
      <c r="D2" s="14">
        <f>[1]TD1!$F$67</f>
        <v>0.28575677162191515</v>
      </c>
      <c r="E2" s="18" t="s">
        <v>26</v>
      </c>
      <c r="I2" s="8"/>
      <c r="L2" s="14">
        <f>D2</f>
        <v>0.28575677162191515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0.38564791786784713</v>
      </c>
      <c r="E4" s="14"/>
      <c r="F4" s="8"/>
      <c r="G4" s="8"/>
      <c r="H4" s="17">
        <f>((1-B4)*B2-(1-B5)*C5*A5)/(B5-B4)</f>
        <v>294.65666561970085</v>
      </c>
      <c r="I4" s="18">
        <f>B5-B4</f>
        <v>0.50627320075916171</v>
      </c>
      <c r="L4" s="14"/>
    </row>
    <row r="5" spans="1:12" x14ac:dyDescent="0.3">
      <c r="A5" s="9">
        <v>573.20830481266307</v>
      </c>
      <c r="B5" s="12">
        <v>0.50627320075916171</v>
      </c>
      <c r="C5" s="8">
        <v>2.1982491712400023</v>
      </c>
      <c r="D5" s="14">
        <f t="shared" ref="D5:D14" si="0">L5*D$2/L$2</f>
        <v>0.21913188363482192</v>
      </c>
      <c r="E5" s="14"/>
      <c r="H5" s="17">
        <f>((1-B5)*C5*A5-(1-B6)*C6*A6)/(B6-B5)</f>
        <v>735.34274942933826</v>
      </c>
      <c r="I5" s="18">
        <f>B6-B5</f>
        <v>0.30749594558389459</v>
      </c>
      <c r="L5" s="14">
        <v>0.21913188363482192</v>
      </c>
    </row>
    <row r="6" spans="1:12" x14ac:dyDescent="0.3">
      <c r="A6" s="9">
        <v>992.44310221554156</v>
      </c>
      <c r="B6" s="12">
        <v>0.8137691463430563</v>
      </c>
      <c r="C6" s="8">
        <v>2.1426268546236042</v>
      </c>
      <c r="D6" s="14">
        <f t="shared" si="0"/>
        <v>0.16913188363482201</v>
      </c>
      <c r="E6" s="14"/>
      <c r="H6" s="17">
        <f t="shared" ref="H6:H13" si="1">((1-B6)*C6*A6-(1-B7)*C7*A7)/(B7-B6)</f>
        <v>1260.2405480333873</v>
      </c>
      <c r="I6" s="18">
        <f t="shared" ref="I6:I13" si="2">B7-B6</f>
        <v>7.9124196298027694E-2</v>
      </c>
      <c r="L6" s="14">
        <v>0.16913188363482201</v>
      </c>
    </row>
    <row r="7" spans="1:12" x14ac:dyDescent="0.3">
      <c r="A7" s="9">
        <v>1487.9024082371254</v>
      </c>
      <c r="B7" s="12">
        <v>0.892893342641084</v>
      </c>
      <c r="C7" s="8">
        <v>1.8592144950142644</v>
      </c>
      <c r="D7" s="14">
        <f t="shared" si="0"/>
        <v>9.5303937592213492E-2</v>
      </c>
      <c r="E7" s="14"/>
      <c r="H7" s="17">
        <f t="shared" si="1"/>
        <v>1867.3610444398553</v>
      </c>
      <c r="I7" s="18">
        <f t="shared" si="2"/>
        <v>7.0936762451483726E-2</v>
      </c>
      <c r="L7" s="14">
        <v>9.5303937592213492E-2</v>
      </c>
    </row>
    <row r="8" spans="1:12" x14ac:dyDescent="0.3">
      <c r="A8" s="9">
        <v>2478.8210202802929</v>
      </c>
      <c r="B8" s="12">
        <v>0.96383010509256772</v>
      </c>
      <c r="C8" s="8">
        <v>1.8272380796069199</v>
      </c>
      <c r="D8" s="14">
        <f t="shared" si="0"/>
        <v>8.3529703104383596E-2</v>
      </c>
      <c r="E8" s="14"/>
      <c r="H8" s="17">
        <f t="shared" si="1"/>
        <v>3262.7033776798953</v>
      </c>
      <c r="I8" s="18">
        <f t="shared" si="2"/>
        <v>2.7770203705666185E-2</v>
      </c>
      <c r="L8" s="14">
        <v>8.3529703104383596E-2</v>
      </c>
    </row>
    <row r="9" spans="1:12" x14ac:dyDescent="0.3">
      <c r="A9" s="9">
        <v>4879.8930417695065</v>
      </c>
      <c r="B9" s="12">
        <v>0.99160030879823391</v>
      </c>
      <c r="C9" s="8">
        <v>1.7863520322245821</v>
      </c>
      <c r="D9" s="14">
        <f t="shared" si="0"/>
        <v>7.8497988377291009E-2</v>
      </c>
      <c r="E9" s="14"/>
      <c r="H9" s="17">
        <f t="shared" si="1"/>
        <v>6479.9288980855936</v>
      </c>
      <c r="I9" s="18">
        <f t="shared" si="2"/>
        <v>6.6102263435883213E-3</v>
      </c>
      <c r="L9" s="14">
        <v>7.8497988377291009E-2</v>
      </c>
    </row>
    <row r="10" spans="1:12" x14ac:dyDescent="0.3">
      <c r="A10" s="11">
        <v>9758.2615933666384</v>
      </c>
      <c r="B10" s="12">
        <v>0.99821053514182223</v>
      </c>
      <c r="C10" s="12">
        <v>1.74023214943461</v>
      </c>
      <c r="D10" s="14">
        <f t="shared" si="0"/>
        <v>8.1927710843373497E-2</v>
      </c>
      <c r="E10" s="14"/>
      <c r="H10" s="17">
        <f t="shared" si="1"/>
        <v>11844.991935977194</v>
      </c>
      <c r="I10" s="18">
        <f t="shared" si="2"/>
        <v>1.1594154874193796E-3</v>
      </c>
      <c r="L10" s="14">
        <v>8.1927710843373497E-2</v>
      </c>
    </row>
    <row r="11" spans="1:12" x14ac:dyDescent="0.3">
      <c r="A11" s="11">
        <v>15246.426213913412</v>
      </c>
      <c r="B11" s="12">
        <v>0.99936995062924161</v>
      </c>
      <c r="C11" s="12">
        <v>1.7337892713670562</v>
      </c>
      <c r="D11" s="14">
        <f t="shared" si="0"/>
        <v>8.1976262765663818E-2</v>
      </c>
      <c r="E11" s="14"/>
      <c r="H11" s="17">
        <f t="shared" si="1"/>
        <v>18148.796721693012</v>
      </c>
      <c r="I11" s="18">
        <f t="shared" si="2"/>
        <v>3.8930141899162773E-4</v>
      </c>
      <c r="L11" s="14">
        <v>8.1976262765663818E-2</v>
      </c>
    </row>
    <row r="12" spans="1:12" x14ac:dyDescent="0.3">
      <c r="A12" s="11">
        <v>22868.87707578393</v>
      </c>
      <c r="B12" s="12">
        <v>0.99975925204823324</v>
      </c>
      <c r="C12" s="12">
        <v>1.7417480506878653</v>
      </c>
      <c r="D12" s="14">
        <f t="shared" si="0"/>
        <v>8.3217753120665747E-2</v>
      </c>
      <c r="E12" s="14"/>
      <c r="H12" s="17">
        <f t="shared" si="1"/>
        <v>26123.827108248628</v>
      </c>
      <c r="I12" s="18">
        <f t="shared" si="2"/>
        <v>1.1621018068996847E-4</v>
      </c>
      <c r="L12" s="14">
        <v>8.3217753120665747E-2</v>
      </c>
    </row>
    <row r="13" spans="1:12" x14ac:dyDescent="0.3">
      <c r="A13" s="11">
        <v>30491.327937654449</v>
      </c>
      <c r="B13" s="12">
        <v>0.99987546222892321</v>
      </c>
      <c r="C13" s="12">
        <v>1.7258412316657679</v>
      </c>
      <c r="D13" s="14">
        <f t="shared" si="0"/>
        <v>9.7941802696948188E-2</v>
      </c>
      <c r="E13" s="14"/>
      <c r="H13" s="17">
        <f t="shared" si="1"/>
        <v>36520.357651730468</v>
      </c>
      <c r="I13" s="18">
        <f t="shared" si="2"/>
        <v>7.5700482936702507E-5</v>
      </c>
      <c r="L13" s="14">
        <v>9.7941802696948188E-2</v>
      </c>
    </row>
    <row r="14" spans="1:12" x14ac:dyDescent="0.3">
      <c r="A14" s="11">
        <v>45734.705171223111</v>
      </c>
      <c r="B14" s="12">
        <v>0.99995116271185991</v>
      </c>
      <c r="C14" s="12">
        <v>1.6963806380638065</v>
      </c>
      <c r="D14" s="14">
        <f t="shared" si="0"/>
        <v>0.121012101210121</v>
      </c>
      <c r="E14" s="14"/>
      <c r="H14" s="17">
        <f>C14*A14</f>
        <v>77583.468340019535</v>
      </c>
      <c r="I14" s="18">
        <f>1-B14</f>
        <v>4.883728814009114E-5</v>
      </c>
      <c r="L14" s="14">
        <v>0.12101210121012101</v>
      </c>
    </row>
    <row r="15" spans="1:12" x14ac:dyDescent="0.3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120" zoomScaleNormal="120" zoomScalePageLayoutView="120" workbookViewId="0">
      <selection activeCell="B2" sqref="B2"/>
    </sheetView>
  </sheetViews>
  <sheetFormatPr baseColWidth="10" defaultRowHeight="15.6" x14ac:dyDescent="0.3"/>
  <cols>
    <col min="1" max="11" width="12.5" customWidth="1"/>
    <col min="12" max="12" width="14.19921875" customWidth="1"/>
    <col min="13" max="13" width="11.796875" customWidth="1"/>
  </cols>
  <sheetData>
    <row r="1" spans="1:13" x14ac:dyDescent="0.3">
      <c r="A1" s="8" t="s">
        <v>9</v>
      </c>
      <c r="B1" s="8">
        <v>1916</v>
      </c>
      <c r="C1" s="8" t="s">
        <v>24</v>
      </c>
      <c r="D1" s="10">
        <f>1000*[1]TD1!$C$23</f>
        <v>15204615.582862923</v>
      </c>
      <c r="E1" s="8" t="s">
        <v>30</v>
      </c>
      <c r="F1" s="21">
        <f>(SUMPRODUCT(D4:D16,H4:H16,I4:I16)/(D2*B2))/((1-SUMPRODUCT(D4:D16,H4:H16,I4:I16)/B2)/(1-D2))</f>
        <v>0.80629646289117318</v>
      </c>
      <c r="G1" s="19"/>
      <c r="H1" s="16"/>
    </row>
    <row r="2" spans="1:13" x14ac:dyDescent="0.3">
      <c r="A2" s="8" t="s">
        <v>12</v>
      </c>
      <c r="B2" s="11">
        <f>[1]TD2!$M$23</f>
        <v>1707.9912750395513</v>
      </c>
      <c r="C2" s="8" t="s">
        <v>15</v>
      </c>
      <c r="D2" s="14">
        <f>[1]TD1!$F$23</f>
        <v>0.23699250357406165</v>
      </c>
      <c r="E2" s="18" t="s">
        <v>26</v>
      </c>
      <c r="I2" s="8"/>
      <c r="L2" s="14">
        <f>D2</f>
        <v>0.23699250357406165</v>
      </c>
      <c r="M2" s="71">
        <v>1.29</v>
      </c>
    </row>
    <row r="3" spans="1:13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3">
      <c r="A4" s="8">
        <v>0</v>
      </c>
      <c r="B4" s="12">
        <v>0</v>
      </c>
      <c r="C4" s="8"/>
      <c r="D4" s="14">
        <f>(D2-SUMPRODUCT(D5:D16,I5:I16))/I4</f>
        <v>0.24140202299745897</v>
      </c>
      <c r="E4" s="14"/>
      <c r="F4" s="8"/>
      <c r="G4" s="8"/>
      <c r="H4" s="17">
        <f>((1-B4)*B2-(1-B5)*C5*A5)/(B5-B4)</f>
        <v>1250.2724486623404</v>
      </c>
      <c r="I4" s="18">
        <f t="shared" ref="I4:I15" si="0">B5-B4</f>
        <v>0.96881572604179378</v>
      </c>
      <c r="L4" s="14"/>
      <c r="M4" s="12">
        <v>0</v>
      </c>
    </row>
    <row r="5" spans="1:13" x14ac:dyDescent="0.3">
      <c r="A5" s="11">
        <v>3000</v>
      </c>
      <c r="B5" s="12">
        <f>1-M$2*(1-M5)</f>
        <v>0.96881572604179378</v>
      </c>
      <c r="C5" s="12">
        <v>5.3093819618225098</v>
      </c>
      <c r="D5" s="14">
        <f t="shared" ref="D5:D16" si="1">L5*D$2/L$2</f>
        <v>0.1</v>
      </c>
      <c r="E5" s="14"/>
      <c r="F5" s="8"/>
      <c r="G5" s="8"/>
      <c r="H5" s="17">
        <f t="shared" ref="H5:H15" si="2">((1-B5)*C5*A5-(1-B6)*C6*A6)/(B6-B5)</f>
        <v>5394.2659328487598</v>
      </c>
      <c r="I5" s="18">
        <f t="shared" si="0"/>
        <v>1.5498484969139192E-2</v>
      </c>
      <c r="L5" s="14">
        <v>0.1</v>
      </c>
      <c r="M5" s="12">
        <v>0.97582614421844482</v>
      </c>
    </row>
    <row r="6" spans="1:13" x14ac:dyDescent="0.3">
      <c r="A6" s="11">
        <v>8000</v>
      </c>
      <c r="B6" s="12">
        <f t="shared" ref="B6:B16" si="3">1-M$2*(1-M6)</f>
        <v>0.98431421101093297</v>
      </c>
      <c r="C6" s="12">
        <v>3.2920300960540771</v>
      </c>
      <c r="D6" s="14">
        <f t="shared" si="1"/>
        <v>0.1</v>
      </c>
      <c r="E6" s="14"/>
      <c r="F6" s="8"/>
      <c r="G6" s="8"/>
      <c r="H6" s="17">
        <f t="shared" si="2"/>
        <v>9664.1997767073008</v>
      </c>
      <c r="I6" s="18">
        <f t="shared" si="0"/>
        <v>6.4449191093444158E-3</v>
      </c>
      <c r="L6" s="14">
        <v>0.1</v>
      </c>
      <c r="M6" s="12">
        <v>0.98784047365188599</v>
      </c>
    </row>
    <row r="7" spans="1:13" x14ac:dyDescent="0.3">
      <c r="A7" s="11">
        <v>12000</v>
      </c>
      <c r="B7" s="12">
        <f t="shared" si="3"/>
        <v>0.99075913012027739</v>
      </c>
      <c r="C7" s="12">
        <v>3.1636607646942139</v>
      </c>
      <c r="D7" s="14">
        <f t="shared" si="1"/>
        <v>0.1</v>
      </c>
      <c r="E7" s="14"/>
      <c r="H7" s="17">
        <f t="shared" si="2"/>
        <v>13741.816623638555</v>
      </c>
      <c r="I7" s="18">
        <f t="shared" si="0"/>
        <v>3.0065524578094527E-3</v>
      </c>
      <c r="L7" s="14">
        <v>0.1</v>
      </c>
      <c r="M7" s="12">
        <v>0.99283653497695923</v>
      </c>
    </row>
    <row r="8" spans="1:13" x14ac:dyDescent="0.3">
      <c r="A8" s="11">
        <v>16000</v>
      </c>
      <c r="B8" s="12">
        <f t="shared" si="3"/>
        <v>0.99376568257808684</v>
      </c>
      <c r="C8" s="12">
        <v>3.1028280258178711</v>
      </c>
      <c r="D8" s="14">
        <f t="shared" ref="D8:D14" si="4">L8*D$2/L$2</f>
        <v>0.1</v>
      </c>
      <c r="E8" s="14"/>
      <c r="H8" s="17">
        <f t="shared" ref="H8:H14" si="5">((1-B8)*C8*A8-(1-B9)*C9*A9)/(B9-B8)</f>
        <v>17920.547782516554</v>
      </c>
      <c r="I8" s="18">
        <f t="shared" ref="I8:I14" si="6">B9-B8</f>
        <v>1.6675901412963601E-3</v>
      </c>
      <c r="L8" s="14">
        <v>0.1</v>
      </c>
      <c r="M8" s="12">
        <v>0.99516719579696655</v>
      </c>
    </row>
    <row r="9" spans="1:13" x14ac:dyDescent="0.3">
      <c r="A9" s="11">
        <v>20000</v>
      </c>
      <c r="B9" s="12">
        <f t="shared" si="3"/>
        <v>0.9954332727193832</v>
      </c>
      <c r="C9" s="12">
        <v>3.0614933967590332</v>
      </c>
      <c r="D9" s="14">
        <f t="shared" si="4"/>
        <v>0.1</v>
      </c>
      <c r="E9" s="14"/>
      <c r="H9" s="17">
        <f t="shared" si="5"/>
        <v>27304.958747023953</v>
      </c>
      <c r="I9" s="18">
        <f t="shared" si="6"/>
        <v>2.7803421020508035E-3</v>
      </c>
      <c r="L9" s="14">
        <v>0.1</v>
      </c>
      <c r="M9" s="12">
        <v>0.99645990133285522</v>
      </c>
    </row>
    <row r="10" spans="1:13" x14ac:dyDescent="0.3">
      <c r="A10" s="11">
        <v>40000</v>
      </c>
      <c r="B10" s="12">
        <f t="shared" si="3"/>
        <v>0.998213614821434</v>
      </c>
      <c r="C10" s="12">
        <v>2.8507707118988037</v>
      </c>
      <c r="D10" s="14">
        <f t="shared" si="4"/>
        <v>0.1</v>
      </c>
      <c r="E10" s="14"/>
      <c r="H10" s="17">
        <f t="shared" si="5"/>
        <v>48233.724630945064</v>
      </c>
      <c r="I10" s="18">
        <f t="shared" si="6"/>
        <v>7.8066408634192008E-4</v>
      </c>
      <c r="L10" s="14">
        <v>0.1</v>
      </c>
      <c r="M10" s="12">
        <v>0.99861520528793335</v>
      </c>
    </row>
    <row r="11" spans="1:13" x14ac:dyDescent="0.3">
      <c r="A11" s="11">
        <v>60000</v>
      </c>
      <c r="B11" s="12">
        <f t="shared" si="3"/>
        <v>0.99899427890777592</v>
      </c>
      <c r="C11" s="12">
        <v>2.7517344951629639</v>
      </c>
      <c r="D11" s="14">
        <f t="shared" si="4"/>
        <v>0.1</v>
      </c>
      <c r="E11" s="14"/>
      <c r="H11" s="17">
        <f t="shared" si="5"/>
        <v>68537.18718300153</v>
      </c>
      <c r="I11" s="18">
        <f t="shared" si="6"/>
        <v>3.2816648483269262E-4</v>
      </c>
      <c r="L11" s="14">
        <v>0.1</v>
      </c>
      <c r="M11" s="12">
        <v>0.99922037124633789</v>
      </c>
    </row>
    <row r="12" spans="1:13" x14ac:dyDescent="0.3">
      <c r="A12" s="11">
        <v>80000</v>
      </c>
      <c r="B12" s="12">
        <f t="shared" si="3"/>
        <v>0.99932244539260862</v>
      </c>
      <c r="C12" s="12">
        <v>2.6484403610229492</v>
      </c>
      <c r="D12" s="14">
        <f t="shared" si="4"/>
        <v>0.1</v>
      </c>
      <c r="E12" s="14"/>
      <c r="H12" s="17">
        <f t="shared" si="5"/>
        <v>88448.533517122531</v>
      </c>
      <c r="I12" s="18">
        <f t="shared" si="6"/>
        <v>1.9268631935120961E-4</v>
      </c>
      <c r="L12" s="14">
        <v>0.1</v>
      </c>
      <c r="M12" s="12">
        <v>0.99947476387023926</v>
      </c>
    </row>
    <row r="13" spans="1:13" x14ac:dyDescent="0.3">
      <c r="A13" s="11">
        <v>100000</v>
      </c>
      <c r="B13" s="12">
        <f t="shared" si="3"/>
        <v>0.99951513171195983</v>
      </c>
      <c r="C13" s="12">
        <v>2.6092491149902344</v>
      </c>
      <c r="D13" s="14">
        <f t="shared" si="4"/>
        <v>0.1</v>
      </c>
      <c r="E13" s="14"/>
      <c r="H13" s="17">
        <f t="shared" si="5"/>
        <v>121266.59387558176</v>
      </c>
      <c r="I13" s="18">
        <f t="shared" si="6"/>
        <v>2.2613346576694227E-4</v>
      </c>
      <c r="L13" s="14">
        <v>0.1</v>
      </c>
      <c r="M13" s="12">
        <v>0.99962413311004639</v>
      </c>
    </row>
    <row r="14" spans="1:13" x14ac:dyDescent="0.3">
      <c r="A14" s="11">
        <v>150000</v>
      </c>
      <c r="B14" s="12">
        <f t="shared" si="3"/>
        <v>0.99974126517772677</v>
      </c>
      <c r="C14" s="12">
        <v>2.553239107131958</v>
      </c>
      <c r="D14" s="14">
        <f t="shared" si="4"/>
        <v>0.1</v>
      </c>
      <c r="E14" s="14"/>
      <c r="H14" s="17">
        <f t="shared" si="5"/>
        <v>191161.21399832549</v>
      </c>
      <c r="I14" s="18">
        <f t="shared" si="6"/>
        <v>1.4378428459160819E-4</v>
      </c>
      <c r="L14" s="14">
        <v>0.1</v>
      </c>
      <c r="M14" s="12">
        <v>0.99979943037033081</v>
      </c>
    </row>
    <row r="15" spans="1:13" x14ac:dyDescent="0.3">
      <c r="A15" s="11">
        <v>250000</v>
      </c>
      <c r="B15" s="12">
        <f t="shared" si="3"/>
        <v>0.99988504946231838</v>
      </c>
      <c r="C15" s="12">
        <v>2.4917082786560059</v>
      </c>
      <c r="D15" s="14">
        <f t="shared" si="1"/>
        <v>0.1</v>
      </c>
      <c r="E15" s="14"/>
      <c r="H15" s="17">
        <f t="shared" si="2"/>
        <v>338378.01976073429</v>
      </c>
      <c r="I15" s="18">
        <f t="shared" si="0"/>
        <v>7.9811811447227932E-5</v>
      </c>
      <c r="L15" s="14">
        <v>0.1</v>
      </c>
      <c r="M15" s="12">
        <v>0.99991089105606079</v>
      </c>
    </row>
    <row r="16" spans="1:13" x14ac:dyDescent="0.3">
      <c r="A16" s="11">
        <v>500000</v>
      </c>
      <c r="B16" s="12">
        <f t="shared" si="3"/>
        <v>0.9999648612737656</v>
      </c>
      <c r="C16" s="12">
        <v>2.5384664535522461</v>
      </c>
      <c r="D16" s="14">
        <f t="shared" si="1"/>
        <v>0.1</v>
      </c>
      <c r="E16" s="14"/>
      <c r="H16" s="17">
        <f>C16*A16</f>
        <v>1269233.226776123</v>
      </c>
      <c r="I16" s="18">
        <f>1-B16</f>
        <v>3.5138726234396067E-5</v>
      </c>
      <c r="L16" s="14">
        <v>0.1</v>
      </c>
      <c r="M16" s="12">
        <v>0.99997276067733765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1961</v>
      </c>
      <c r="C1" s="8" t="s">
        <v>24</v>
      </c>
      <c r="D1" s="10">
        <f>1000*[1]TD1!$C$68</f>
        <v>18803112.280894894</v>
      </c>
      <c r="E1" s="8" t="s">
        <v>30</v>
      </c>
      <c r="F1" s="21">
        <f>(SUMPRODUCT(D4:D14,H4:H14,I4:I14)/(D2*B2))/((1-SUMPRODUCT(D4:D14,H4:H14,I4:I14)/B2)/(1-D2))</f>
        <v>0.64849331855340608</v>
      </c>
      <c r="G1" s="19"/>
      <c r="H1" s="16"/>
    </row>
    <row r="2" spans="1:12" x14ac:dyDescent="0.3">
      <c r="A2" s="8" t="s">
        <v>12</v>
      </c>
      <c r="B2" s="11">
        <f>[1]TD2!$M$68</f>
        <v>837.93995928128072</v>
      </c>
      <c r="C2" s="8" t="s">
        <v>15</v>
      </c>
      <c r="D2" s="14">
        <f>[1]TD1!$F$68</f>
        <v>0.29602968207612856</v>
      </c>
      <c r="E2" s="18" t="s">
        <v>26</v>
      </c>
      <c r="I2" s="8"/>
      <c r="L2" s="14">
        <f>D2</f>
        <v>0.29602968207612856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0.3394547807964079</v>
      </c>
      <c r="E4" s="14"/>
      <c r="F4" s="8"/>
      <c r="G4" s="8"/>
      <c r="H4" s="17">
        <f>((1-B4)*B2-(1-B5)*C5*A5)/(B5-B4)</f>
        <v>457.03379070563886</v>
      </c>
      <c r="I4" s="18">
        <f>B5-B4</f>
        <v>0.77263167238059249</v>
      </c>
      <c r="L4" s="14"/>
    </row>
    <row r="5" spans="1:12" x14ac:dyDescent="0.3">
      <c r="A5" s="11">
        <v>990.91861204316751</v>
      </c>
      <c r="B5" s="12">
        <v>0.77263167238059249</v>
      </c>
      <c r="C5" s="8">
        <v>2.1518580972833994</v>
      </c>
      <c r="D5" s="14">
        <f t="shared" ref="D5:D14" si="0">L5*D$2/L$2</f>
        <v>0.21127195582889008</v>
      </c>
      <c r="E5" s="14"/>
      <c r="H5" s="17">
        <f>((1-B5)*C5*A5-(1-B6)*C6*A6)/(B6-B5)</f>
        <v>1252.9058478436973</v>
      </c>
      <c r="I5" s="18">
        <f>B6-B5</f>
        <v>0.10451948433529867</v>
      </c>
      <c r="L5" s="14">
        <v>0.21127195582889011</v>
      </c>
    </row>
    <row r="6" spans="1:12" x14ac:dyDescent="0.3">
      <c r="A6" s="11">
        <v>1524.4901723741038</v>
      </c>
      <c r="B6" s="12">
        <v>0.87715115671589117</v>
      </c>
      <c r="C6" s="8">
        <v>1.8894948764156947</v>
      </c>
      <c r="D6" s="14">
        <f t="shared" si="0"/>
        <v>0.10447159367907502</v>
      </c>
      <c r="E6" s="14"/>
      <c r="H6" s="17">
        <f t="shared" ref="H6:H13" si="1">((1-B6)*C6*A6-(1-B7)*C7*A7)/(B7-B6)</f>
        <v>1843.724957150964</v>
      </c>
      <c r="I6" s="18">
        <f t="shared" ref="I6:I13" si="2">B7-B6</f>
        <v>6.8605482676390439E-2</v>
      </c>
      <c r="L6" s="14">
        <v>0.10447159367907502</v>
      </c>
    </row>
    <row r="7" spans="1:12" x14ac:dyDescent="0.3">
      <c r="A7" s="11">
        <v>2286.7352585611557</v>
      </c>
      <c r="B7" s="12">
        <v>0.94575663939228161</v>
      </c>
      <c r="C7" s="8">
        <v>1.833102928526795</v>
      </c>
      <c r="D7" s="14">
        <f t="shared" si="0"/>
        <v>8.5464251297570543E-2</v>
      </c>
      <c r="E7" s="14"/>
      <c r="H7" s="17">
        <f t="shared" si="1"/>
        <v>2614.6408546959219</v>
      </c>
      <c r="I7" s="18">
        <f t="shared" si="2"/>
        <v>2.5165621144579986E-2</v>
      </c>
      <c r="L7" s="14">
        <v>8.5464251297570543E-2</v>
      </c>
    </row>
    <row r="8" spans="1:12" x14ac:dyDescent="0.3">
      <c r="A8" s="11">
        <v>3048.9803447482077</v>
      </c>
      <c r="B8" s="12">
        <v>0.97092226053686159</v>
      </c>
      <c r="C8" s="8">
        <v>1.8225134064438722</v>
      </c>
      <c r="D8" s="14">
        <f t="shared" si="0"/>
        <v>8.2891250857419746E-2</v>
      </c>
      <c r="E8" s="14"/>
      <c r="H8" s="17">
        <f t="shared" si="1"/>
        <v>3654.3446502442002</v>
      </c>
      <c r="I8" s="18">
        <f t="shared" si="2"/>
        <v>1.6902201893615132E-2</v>
      </c>
      <c r="L8" s="14">
        <v>8.2891250857419746E-2</v>
      </c>
    </row>
    <row r="9" spans="1:12" x14ac:dyDescent="0.3">
      <c r="A9" s="11">
        <v>4573.4705171223113</v>
      </c>
      <c r="B9" s="12">
        <v>0.98782446243047672</v>
      </c>
      <c r="C9" s="8">
        <v>1.792473653711194</v>
      </c>
      <c r="D9" s="14">
        <f t="shared" si="0"/>
        <v>7.8159818165611905E-2</v>
      </c>
      <c r="E9" s="14"/>
      <c r="H9" s="17">
        <f t="shared" si="1"/>
        <v>6075.1116813419194</v>
      </c>
      <c r="I9" s="18">
        <f t="shared" si="2"/>
        <v>9.5465047125409264E-3</v>
      </c>
      <c r="L9" s="14">
        <v>7.8159818165611905E-2</v>
      </c>
    </row>
    <row r="10" spans="1:12" x14ac:dyDescent="0.3">
      <c r="A10" s="11">
        <v>9146.9410342446226</v>
      </c>
      <c r="B10" s="12">
        <v>0.99737096714301765</v>
      </c>
      <c r="C10" s="12">
        <v>1.7389192323771763</v>
      </c>
      <c r="D10" s="14">
        <f t="shared" si="0"/>
        <v>7.7584217812644213E-2</v>
      </c>
      <c r="E10" s="14"/>
      <c r="H10" s="17">
        <f t="shared" si="1"/>
        <v>11376.969584935101</v>
      </c>
      <c r="I10" s="18">
        <f t="shared" si="2"/>
        <v>1.8439500590139435E-3</v>
      </c>
      <c r="L10" s="14">
        <v>7.7584217812644213E-2</v>
      </c>
    </row>
    <row r="11" spans="1:12" x14ac:dyDescent="0.3">
      <c r="A11" s="11">
        <v>15244.901723741039</v>
      </c>
      <c r="B11" s="12">
        <v>0.99921491720203159</v>
      </c>
      <c r="C11" s="12">
        <v>1.7410926703698686</v>
      </c>
      <c r="D11" s="14">
        <f t="shared" si="0"/>
        <v>7.9504257651125537E-2</v>
      </c>
      <c r="E11" s="14"/>
      <c r="H11" s="17">
        <f t="shared" si="1"/>
        <v>19936.619518374744</v>
      </c>
      <c r="I11" s="18">
        <f t="shared" si="2"/>
        <v>6.3079982839064908E-4</v>
      </c>
      <c r="L11" s="14">
        <v>7.9504257651125537E-2</v>
      </c>
    </row>
    <row r="12" spans="1:12" x14ac:dyDescent="0.3">
      <c r="A12" s="11">
        <v>30489.803447482078</v>
      </c>
      <c r="B12" s="12">
        <v>0.99984571703042224</v>
      </c>
      <c r="C12" s="12">
        <v>1.7564133057566356</v>
      </c>
      <c r="D12" s="14">
        <f t="shared" si="0"/>
        <v>9.1116173120728935E-2</v>
      </c>
      <c r="E12" s="14"/>
      <c r="H12" s="17">
        <f t="shared" si="1"/>
        <v>36574.481278439896</v>
      </c>
      <c r="I12" s="18">
        <f t="shared" si="2"/>
        <v>9.3388795097792965E-5</v>
      </c>
      <c r="L12" s="14">
        <v>9.1116173120728935E-2</v>
      </c>
    </row>
    <row r="13" spans="1:12" x14ac:dyDescent="0.3">
      <c r="A13" s="11">
        <v>45734.705171223111</v>
      </c>
      <c r="B13" s="12">
        <v>0.99993910582552004</v>
      </c>
      <c r="C13" s="12">
        <v>1.74027365356623</v>
      </c>
      <c r="D13" s="14">
        <f t="shared" si="0"/>
        <v>0.11253196930946291</v>
      </c>
      <c r="E13" s="14"/>
      <c r="H13" s="17">
        <f t="shared" si="1"/>
        <v>56684.521539669717</v>
      </c>
      <c r="I13" s="18">
        <f t="shared" si="2"/>
        <v>4.1588859775787412E-5</v>
      </c>
      <c r="L13" s="14">
        <v>0.11253196930946291</v>
      </c>
    </row>
    <row r="14" spans="1:12" x14ac:dyDescent="0.3">
      <c r="A14" s="11">
        <v>76224.508618705193</v>
      </c>
      <c r="B14" s="12">
        <v>0.99998069468529582</v>
      </c>
      <c r="C14" s="12">
        <v>1.6915482093663912</v>
      </c>
      <c r="D14" s="14">
        <f t="shared" si="0"/>
        <v>0.12672176308539945</v>
      </c>
      <c r="E14" s="14"/>
      <c r="H14" s="17">
        <f>C14*A14</f>
        <v>128937.43106380382</v>
      </c>
      <c r="I14" s="18">
        <f>1-B14</f>
        <v>1.9305314704176624E-5</v>
      </c>
      <c r="L14" s="14">
        <v>0.12672176308539945</v>
      </c>
    </row>
    <row r="15" spans="1:12" x14ac:dyDescent="0.3">
      <c r="A15" s="13"/>
      <c r="B15" s="13"/>
      <c r="C15" s="13"/>
      <c r="D15" s="13"/>
      <c r="E15" s="13"/>
      <c r="H15" s="13"/>
      <c r="I15" s="44"/>
      <c r="L15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1962</v>
      </c>
      <c r="C1" s="8" t="s">
        <v>24</v>
      </c>
      <c r="D1" s="10">
        <f>1000*[1]TD1!$C$69</f>
        <v>19026154.587401237</v>
      </c>
      <c r="E1" s="8" t="s">
        <v>30</v>
      </c>
      <c r="F1" s="21">
        <f>(SUMPRODUCT(D4:D14,H4:H14,I4:I14)/(D2*B2))/((1-SUMPRODUCT(D4:D14,H4:H14,I4:I14)/B2)/(1-D2))</f>
        <v>0.53086669342298876</v>
      </c>
      <c r="G1" s="19"/>
      <c r="H1" s="16"/>
    </row>
    <row r="2" spans="1:12" x14ac:dyDescent="0.3">
      <c r="A2" s="8" t="s">
        <v>12</v>
      </c>
      <c r="B2" s="11">
        <f>[1]TD2!$M$69</f>
        <v>943.54840156658815</v>
      </c>
      <c r="C2" s="8" t="s">
        <v>15</v>
      </c>
      <c r="D2" s="14">
        <f>[1]TD1!$F$69</f>
        <v>0.30819188913564677</v>
      </c>
      <c r="E2" s="18" t="s">
        <v>26</v>
      </c>
      <c r="I2" s="8"/>
      <c r="L2" s="14">
        <f>D2</f>
        <v>0.30819188913564677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0.41450101742887313</v>
      </c>
      <c r="E4" s="14"/>
      <c r="F4" s="8"/>
      <c r="G4" s="8"/>
      <c r="H4" s="17">
        <f>((1-B4)*B2-(1-B5)*C5*A5)/(B5-B4)</f>
        <v>400.4007371049222</v>
      </c>
      <c r="I4" s="18">
        <f>B5-B4</f>
        <v>0.63971036669543802</v>
      </c>
      <c r="L4" s="14"/>
    </row>
    <row r="5" spans="1:12" x14ac:dyDescent="0.3">
      <c r="A5" s="11">
        <v>990.91861204316751</v>
      </c>
      <c r="B5" s="12">
        <v>0.63971036669543802</v>
      </c>
      <c r="C5" s="8">
        <v>1.9254168427051421</v>
      </c>
      <c r="D5" s="14">
        <f t="shared" ref="D5:D14" si="0">L5*D$2/L$2</f>
        <v>0.13331963878426226</v>
      </c>
      <c r="E5" s="14"/>
      <c r="H5" s="17">
        <f>((1-B5)*C5*A5-(1-B6)*C6*A6)/(B6-B5)</f>
        <v>1207.7844022670643</v>
      </c>
      <c r="I5" s="18">
        <f>B6-B5</f>
        <v>0.21000803766514853</v>
      </c>
      <c r="L5" s="14">
        <v>0.13331963878426226</v>
      </c>
    </row>
    <row r="6" spans="1:12" x14ac:dyDescent="0.3">
      <c r="A6" s="11">
        <v>1524.4901723741038</v>
      </c>
      <c r="B6" s="12">
        <v>0.84971840436058654</v>
      </c>
      <c r="C6" s="8">
        <v>1.8933135577221474</v>
      </c>
      <c r="D6" s="14">
        <f t="shared" si="0"/>
        <v>0.11458159770726696</v>
      </c>
      <c r="E6" s="14"/>
      <c r="H6" s="17">
        <f t="shared" ref="H6:H13" si="1">((1-B6)*C6*A6-(1-B7)*C7*A7)/(B7-B6)</f>
        <v>1849.8635143797267</v>
      </c>
      <c r="I6" s="18">
        <f t="shared" ref="I6:I13" si="2">B7-B6</f>
        <v>8.2511516610736857E-2</v>
      </c>
      <c r="L6" s="14">
        <v>0.11458159770726696</v>
      </c>
    </row>
    <row r="7" spans="1:12" x14ac:dyDescent="0.3">
      <c r="A7" s="11">
        <v>2286.7352585611557</v>
      </c>
      <c r="B7" s="12">
        <v>0.9322299209713234</v>
      </c>
      <c r="C7" s="8">
        <v>1.8140567786874142</v>
      </c>
      <c r="D7" s="14">
        <f t="shared" si="0"/>
        <v>8.5576860729777493E-2</v>
      </c>
      <c r="E7" s="14"/>
      <c r="H7" s="17">
        <f t="shared" si="1"/>
        <v>2613.5994295228243</v>
      </c>
      <c r="I7" s="18">
        <f t="shared" si="2"/>
        <v>3.1612851521677587E-2</v>
      </c>
      <c r="L7" s="14">
        <v>8.5576860729777493E-2</v>
      </c>
    </row>
    <row r="8" spans="1:12" x14ac:dyDescent="0.3">
      <c r="A8" s="11">
        <v>3048.9803447482077</v>
      </c>
      <c r="B8" s="12">
        <v>0.96384277249300099</v>
      </c>
      <c r="C8" s="8">
        <v>1.8006193190325221</v>
      </c>
      <c r="D8" s="14">
        <f t="shared" si="0"/>
        <v>8.0631469648169252E-2</v>
      </c>
      <c r="E8" s="14"/>
      <c r="H8" s="17">
        <f t="shared" si="1"/>
        <v>3652.1516856637677</v>
      </c>
      <c r="I8" s="18">
        <f t="shared" si="2"/>
        <v>2.1360963831815072E-2</v>
      </c>
      <c r="L8" s="14">
        <v>8.0631469648169252E-2</v>
      </c>
    </row>
    <row r="9" spans="1:12" x14ac:dyDescent="0.3">
      <c r="A9" s="11">
        <v>4573.4705171223113</v>
      </c>
      <c r="B9" s="12">
        <v>0.98520373632481606</v>
      </c>
      <c r="C9" s="8">
        <v>1.7805692512444526</v>
      </c>
      <c r="D9" s="14">
        <f t="shared" si="0"/>
        <v>7.770784668976953E-2</v>
      </c>
      <c r="E9" s="14"/>
      <c r="H9" s="17">
        <f t="shared" si="1"/>
        <v>6068.6430674510002</v>
      </c>
      <c r="I9" s="18">
        <f t="shared" si="2"/>
        <v>1.1632881409812557E-2</v>
      </c>
      <c r="L9" s="14">
        <v>7.770784668976953E-2</v>
      </c>
    </row>
    <row r="10" spans="1:12" x14ac:dyDescent="0.3">
      <c r="A10" s="11">
        <v>9146.9410342446226</v>
      </c>
      <c r="B10" s="12">
        <v>0.99683661773462862</v>
      </c>
      <c r="C10" s="12">
        <v>1.7243939721202253</v>
      </c>
      <c r="D10" s="14">
        <f t="shared" si="0"/>
        <v>7.5507101800389526E-2</v>
      </c>
      <c r="E10" s="14"/>
      <c r="H10" s="17">
        <f t="shared" si="1"/>
        <v>11364.91093043943</v>
      </c>
      <c r="I10" s="18">
        <f t="shared" si="2"/>
        <v>2.2128486240661216E-3</v>
      </c>
      <c r="L10" s="14">
        <v>7.5507101800389526E-2</v>
      </c>
    </row>
    <row r="11" spans="1:12" x14ac:dyDescent="0.3">
      <c r="A11" s="11">
        <v>15244.901723741039</v>
      </c>
      <c r="B11" s="12">
        <v>0.99904946635869474</v>
      </c>
      <c r="C11" s="12">
        <v>1.7077727398396461</v>
      </c>
      <c r="D11" s="14">
        <f t="shared" si="0"/>
        <v>8.006247453483635E-2</v>
      </c>
      <c r="E11" s="14"/>
      <c r="H11" s="17">
        <f t="shared" si="1"/>
        <v>20007.106318907354</v>
      </c>
      <c r="I11" s="18">
        <f t="shared" si="2"/>
        <v>7.7398719390997517E-4</v>
      </c>
      <c r="L11" s="14">
        <v>8.006247453483635E-2</v>
      </c>
    </row>
    <row r="12" spans="1:12" x14ac:dyDescent="0.3">
      <c r="A12" s="11">
        <v>30489.803447482078</v>
      </c>
      <c r="B12" s="12">
        <v>0.99982345355260471</v>
      </c>
      <c r="C12" s="12">
        <v>1.7205954153021732</v>
      </c>
      <c r="D12" s="14">
        <f t="shared" si="0"/>
        <v>9.3307278944797262E-2</v>
      </c>
      <c r="E12" s="14"/>
      <c r="H12" s="17">
        <f t="shared" si="1"/>
        <v>36490.12824950854</v>
      </c>
      <c r="I12" s="18">
        <f t="shared" si="2"/>
        <v>1.0758874004701546E-4</v>
      </c>
      <c r="L12" s="14">
        <v>9.3307278944797262E-2</v>
      </c>
    </row>
    <row r="13" spans="1:12" x14ac:dyDescent="0.3">
      <c r="A13" s="11">
        <v>45734.705171223111</v>
      </c>
      <c r="B13" s="12">
        <v>0.99993104229265173</v>
      </c>
      <c r="C13" s="12">
        <v>1.6918877032520325</v>
      </c>
      <c r="D13" s="14">
        <f t="shared" si="0"/>
        <v>0.1121898597626753</v>
      </c>
      <c r="E13" s="14"/>
      <c r="H13" s="17">
        <f t="shared" si="1"/>
        <v>56321.113571120281</v>
      </c>
      <c r="I13" s="18">
        <f t="shared" si="2"/>
        <v>4.8722404506040817E-5</v>
      </c>
      <c r="L13" s="14">
        <v>0.1121898597626753</v>
      </c>
    </row>
    <row r="14" spans="1:12" x14ac:dyDescent="0.3">
      <c r="A14" s="11">
        <v>76224.508618705193</v>
      </c>
      <c r="B14" s="12">
        <v>0.99997976469715777</v>
      </c>
      <c r="C14" s="12">
        <v>1.6802805194805195</v>
      </c>
      <c r="D14" s="14">
        <f t="shared" si="0"/>
        <v>0.12727272727272726</v>
      </c>
      <c r="E14" s="14"/>
      <c r="H14" s="17">
        <f>C14*A14</f>
        <v>128078.55693898529</v>
      </c>
      <c r="I14" s="18">
        <f>1-B14</f>
        <v>2.0235302842230851E-5</v>
      </c>
      <c r="L14" s="14">
        <v>0.12727272727272726</v>
      </c>
    </row>
    <row r="15" spans="1:12" x14ac:dyDescent="0.3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H8" sqref="H8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1963</v>
      </c>
      <c r="C1" s="8" t="s">
        <v>24</v>
      </c>
      <c r="D1" s="10">
        <f>1000*[1]TD1!$C$70</f>
        <v>19535313.290464625</v>
      </c>
      <c r="E1" s="8" t="s">
        <v>30</v>
      </c>
      <c r="F1" s="21">
        <f>(SUMPRODUCT(D4:D14,H4:H14,I4:I14)/(D2*B2))/((1-SUMPRODUCT(D4:D14,H4:H14,I4:I14)/B2)/(1-D2))</f>
        <v>0.56417547556161407</v>
      </c>
      <c r="G1" s="19"/>
      <c r="H1" s="16"/>
    </row>
    <row r="2" spans="1:12" x14ac:dyDescent="0.3">
      <c r="A2" s="8" t="s">
        <v>12</v>
      </c>
      <c r="B2" s="11">
        <f>[1]TD2!$M$70</f>
        <v>1031.3786135335831</v>
      </c>
      <c r="C2" s="8" t="s">
        <v>15</v>
      </c>
      <c r="D2" s="14">
        <f>[1]TD1!$F$70</f>
        <v>0.31805408197039253</v>
      </c>
      <c r="E2" s="18" t="s">
        <v>26</v>
      </c>
      <c r="I2" s="8"/>
      <c r="L2" s="14">
        <f>D2/0.95</f>
        <v>0.33479377049515002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0.39888315771486782</v>
      </c>
      <c r="E4" s="14"/>
      <c r="F4" s="8"/>
      <c r="G4" s="8"/>
      <c r="H4" s="17">
        <f>((1-B4)*B2-(1-B5)*C5*A5)/(B5-B4)</f>
        <v>468.68398423901101</v>
      </c>
      <c r="I4" s="18">
        <f>B5-B4</f>
        <v>0.66681616664170029</v>
      </c>
      <c r="L4" s="14"/>
    </row>
    <row r="5" spans="1:12" x14ac:dyDescent="0.3">
      <c r="A5" s="9">
        <v>990.91861204316751</v>
      </c>
      <c r="B5" s="12">
        <v>0.66681616664170029</v>
      </c>
      <c r="C5" s="8">
        <v>2.177298207050065</v>
      </c>
      <c r="D5" s="14">
        <f t="shared" ref="D5:D14" si="0">L5*D$2/L$2</f>
        <v>0.22318748557152948</v>
      </c>
      <c r="E5" s="14"/>
      <c r="H5" s="17">
        <f>((1-B5)*C5*A5-(1-B6)*C6*A6)/(B6-B5)</f>
        <v>1216.947796987213</v>
      </c>
      <c r="I5" s="18">
        <f>B6-B5</f>
        <v>0.15039460257987558</v>
      </c>
      <c r="L5" s="14">
        <v>0.23493419533845208</v>
      </c>
    </row>
    <row r="6" spans="1:12" x14ac:dyDescent="0.3">
      <c r="A6" s="9">
        <v>1524.4901723741038</v>
      </c>
      <c r="B6" s="12">
        <v>0.81721076922157587</v>
      </c>
      <c r="C6" s="8">
        <v>1.9228788968545485</v>
      </c>
      <c r="D6" s="14">
        <f t="shared" si="0"/>
        <v>0.1209952599969155</v>
      </c>
      <c r="E6" s="14"/>
      <c r="H6" s="17">
        <f t="shared" ref="H6:H13" si="1">((1-B6)*C6*A6-(1-B7)*C7*A7)/(B7-B6)</f>
        <v>1857.0545181609427</v>
      </c>
      <c r="I6" s="18">
        <f t="shared" ref="I6:I13" si="2">B7-B6</f>
        <v>9.6758770196031851E-2</v>
      </c>
      <c r="L6" s="14">
        <v>0.12736343157570051</v>
      </c>
    </row>
    <row r="7" spans="1:12" x14ac:dyDescent="0.3">
      <c r="A7" s="9">
        <v>2286.7352585611557</v>
      </c>
      <c r="B7" s="12">
        <v>0.91396953941760772</v>
      </c>
      <c r="C7" s="8">
        <v>1.8103282574650488</v>
      </c>
      <c r="D7" s="14">
        <f t="shared" si="0"/>
        <v>8.4342236202016349E-2</v>
      </c>
      <c r="E7" s="14"/>
      <c r="H7" s="17">
        <f t="shared" si="1"/>
        <v>2615.7059717542083</v>
      </c>
      <c r="I7" s="18">
        <f t="shared" si="2"/>
        <v>3.9659921931130437E-2</v>
      </c>
      <c r="L7" s="14">
        <v>8.878130126528036E-2</v>
      </c>
    </row>
    <row r="8" spans="1:12" x14ac:dyDescent="0.3">
      <c r="A8" s="9">
        <v>3048.9803447482077</v>
      </c>
      <c r="B8" s="12">
        <v>0.95362946134873816</v>
      </c>
      <c r="C8" s="8">
        <v>1.7852600227628239</v>
      </c>
      <c r="D8" s="14">
        <f t="shared" si="0"/>
        <v>7.5614828401008014E-2</v>
      </c>
      <c r="E8" s="14"/>
      <c r="H8" s="17">
        <f t="shared" si="1"/>
        <v>3905.7193981609439</v>
      </c>
      <c r="I8" s="18">
        <f t="shared" si="2"/>
        <v>3.3881821609847207E-2</v>
      </c>
      <c r="L8" s="14">
        <v>7.9594556211587383E-2</v>
      </c>
    </row>
    <row r="9" spans="1:12" x14ac:dyDescent="0.3">
      <c r="A9" s="9">
        <v>5488.1646205467741</v>
      </c>
      <c r="B9" s="12">
        <v>0.98751128295858537</v>
      </c>
      <c r="C9" s="8">
        <v>1.7518535900669432</v>
      </c>
      <c r="D9" s="14">
        <f t="shared" si="0"/>
        <v>7.1452408719834937E-2</v>
      </c>
      <c r="E9" s="14"/>
      <c r="H9" s="17">
        <f t="shared" ref="H9" si="3">((1-B9)*C9*A9-(1-B10)*C10*A10)/(B10-B9)</f>
        <v>6841.7100323523709</v>
      </c>
      <c r="I9" s="18">
        <f t="shared" ref="I9" si="4">B10-B9</f>
        <v>8.5591153576028978E-3</v>
      </c>
      <c r="L9" s="14">
        <v>7.5213061810352561E-2</v>
      </c>
    </row>
    <row r="10" spans="1:12" x14ac:dyDescent="0.3">
      <c r="A10" s="11">
        <v>9146.9410342446226</v>
      </c>
      <c r="B10" s="12">
        <v>0.99607039831618827</v>
      </c>
      <c r="C10" s="12">
        <v>1.7113726562974929</v>
      </c>
      <c r="D10" s="14">
        <f t="shared" si="0"/>
        <v>6.8702191345478725E-2</v>
      </c>
      <c r="E10" s="14"/>
      <c r="H10" s="17">
        <f t="shared" si="1"/>
        <v>11370.000477358144</v>
      </c>
      <c r="I10" s="18">
        <f t="shared" si="2"/>
        <v>2.7704700301078855E-3</v>
      </c>
      <c r="L10" s="14">
        <v>7.2318096153135503E-2</v>
      </c>
    </row>
    <row r="11" spans="1:12" x14ac:dyDescent="0.3">
      <c r="A11" s="11">
        <v>15244.901723741039</v>
      </c>
      <c r="B11" s="12">
        <v>0.99884086834629615</v>
      </c>
      <c r="C11" s="12">
        <v>1.698449920508744</v>
      </c>
      <c r="D11" s="14">
        <f t="shared" si="0"/>
        <v>7.4364796194183153E-2</v>
      </c>
      <c r="E11" s="14"/>
      <c r="H11" s="17">
        <f t="shared" si="1"/>
        <v>19959.423431803076</v>
      </c>
      <c r="I11" s="18">
        <f t="shared" si="2"/>
        <v>9.4690060635105322E-4</v>
      </c>
      <c r="L11" s="14">
        <v>7.8278732835982273E-2</v>
      </c>
    </row>
    <row r="12" spans="1:12" x14ac:dyDescent="0.3">
      <c r="A12" s="11">
        <v>30489.803447482078</v>
      </c>
      <c r="B12" s="12">
        <v>0.9997877689526472</v>
      </c>
      <c r="C12" s="12">
        <v>1.7174565846599132</v>
      </c>
      <c r="D12" s="14">
        <f t="shared" si="0"/>
        <v>8.2915851272015659E-2</v>
      </c>
      <c r="E12" s="14"/>
      <c r="H12" s="17">
        <f t="shared" si="1"/>
        <v>36529.230874399414</v>
      </c>
      <c r="I12" s="18">
        <f t="shared" si="2"/>
        <v>1.3078879063832538E-4</v>
      </c>
      <c r="L12" s="14">
        <v>8.7279843444227012E-2</v>
      </c>
    </row>
    <row r="13" spans="1:12" x14ac:dyDescent="0.3">
      <c r="A13" s="11">
        <v>45734.705171223111</v>
      </c>
      <c r="B13" s="12">
        <v>0.99991855774328553</v>
      </c>
      <c r="C13" s="12">
        <v>1.7010182275298555</v>
      </c>
      <c r="D13" s="14">
        <f t="shared" si="0"/>
        <v>0.10115350488021296</v>
      </c>
      <c r="E13" s="14"/>
      <c r="H13" s="17">
        <f t="shared" si="1"/>
        <v>57681.594925789817</v>
      </c>
      <c r="I13" s="18">
        <f t="shared" si="2"/>
        <v>5.7690398062359982E-5</v>
      </c>
      <c r="L13" s="14">
        <v>0.1064773735581189</v>
      </c>
    </row>
    <row r="14" spans="1:12" x14ac:dyDescent="0.3">
      <c r="A14" s="11">
        <v>76224.508618705193</v>
      </c>
      <c r="B14" s="12">
        <v>0.99997624814134789</v>
      </c>
      <c r="C14" s="12">
        <v>1.6615387931034482</v>
      </c>
      <c r="D14" s="14">
        <f t="shared" si="0"/>
        <v>0.11875000000000001</v>
      </c>
      <c r="E14" s="14"/>
      <c r="H14" s="17">
        <f>C14*A14</f>
        <v>126649.97805522681</v>
      </c>
      <c r="I14" s="18">
        <f>1-B14</f>
        <v>2.3751858652110158E-5</v>
      </c>
      <c r="L14" s="14">
        <v>0.125</v>
      </c>
    </row>
    <row r="15" spans="1:12" x14ac:dyDescent="0.3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19" sqref="A19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1964</v>
      </c>
      <c r="C1" s="8" t="s">
        <v>24</v>
      </c>
      <c r="D1" s="10">
        <f>1000*[1]TD1!$C$71</f>
        <v>19803518.273769379</v>
      </c>
      <c r="E1" s="8" t="s">
        <v>30</v>
      </c>
      <c r="F1" s="21">
        <f>(SUMPRODUCT(D4:D15,H4:H15,I4:I15)/(D2*B2))/((1-SUMPRODUCT(D4:D15,H4:H15,I4:I15)/B2)/(1-D2))</f>
        <v>0.53106107874961606</v>
      </c>
      <c r="G1" s="19"/>
      <c r="H1" s="16"/>
    </row>
    <row r="2" spans="1:12" x14ac:dyDescent="0.3">
      <c r="A2" s="8" t="s">
        <v>12</v>
      </c>
      <c r="B2" s="11">
        <f>[1]TD2!$M$71</f>
        <v>1119.6756359773915</v>
      </c>
      <c r="C2" s="8" t="s">
        <v>15</v>
      </c>
      <c r="D2" s="14">
        <f>[1]TD1!$F$71</f>
        <v>0.33062412215100845</v>
      </c>
      <c r="E2" s="18" t="s">
        <v>26</v>
      </c>
      <c r="I2" s="8"/>
      <c r="L2" s="14">
        <f>D2/0.95</f>
        <v>0.34802539173790364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(D2-SUMPRODUCT(D5:D15,I5:I15))/I4</f>
        <v>0.42629216227502886</v>
      </c>
      <c r="E4" s="14"/>
      <c r="F4" s="8"/>
      <c r="G4" s="8"/>
      <c r="H4" s="17">
        <f>((1-B4)*B2-(1-B5)*C5*A5)/(B5-B4)</f>
        <v>449.21746359333343</v>
      </c>
      <c r="I4" s="18">
        <f>B5-B4</f>
        <v>0.62332498762484878</v>
      </c>
      <c r="L4" s="14"/>
    </row>
    <row r="5" spans="1:12" x14ac:dyDescent="0.3">
      <c r="A5" s="9">
        <v>990.91861204316751</v>
      </c>
      <c r="B5" s="12">
        <v>0.62332498762484878</v>
      </c>
      <c r="C5" s="8">
        <v>2.2495848273209673</v>
      </c>
      <c r="D5" s="14">
        <f t="shared" ref="D5:D15" si="0">L5*D$2/L$2</f>
        <v>0.25485461607926035</v>
      </c>
      <c r="E5" s="14"/>
      <c r="H5" s="17">
        <f>((1-B5)*C5*A5-(1-B6)*C6*A6)/(B6-B5)</f>
        <v>1232.2958751607025</v>
      </c>
      <c r="I5" s="18">
        <f>B6-B5</f>
        <v>0.16370886578134891</v>
      </c>
      <c r="L5" s="14">
        <v>0.2682680169255372</v>
      </c>
    </row>
    <row r="6" spans="1:12" x14ac:dyDescent="0.3">
      <c r="A6" s="9">
        <v>1524.4901723741038</v>
      </c>
      <c r="B6" s="12">
        <v>0.78703385340619769</v>
      </c>
      <c r="C6" s="8">
        <v>1.9648862792167192</v>
      </c>
      <c r="D6" s="14">
        <f t="shared" si="0"/>
        <v>0.13401524156212918</v>
      </c>
      <c r="E6" s="14"/>
      <c r="H6" s="17">
        <f t="shared" ref="H6:H14" si="1">((1-B6)*C6*A6-(1-B7)*C7*A7)/(B7-B6)</f>
        <v>1862.261693143307</v>
      </c>
      <c r="I6" s="18">
        <f t="shared" ref="I6:I14" si="2">B7-B6</f>
        <v>0.10894862868747179</v>
      </c>
      <c r="L6" s="14">
        <v>0.14106867532855705</v>
      </c>
    </row>
    <row r="7" spans="1:12" x14ac:dyDescent="0.3">
      <c r="A7" s="9">
        <v>2286.7352585611557</v>
      </c>
      <c r="B7" s="12">
        <v>0.89598248209366949</v>
      </c>
      <c r="C7" s="8">
        <v>1.8289648818318265</v>
      </c>
      <c r="D7" s="14">
        <f t="shared" si="0"/>
        <v>9.0357549044847565E-2</v>
      </c>
      <c r="E7" s="14"/>
      <c r="H7" s="17">
        <f t="shared" si="1"/>
        <v>2616.8763908544584</v>
      </c>
      <c r="I7" s="18">
        <f t="shared" si="2"/>
        <v>4.7435299307113876E-2</v>
      </c>
      <c r="L7" s="14">
        <v>9.5113209520892181E-2</v>
      </c>
    </row>
    <row r="8" spans="1:12" x14ac:dyDescent="0.3">
      <c r="A8" s="9">
        <v>3048.9803447482077</v>
      </c>
      <c r="B8" s="12">
        <v>0.94341778140078336</v>
      </c>
      <c r="C8" s="8">
        <v>1.8021661682404797</v>
      </c>
      <c r="D8" s="14">
        <f t="shared" si="0"/>
        <v>7.7759827679052221E-2</v>
      </c>
      <c r="E8" s="14"/>
      <c r="H8" s="17">
        <f t="shared" si="1"/>
        <v>3871.3905167807779</v>
      </c>
      <c r="I8" s="18">
        <f t="shared" si="2"/>
        <v>4.0040309456036538E-2</v>
      </c>
      <c r="L8" s="14">
        <v>8.1852450188476034E-2</v>
      </c>
    </row>
    <row r="9" spans="1:12" x14ac:dyDescent="0.3">
      <c r="A9" s="9">
        <v>5335.7156033093634</v>
      </c>
      <c r="B9" s="12">
        <v>0.9834580908568199</v>
      </c>
      <c r="C9" s="8">
        <v>1.7662519471321991</v>
      </c>
      <c r="D9" s="14">
        <f t="shared" si="0"/>
        <v>7.2871741516183738E-2</v>
      </c>
      <c r="E9" s="14"/>
      <c r="H9" s="17">
        <f t="shared" si="1"/>
        <v>6006.9786345203147</v>
      </c>
      <c r="I9" s="18">
        <f t="shared" si="2"/>
        <v>7.0859126171468612E-3</v>
      </c>
      <c r="L9" s="14">
        <v>7.6707096332824992E-2</v>
      </c>
    </row>
    <row r="10" spans="1:12" x14ac:dyDescent="0.3">
      <c r="A10" s="9">
        <v>6860.2057756834674</v>
      </c>
      <c r="B10" s="12">
        <v>0.99054400347396676</v>
      </c>
      <c r="C10" s="8">
        <v>1.7470246677560495</v>
      </c>
      <c r="D10" s="14">
        <f t="shared" si="0"/>
        <v>7.1255631584295917E-2</v>
      </c>
      <c r="E10" s="14"/>
      <c r="H10" s="17">
        <f t="shared" si="1"/>
        <v>8350.2656878978742</v>
      </c>
      <c r="I10" s="18">
        <f t="shared" si="2"/>
        <v>5.9627788541194437E-3</v>
      </c>
      <c r="L10" s="14">
        <v>7.5005927983469389E-2</v>
      </c>
    </row>
    <row r="11" spans="1:12" x14ac:dyDescent="0.3">
      <c r="A11" s="11">
        <v>10671.431206618727</v>
      </c>
      <c r="B11" s="12">
        <v>0.9965067823280862</v>
      </c>
      <c r="C11" s="12">
        <v>1.7044764437909659</v>
      </c>
      <c r="D11" s="14">
        <f t="shared" si="0"/>
        <v>6.5361100019964063E-2</v>
      </c>
      <c r="E11" s="14"/>
      <c r="H11" s="17">
        <f t="shared" si="1"/>
        <v>12531.014758092351</v>
      </c>
      <c r="I11" s="18">
        <f t="shared" si="2"/>
        <v>2.0234788306821017E-3</v>
      </c>
      <c r="L11" s="14">
        <v>6.8801157915751643E-2</v>
      </c>
    </row>
    <row r="12" spans="1:12" x14ac:dyDescent="0.3">
      <c r="A12" s="11">
        <v>15244.901723741039</v>
      </c>
      <c r="B12" s="12">
        <v>0.99853026115876831</v>
      </c>
      <c r="C12" s="12">
        <v>1.7041221741221741</v>
      </c>
      <c r="D12" s="14">
        <f t="shared" si="0"/>
        <v>6.9246940304720672E-2</v>
      </c>
      <c r="E12" s="14"/>
      <c r="H12" s="17">
        <f t="shared" si="1"/>
        <v>19957.119758299625</v>
      </c>
      <c r="I12" s="18">
        <f t="shared" si="2"/>
        <v>1.213016781559384E-3</v>
      </c>
      <c r="L12" s="14">
        <v>7.2891516110232285E-2</v>
      </c>
    </row>
    <row r="13" spans="1:12" x14ac:dyDescent="0.3">
      <c r="A13" s="11">
        <v>30489.803447482078</v>
      </c>
      <c r="B13" s="12">
        <v>0.99974327794032769</v>
      </c>
      <c r="C13" s="12">
        <v>1.7853019276160504</v>
      </c>
      <c r="D13" s="14">
        <f t="shared" si="0"/>
        <v>9.595647937642092E-2</v>
      </c>
      <c r="E13" s="14"/>
      <c r="H13" s="17">
        <f t="shared" si="1"/>
        <v>39904.607158968989</v>
      </c>
      <c r="I13" s="18">
        <f t="shared" si="2"/>
        <v>1.5547742362920225E-4</v>
      </c>
      <c r="L13" s="14">
        <v>0.10100682039623254</v>
      </c>
    </row>
    <row r="14" spans="1:12" x14ac:dyDescent="0.3">
      <c r="A14" s="11">
        <v>45734.705171223111</v>
      </c>
      <c r="B14" s="12">
        <v>0.99989875536395689</v>
      </c>
      <c r="C14" s="12">
        <v>1.6780465502909394</v>
      </c>
      <c r="D14" s="14">
        <f t="shared" si="0"/>
        <v>0.10102112676056338</v>
      </c>
      <c r="E14" s="14"/>
      <c r="H14" s="17">
        <f t="shared" si="1"/>
        <v>56953.557179857038</v>
      </c>
      <c r="I14" s="18">
        <f t="shared" si="2"/>
        <v>7.1704430514296646E-5</v>
      </c>
      <c r="L14" s="14">
        <v>0.10633802816901408</v>
      </c>
    </row>
    <row r="15" spans="1:12" x14ac:dyDescent="0.3">
      <c r="A15" s="11">
        <v>76224.508618705193</v>
      </c>
      <c r="B15" s="12">
        <v>0.99997045979447119</v>
      </c>
      <c r="C15" s="12">
        <v>1.6370803418803419</v>
      </c>
      <c r="D15" s="14">
        <f t="shared" si="0"/>
        <v>0.11854700854700854</v>
      </c>
      <c r="E15" s="14"/>
      <c r="H15" s="17">
        <f>C15*A15</f>
        <v>124785.64462917096</v>
      </c>
      <c r="I15" s="18">
        <f>1-B15</f>
        <v>2.9540205528810759E-5</v>
      </c>
      <c r="L15" s="14">
        <v>0.12478632478632479</v>
      </c>
    </row>
    <row r="16" spans="1:12" x14ac:dyDescent="0.3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E12" sqref="E12"/>
    </sheetView>
  </sheetViews>
  <sheetFormatPr baseColWidth="10" defaultRowHeight="15.6" x14ac:dyDescent="0.3"/>
  <cols>
    <col min="1" max="1" width="12.5" customWidth="1"/>
    <col min="2" max="2" width="12.796875" customWidth="1"/>
    <col min="3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1965</v>
      </c>
      <c r="C1" s="8" t="s">
        <v>24</v>
      </c>
      <c r="D1" s="10">
        <f>1000*[1]TD1!$C$72</f>
        <v>20017680.794129152</v>
      </c>
      <c r="E1" s="8" t="s">
        <v>30</v>
      </c>
      <c r="F1" s="21">
        <f>(SUMPRODUCT(D4:D13,H4:H13,I4:I13)/(D2*B2))/((1-SUMPRODUCT(D4:D13,H4:H13,I4:I13)/B2)/(1-D2))</f>
        <v>0.64663914842263659</v>
      </c>
      <c r="G1" s="19"/>
      <c r="H1" s="16"/>
    </row>
    <row r="2" spans="1:12" x14ac:dyDescent="0.3">
      <c r="A2" s="8" t="s">
        <v>12</v>
      </c>
      <c r="B2" s="11">
        <f>[1]TD2!$M$72</f>
        <v>1198.7532708108138</v>
      </c>
      <c r="C2" s="8" t="s">
        <v>15</v>
      </c>
      <c r="D2" s="14">
        <f>[1]TD1!$F$72</f>
        <v>0.3371153480896989</v>
      </c>
      <c r="E2" s="18" t="s">
        <v>26</v>
      </c>
      <c r="I2" s="8"/>
      <c r="L2" s="14">
        <f>D2/0.95</f>
        <v>0.35485826114705149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0.37165355009835005</v>
      </c>
      <c r="E4" s="14"/>
      <c r="H4" s="17">
        <f>((1-B4)*B2-(1-B5)*C5*A5)/(B5-B4)</f>
        <v>779.36873977331584</v>
      </c>
      <c r="I4" s="18">
        <f>B5-B4</f>
        <v>0.87902612960958848</v>
      </c>
    </row>
    <row r="5" spans="1:12" x14ac:dyDescent="0.3">
      <c r="A5" s="11">
        <v>2286.7352585611557</v>
      </c>
      <c r="B5" s="12">
        <v>0.87902612960958848</v>
      </c>
      <c r="C5" s="8">
        <v>1.8568416329275594</v>
      </c>
      <c r="D5" s="14">
        <f>L5*D$2/L$2</f>
        <v>9.8277865103706799E-2</v>
      </c>
      <c r="E5" s="14"/>
      <c r="H5" s="17">
        <f t="shared" ref="H5:H12" si="0">((1-B5)*C5*A5-(1-B6)*C6*A6)/(B6-B5)</f>
        <v>2619.6160785709544</v>
      </c>
      <c r="I5" s="18">
        <f t="shared" ref="I5:I12" si="1">B6-B5</f>
        <v>5.3950172001061336E-2</v>
      </c>
      <c r="L5" s="14">
        <v>0.10345038431969138</v>
      </c>
    </row>
    <row r="6" spans="1:12" x14ac:dyDescent="0.3">
      <c r="A6" s="11">
        <v>3048.9803447482077</v>
      </c>
      <c r="B6" s="12">
        <v>0.93297630161064982</v>
      </c>
      <c r="C6" s="8">
        <v>1.8220301879985898</v>
      </c>
      <c r="D6" s="14">
        <f>L6*D$2/L$2</f>
        <v>7.8468155710201909E-2</v>
      </c>
      <c r="E6" s="14"/>
      <c r="H6" s="17">
        <f t="shared" si="0"/>
        <v>3948.0339421796011</v>
      </c>
      <c r="I6" s="18">
        <f t="shared" si="1"/>
        <v>4.7270461035502032E-2</v>
      </c>
      <c r="L6" s="14">
        <v>8.2598058642317798E-2</v>
      </c>
    </row>
    <row r="7" spans="1:12" x14ac:dyDescent="0.3">
      <c r="A7" s="11">
        <v>5335.7156033093634</v>
      </c>
      <c r="B7" s="12">
        <v>0.98024676264615185</v>
      </c>
      <c r="C7" s="12">
        <v>1.7620283695425192</v>
      </c>
      <c r="D7" s="14">
        <f t="shared" ref="D7:D13" si="2">L7*D$2/L$2</f>
        <v>7.3070874107865488E-2</v>
      </c>
      <c r="E7" s="14"/>
      <c r="H7" s="17">
        <f t="shared" si="0"/>
        <v>6276.0831094463756</v>
      </c>
      <c r="I7" s="18">
        <f t="shared" si="1"/>
        <v>1.0863196502952421E-2</v>
      </c>
      <c r="L7" s="14">
        <v>7.6916709587226836E-2</v>
      </c>
    </row>
    <row r="8" spans="1:12" x14ac:dyDescent="0.3">
      <c r="A8" s="11">
        <v>6860.2057756834674</v>
      </c>
      <c r="B8" s="12">
        <v>0.99110995914910427</v>
      </c>
      <c r="C8" s="12">
        <v>1.9272034225304098</v>
      </c>
      <c r="D8" s="14">
        <f t="shared" si="2"/>
        <v>6.9177343080520079E-2</v>
      </c>
      <c r="E8" s="14"/>
      <c r="H8" s="17">
        <f t="shared" si="0"/>
        <v>8897.4644906166668</v>
      </c>
      <c r="I8" s="18">
        <f t="shared" si="1"/>
        <v>4.721975586088889E-3</v>
      </c>
      <c r="L8" s="14">
        <v>7.2818255874231672E-2</v>
      </c>
    </row>
    <row r="9" spans="1:12" x14ac:dyDescent="0.3">
      <c r="A9" s="17">
        <v>10671.431206618727</v>
      </c>
      <c r="B9" s="12">
        <v>0.99583193473519316</v>
      </c>
      <c r="C9" s="12">
        <v>1.6979102637639223</v>
      </c>
      <c r="D9" s="14">
        <f t="shared" si="2"/>
        <v>6.7515399983351362E-2</v>
      </c>
      <c r="E9" s="14"/>
      <c r="H9" s="17">
        <f t="shared" si="0"/>
        <v>12515.492615513709</v>
      </c>
      <c r="I9" s="18">
        <f t="shared" si="1"/>
        <v>2.4004778822376283E-3</v>
      </c>
      <c r="L9" s="14">
        <v>7.1068842087738282E-2</v>
      </c>
    </row>
    <row r="10" spans="1:12" x14ac:dyDescent="0.3">
      <c r="A10" s="17">
        <v>15244.901723741039</v>
      </c>
      <c r="B10" s="12">
        <v>0.99823241261743079</v>
      </c>
      <c r="C10" s="12">
        <v>1.6877232004069751</v>
      </c>
      <c r="D10" s="14">
        <f t="shared" si="2"/>
        <v>6.8728273963173284E-2</v>
      </c>
      <c r="E10" s="14"/>
      <c r="H10" s="17">
        <f t="shared" si="0"/>
        <v>20015.435747640862</v>
      </c>
      <c r="I10" s="18">
        <f t="shared" si="1"/>
        <v>1.451466845675875E-3</v>
      </c>
      <c r="L10" s="14">
        <v>7.2345551540182407E-2</v>
      </c>
    </row>
    <row r="11" spans="1:12" x14ac:dyDescent="0.3">
      <c r="A11" s="17">
        <v>30489.803447482078</v>
      </c>
      <c r="B11" s="12">
        <v>0.99968387946310666</v>
      </c>
      <c r="C11" s="12">
        <v>1.7043007269279393</v>
      </c>
      <c r="D11" s="14">
        <f t="shared" si="2"/>
        <v>8.3737864077669893E-2</v>
      </c>
      <c r="E11" s="14"/>
      <c r="H11" s="17">
        <f t="shared" si="0"/>
        <v>36373.774637571449</v>
      </c>
      <c r="I11" s="18">
        <f t="shared" si="1"/>
        <v>1.9552714623904954E-4</v>
      </c>
      <c r="L11" s="14">
        <v>8.8145120081757788E-2</v>
      </c>
    </row>
    <row r="12" spans="1:12" x14ac:dyDescent="0.3">
      <c r="A12" s="17">
        <v>45734.705171223111</v>
      </c>
      <c r="B12" s="12">
        <v>0.99987940660934571</v>
      </c>
      <c r="C12" s="12">
        <v>1.6888939519469759</v>
      </c>
      <c r="D12" s="14">
        <f t="shared" si="2"/>
        <v>9.1632771644392791E-2</v>
      </c>
      <c r="E12" s="14"/>
      <c r="H12" s="17">
        <f t="shared" si="0"/>
        <v>56722.904353255333</v>
      </c>
      <c r="I12" s="18">
        <f t="shared" si="1"/>
        <v>8.5973995574195605E-5</v>
      </c>
      <c r="L12" s="14">
        <v>9.6455549099360841E-2</v>
      </c>
    </row>
    <row r="13" spans="1:12" x14ac:dyDescent="0.3">
      <c r="A13" s="17">
        <v>76224.508618705193</v>
      </c>
      <c r="B13" s="12">
        <v>0.99996538060491991</v>
      </c>
      <c r="C13" s="12">
        <v>1.6818210678210679</v>
      </c>
      <c r="D13" s="14">
        <f t="shared" si="2"/>
        <v>0.12474747474747476</v>
      </c>
      <c r="E13" s="14"/>
      <c r="H13" s="17">
        <f>C13*A13</f>
        <v>128195.98447924697</v>
      </c>
      <c r="I13" s="18">
        <f>1-B13</f>
        <v>3.4619395080093263E-5</v>
      </c>
      <c r="L13" s="14">
        <v>0.13131313131313133</v>
      </c>
    </row>
    <row r="14" spans="1:12" x14ac:dyDescent="0.3">
      <c r="I14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D4" sqref="D4:I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1966</v>
      </c>
      <c r="C1" s="8" t="s">
        <v>24</v>
      </c>
      <c r="D1" s="10">
        <f>1000*[1]TD1!$C$73</f>
        <v>20165510.76530382</v>
      </c>
      <c r="E1" s="8" t="s">
        <v>30</v>
      </c>
      <c r="F1" s="21">
        <f>(SUMPRODUCT(D4:D13,H4:H13,I4:I13)/(D2*B2))/((1-SUMPRODUCT(D4:D13,H4:H13,I4:I13)/B2)/(1-D2))</f>
        <v>0.63568583263766021</v>
      </c>
      <c r="G1" s="19"/>
      <c r="H1" s="16"/>
    </row>
    <row r="2" spans="1:12" x14ac:dyDescent="0.3">
      <c r="A2" s="8" t="s">
        <v>12</v>
      </c>
      <c r="B2" s="11">
        <f>[1]TD2!$M$73</f>
        <v>1288.1190938941193</v>
      </c>
      <c r="C2" s="8" t="s">
        <v>15</v>
      </c>
      <c r="D2" s="14">
        <f>[1]TD1!$F$73</f>
        <v>0.34100858253420752</v>
      </c>
      <c r="E2" s="18" t="s">
        <v>26</v>
      </c>
      <c r="I2" s="8"/>
      <c r="L2" s="14">
        <f>D2/0.95</f>
        <v>0.35895640266758688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0.38115077778472811</v>
      </c>
      <c r="E4" s="14"/>
      <c r="H4" s="17">
        <f>((1-B4)*B2-(1-B5)*C5*A5)/(B5-B4)</f>
        <v>824.89965104846283</v>
      </c>
      <c r="I4" s="18">
        <f>B5-B4</f>
        <v>0.86354755271206818</v>
      </c>
    </row>
    <row r="5" spans="1:12" x14ac:dyDescent="0.3">
      <c r="A5" s="11">
        <v>2286.7352585611557</v>
      </c>
      <c r="B5" s="12">
        <v>0.86354755271206818</v>
      </c>
      <c r="C5" s="8">
        <v>1.8452644637831168</v>
      </c>
      <c r="D5" s="14">
        <f>L5*D$2/L$2</f>
        <v>0.10181587135689281</v>
      </c>
      <c r="E5" s="14"/>
      <c r="H5" s="17">
        <f t="shared" ref="H5:H12" si="0">((1-B5)*C5*A5-(1-B6)*C6*A6)/(B6-B5)</f>
        <v>2622.278798262812</v>
      </c>
      <c r="I5" s="18">
        <f t="shared" ref="I5:I12" si="1">B6-B5</f>
        <v>6.0428536074250139E-2</v>
      </c>
      <c r="L5" s="14">
        <v>0.10717460142830823</v>
      </c>
    </row>
    <row r="6" spans="1:12" x14ac:dyDescent="0.3">
      <c r="A6" s="11">
        <v>3048.9803447482077</v>
      </c>
      <c r="B6" s="12">
        <v>0.92397608878631832</v>
      </c>
      <c r="C6" s="8">
        <v>1.8003745121687917</v>
      </c>
      <c r="D6" s="14">
        <f>L6*D$2/L$2</f>
        <v>7.7090237004844603E-2</v>
      </c>
      <c r="E6" s="14"/>
      <c r="H6" s="17">
        <f t="shared" si="0"/>
        <v>3873.8140116821778</v>
      </c>
      <c r="I6" s="18">
        <f t="shared" si="1"/>
        <v>5.3903023466691846E-2</v>
      </c>
      <c r="L6" s="14">
        <v>8.1147617899836433E-2</v>
      </c>
    </row>
    <row r="7" spans="1:12" x14ac:dyDescent="0.3">
      <c r="A7" s="11">
        <v>5335.7156033093634</v>
      </c>
      <c r="B7" s="12">
        <v>0.97787911225301016</v>
      </c>
      <c r="C7" s="12">
        <v>1.7665585820320744</v>
      </c>
      <c r="D7" s="14">
        <f t="shared" ref="D7:D13" si="2">L7*D$2/L$2</f>
        <v>7.0992786752006487E-2</v>
      </c>
      <c r="E7" s="14"/>
      <c r="H7" s="17">
        <f t="shared" si="0"/>
        <v>6270.311249880192</v>
      </c>
      <c r="I7" s="18">
        <f t="shared" si="1"/>
        <v>1.2202765546776573E-2</v>
      </c>
      <c r="L7" s="14">
        <v>7.4729249212638418E-2</v>
      </c>
    </row>
    <row r="8" spans="1:12" x14ac:dyDescent="0.3">
      <c r="A8" s="11">
        <v>6860.2057756834674</v>
      </c>
      <c r="B8" s="12">
        <v>0.99008187779978674</v>
      </c>
      <c r="C8" s="12">
        <v>1.9399239792981917</v>
      </c>
      <c r="D8" s="14">
        <f t="shared" si="2"/>
        <v>6.9426275022822878E-2</v>
      </c>
      <c r="E8" s="14"/>
      <c r="H8" s="17">
        <f t="shared" si="0"/>
        <v>8884.1019580230932</v>
      </c>
      <c r="I8" s="18">
        <f t="shared" si="1"/>
        <v>5.2690458097800486E-3</v>
      </c>
      <c r="L8" s="14">
        <v>7.3080289497708298E-2</v>
      </c>
    </row>
    <row r="9" spans="1:12" x14ac:dyDescent="0.3">
      <c r="A9" s="17">
        <v>10671.431206618727</v>
      </c>
      <c r="B9" s="12">
        <v>0.99535092360956678</v>
      </c>
      <c r="C9" s="12">
        <v>1.716961038129879</v>
      </c>
      <c r="D9" s="14">
        <f t="shared" si="2"/>
        <v>6.7414529914529911E-2</v>
      </c>
      <c r="E9" s="14"/>
      <c r="H9" s="17">
        <f t="shared" si="0"/>
        <v>12516.415206241725</v>
      </c>
      <c r="I9" s="18">
        <f t="shared" si="1"/>
        <v>2.6457053640216444E-3</v>
      </c>
      <c r="L9" s="14">
        <v>7.0962663067926229E-2</v>
      </c>
    </row>
    <row r="10" spans="1:12" x14ac:dyDescent="0.3">
      <c r="A10" s="17">
        <v>15244.901723741039</v>
      </c>
      <c r="B10" s="12">
        <v>0.99799662897358843</v>
      </c>
      <c r="C10" s="12">
        <v>1.7048330404217926</v>
      </c>
      <c r="D10" s="14">
        <f t="shared" si="2"/>
        <v>7.030426086429481E-2</v>
      </c>
      <c r="E10" s="14"/>
      <c r="H10" s="17">
        <f t="shared" si="0"/>
        <v>20026.158985493003</v>
      </c>
      <c r="I10" s="18">
        <f t="shared" si="1"/>
        <v>1.6363582546481403E-3</v>
      </c>
      <c r="L10" s="14">
        <v>7.4004485120310326E-2</v>
      </c>
    </row>
    <row r="11" spans="1:12" x14ac:dyDescent="0.3">
      <c r="A11" s="17">
        <v>30489.803447482078</v>
      </c>
      <c r="B11" s="12">
        <v>0.99963298722823657</v>
      </c>
      <c r="C11" s="12">
        <v>1.7245230374273748</v>
      </c>
      <c r="D11" s="14">
        <f t="shared" si="2"/>
        <v>8.2075678040244973E-2</v>
      </c>
      <c r="E11" s="14"/>
      <c r="H11" s="17">
        <f t="shared" si="0"/>
        <v>36465.824929626244</v>
      </c>
      <c r="I11" s="18">
        <f t="shared" si="1"/>
        <v>2.2672373902210552E-4</v>
      </c>
      <c r="L11" s="14">
        <v>8.6395450568678922E-2</v>
      </c>
    </row>
    <row r="12" spans="1:12" x14ac:dyDescent="0.3">
      <c r="A12" s="17">
        <v>45734.705171223111</v>
      </c>
      <c r="B12" s="12">
        <v>0.99985971096725867</v>
      </c>
      <c r="C12" s="12">
        <v>1.7191186520560857</v>
      </c>
      <c r="D12" s="14">
        <f t="shared" si="2"/>
        <v>9.7191574724172503E-2</v>
      </c>
      <c r="E12" s="14"/>
      <c r="H12" s="17">
        <f t="shared" si="0"/>
        <v>56549.410930621896</v>
      </c>
      <c r="I12" s="18">
        <f t="shared" si="1"/>
        <v>9.8881700702047048E-5</v>
      </c>
      <c r="L12" s="14">
        <v>0.10230692076228685</v>
      </c>
    </row>
    <row r="13" spans="1:12" x14ac:dyDescent="0.3">
      <c r="A13" s="17">
        <v>76224.508618705193</v>
      </c>
      <c r="B13" s="12">
        <v>0.99995859266796072</v>
      </c>
      <c r="C13" s="12">
        <v>1.7230227544910179</v>
      </c>
      <c r="D13" s="14">
        <f t="shared" si="2"/>
        <v>0.12173652694610777</v>
      </c>
      <c r="E13" s="14"/>
      <c r="H13" s="17">
        <f>C13*A13</f>
        <v>131336.56279992577</v>
      </c>
      <c r="I13" s="18">
        <f>1-B13</f>
        <v>4.1407332039278266E-5</v>
      </c>
      <c r="L13" s="14">
        <v>0.1281437125748503</v>
      </c>
    </row>
    <row r="14" spans="1:12" x14ac:dyDescent="0.3">
      <c r="I14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4" sqref="D4:I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1967</v>
      </c>
      <c r="C1" s="8" t="s">
        <v>24</v>
      </c>
      <c r="D1" s="10">
        <f>1000*[1]TD1!$C$74</f>
        <v>20324303.153582145</v>
      </c>
      <c r="E1" s="8" t="s">
        <v>30</v>
      </c>
      <c r="F1" s="21">
        <f>(SUMPRODUCT(D4:D12,H4:H12,I4:I12)/(D2*B2))/((1-SUMPRODUCT(D4:D12,H4:H12,I4:I12)/B2)/(1-D2))</f>
        <v>0.62859358607476112</v>
      </c>
      <c r="G1" s="19"/>
      <c r="H1" s="16"/>
    </row>
    <row r="2" spans="1:12" x14ac:dyDescent="0.3">
      <c r="A2" s="8" t="s">
        <v>12</v>
      </c>
      <c r="B2" s="11">
        <f>[1]TD2!$M$74</f>
        <v>1396.0694103649905</v>
      </c>
      <c r="C2" s="8" t="s">
        <v>15</v>
      </c>
      <c r="D2" s="14">
        <f>[1]TD1!$F$74</f>
        <v>0.33448789780477917</v>
      </c>
      <c r="E2" s="18" t="s">
        <v>26</v>
      </c>
      <c r="I2" s="8"/>
      <c r="L2" s="14">
        <f>D2/0.95</f>
        <v>0.35209252400503072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0.37419111452255371</v>
      </c>
      <c r="E4" s="14"/>
      <c r="H4" s="17">
        <f>((1-B4)*B2-(1-B5)*C5*A5)/(B5-B4)</f>
        <v>854.77094498059648</v>
      </c>
      <c r="I4" s="18">
        <f>B5-B4</f>
        <v>0.85633219757077539</v>
      </c>
    </row>
    <row r="5" spans="1:12" x14ac:dyDescent="0.3">
      <c r="A5" s="11">
        <v>2286.7352585611557</v>
      </c>
      <c r="B5" s="12">
        <v>0.85633219757077539</v>
      </c>
      <c r="C5" s="8">
        <v>2.0214320306979068</v>
      </c>
      <c r="D5" s="14">
        <f>L5*D$2/L$2</f>
        <v>0.11501276811493942</v>
      </c>
      <c r="E5" s="14"/>
      <c r="H5" s="17">
        <f t="shared" ref="H5:H11" si="0">((1-B5)*C5*A5-(1-B6)*C6*A6)/(B6-B5)</f>
        <v>2769.9426890783816</v>
      </c>
      <c r="I5" s="18">
        <f t="shared" ref="I5:I11" si="1">B6-B5</f>
        <v>6.3211021813265766E-2</v>
      </c>
      <c r="L5" s="14">
        <v>0.12106607169993625</v>
      </c>
    </row>
    <row r="6" spans="1:12" x14ac:dyDescent="0.3">
      <c r="A6" s="11">
        <v>3048.9803447482077</v>
      </c>
      <c r="B6" s="12">
        <v>0.91954321938404115</v>
      </c>
      <c r="C6" s="8">
        <v>1.9934301210595708</v>
      </c>
      <c r="D6" s="14">
        <f>L6*D$2/L$2</f>
        <v>8.6607815003591368E-2</v>
      </c>
      <c r="E6" s="14"/>
      <c r="H6" s="17">
        <f t="shared" si="0"/>
        <v>4225.6952752769566</v>
      </c>
      <c r="I6" s="18">
        <f t="shared" si="1"/>
        <v>5.6992655110826962E-2</v>
      </c>
      <c r="L6" s="14">
        <v>9.1166121056411961E-2</v>
      </c>
    </row>
    <row r="7" spans="1:12" x14ac:dyDescent="0.3">
      <c r="A7" s="11">
        <v>5335.7156033093634</v>
      </c>
      <c r="B7" s="12">
        <v>0.97653587449486812</v>
      </c>
      <c r="C7" s="12">
        <v>1.9822778682445021</v>
      </c>
      <c r="D7" s="14">
        <f t="shared" ref="D7:D12" si="2">L7*D$2/L$2</f>
        <v>7.8656166283510354E-2</v>
      </c>
      <c r="E7" s="14"/>
      <c r="H7" s="17">
        <f t="shared" ref="H7" si="3">((1-B7)*C7*A7-(1-B8)*C8*A8)/(B8-B7)</f>
        <v>7822.1971316209838</v>
      </c>
      <c r="I7" s="18">
        <f t="shared" ref="I7" si="4">B8-B7</f>
        <v>1.8518912907164675E-2</v>
      </c>
      <c r="L7" s="14">
        <v>8.2795964508958264E-2</v>
      </c>
    </row>
    <row r="8" spans="1:12" x14ac:dyDescent="0.3">
      <c r="A8" s="17">
        <v>10671.431206618727</v>
      </c>
      <c r="B8" s="12">
        <v>0.99505478740203279</v>
      </c>
      <c r="C8" s="12">
        <v>1.9578084758000784</v>
      </c>
      <c r="D8" s="14">
        <f t="shared" si="2"/>
        <v>7.5419387773064131E-2</v>
      </c>
      <c r="E8" s="14"/>
      <c r="H8" s="17">
        <f t="shared" si="0"/>
        <v>13983.494722235959</v>
      </c>
      <c r="I8" s="18">
        <f t="shared" si="1"/>
        <v>2.7951265817439674E-3</v>
      </c>
      <c r="L8" s="14">
        <v>7.9388829234804351E-2</v>
      </c>
    </row>
    <row r="9" spans="1:12" x14ac:dyDescent="0.3">
      <c r="A9" s="17">
        <v>15244.901723741039</v>
      </c>
      <c r="B9" s="12">
        <v>0.99784991398377676</v>
      </c>
      <c r="C9" s="12">
        <v>1.9596404952058399</v>
      </c>
      <c r="D9" s="14">
        <f t="shared" si="2"/>
        <v>8.0359708177234437E-2</v>
      </c>
      <c r="E9" s="14"/>
      <c r="H9" s="17">
        <f t="shared" si="0"/>
        <v>22814.812833889591</v>
      </c>
      <c r="I9" s="18">
        <f t="shared" si="1"/>
        <v>1.7467265535124898E-3</v>
      </c>
      <c r="L9" s="14">
        <v>8.4589166502352042E-2</v>
      </c>
    </row>
    <row r="10" spans="1:12" x14ac:dyDescent="0.3">
      <c r="A10" s="17">
        <v>30489.803447482078</v>
      </c>
      <c r="B10" s="12">
        <v>0.99959664053728925</v>
      </c>
      <c r="C10" s="12">
        <v>1.9825067089534032</v>
      </c>
      <c r="D10" s="14">
        <f t="shared" si="2"/>
        <v>9.5358063876215038E-2</v>
      </c>
      <c r="E10" s="14"/>
      <c r="H10" s="17">
        <f t="shared" si="0"/>
        <v>41053.936674900448</v>
      </c>
      <c r="I10" s="18">
        <f t="shared" si="1"/>
        <v>2.4802818388935943E-4</v>
      </c>
      <c r="L10" s="14">
        <v>0.10037690934338425</v>
      </c>
    </row>
    <row r="11" spans="1:12" x14ac:dyDescent="0.3">
      <c r="A11" s="17">
        <v>45734.705171223111</v>
      </c>
      <c r="B11" s="12">
        <v>0.99984466872117861</v>
      </c>
      <c r="C11" s="12">
        <v>1.9987287509238729</v>
      </c>
      <c r="D11" s="14">
        <f t="shared" si="2"/>
        <v>0.11079726651480638</v>
      </c>
      <c r="E11" s="14"/>
      <c r="H11" s="17">
        <f t="shared" si="0"/>
        <v>64335.082689833158</v>
      </c>
      <c r="I11" s="18">
        <f t="shared" si="1"/>
        <v>1.0799878270917329E-4</v>
      </c>
      <c r="L11" s="14">
        <v>0.11662870159453304</v>
      </c>
    </row>
    <row r="12" spans="1:12" x14ac:dyDescent="0.3">
      <c r="A12" s="17">
        <v>76224.508618705193</v>
      </c>
      <c r="B12" s="12">
        <v>0.99995266750388778</v>
      </c>
      <c r="C12" s="12">
        <v>2.0097359667359669</v>
      </c>
      <c r="D12" s="14">
        <f t="shared" si="2"/>
        <v>0.13726611226611227</v>
      </c>
      <c r="E12" s="14"/>
      <c r="H12" s="17">
        <f>C12*A12</f>
        <v>153191.13651778753</v>
      </c>
      <c r="I12" s="18">
        <f>1-B12</f>
        <v>4.7332496112217903E-5</v>
      </c>
      <c r="L12" s="14">
        <v>0.1444906444906445</v>
      </c>
    </row>
    <row r="13" spans="1:12" x14ac:dyDescent="0.3">
      <c r="H13" s="17"/>
      <c r="I13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D4" sqref="D4:I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1968</v>
      </c>
      <c r="C1" s="8" t="s">
        <v>24</v>
      </c>
      <c r="D1" s="10">
        <f>1000*[1]TD1!$C$75</f>
        <v>20454007.794356897</v>
      </c>
      <c r="E1" s="8" t="s">
        <v>30</v>
      </c>
      <c r="F1" s="21">
        <f>(SUMPRODUCT(D4:D13,H4:H13,I4:I13)/(D2*B2))/((1-SUMPRODUCT(D4:D13,H4:H13,I4:I13)/B2)/(1-D2))</f>
        <v>0.62710237305057381</v>
      </c>
      <c r="G1" s="19"/>
      <c r="H1" s="16"/>
    </row>
    <row r="2" spans="1:12" x14ac:dyDescent="0.3">
      <c r="A2" s="8" t="s">
        <v>12</v>
      </c>
      <c r="B2" s="11">
        <f>[1]TD2!$M$75</f>
        <v>1532.9927276954763</v>
      </c>
      <c r="C2" s="8" t="s">
        <v>15</v>
      </c>
      <c r="D2" s="14">
        <f>[1]TD1!$F$75</f>
        <v>0.32516310959021366</v>
      </c>
      <c r="E2" s="18" t="s">
        <v>26</v>
      </c>
      <c r="I2" s="8"/>
      <c r="L2" s="14">
        <f>D2/0.95</f>
        <v>0.34227695746338282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0.37546573888880835</v>
      </c>
      <c r="E4" s="14"/>
      <c r="H4" s="17">
        <f>((1-B4)*B2-(1-B5)*C5*A5)/(B5-B4)</f>
        <v>937.24397852340621</v>
      </c>
      <c r="I4" s="18">
        <f>B5-B4</f>
        <v>0.82075798731846461</v>
      </c>
    </row>
    <row r="5" spans="1:12" x14ac:dyDescent="0.3">
      <c r="A5" s="11">
        <v>2286.7352585611557</v>
      </c>
      <c r="B5" s="12">
        <v>0.82075798731846461</v>
      </c>
      <c r="C5" s="8">
        <v>1.8633357404424451</v>
      </c>
      <c r="D5" s="14">
        <f>L5*D$2/L$2</f>
        <v>0.11791837431821674</v>
      </c>
      <c r="E5" s="14"/>
      <c r="H5" s="17">
        <f t="shared" ref="H5:H12" si="0">((1-B5)*C5*A5-(1-B6)*C6*A6)/(B6-B5)</f>
        <v>2633.8351607494524</v>
      </c>
      <c r="I5" s="18">
        <f t="shared" ref="I5:I12" si="1">B6-B5</f>
        <v>7.6091274634877859E-2</v>
      </c>
      <c r="L5" s="14">
        <v>0.12412460454549132</v>
      </c>
    </row>
    <row r="6" spans="1:12" x14ac:dyDescent="0.3">
      <c r="A6" s="11">
        <v>3048.9803447482077</v>
      </c>
      <c r="B6" s="12">
        <v>0.89684926195334247</v>
      </c>
      <c r="C6" s="8">
        <v>1.79116750701236</v>
      </c>
      <c r="D6" s="14">
        <f>L6*D$2/L$2</f>
        <v>8.0940814468564465E-2</v>
      </c>
      <c r="E6" s="14"/>
      <c r="H6" s="17">
        <f t="shared" si="0"/>
        <v>3887.4548565152913</v>
      </c>
      <c r="I6" s="18">
        <f t="shared" si="1"/>
        <v>7.3517572454180224E-2</v>
      </c>
      <c r="L6" s="14">
        <v>8.5200857335331032E-2</v>
      </c>
    </row>
    <row r="7" spans="1:12" x14ac:dyDescent="0.3">
      <c r="A7" s="11">
        <v>5335.7156033093634</v>
      </c>
      <c r="B7" s="12">
        <v>0.97036683440752269</v>
      </c>
      <c r="C7" s="12">
        <v>1.7552770457566067</v>
      </c>
      <c r="D7" s="14">
        <f t="shared" ref="D7:D13" si="2">L7*D$2/L$2</f>
        <v>7.0229985093014299E-2</v>
      </c>
      <c r="E7" s="14"/>
      <c r="H7" s="17">
        <f t="shared" si="0"/>
        <v>6260.0642568406256</v>
      </c>
      <c r="I7" s="18">
        <f t="shared" si="1"/>
        <v>1.6627988187910669E-2</v>
      </c>
      <c r="L7" s="14">
        <v>7.3926300097909792E-2</v>
      </c>
    </row>
    <row r="8" spans="1:12" x14ac:dyDescent="0.3">
      <c r="A8" s="11">
        <v>6860.2057756834674</v>
      </c>
      <c r="B8" s="12">
        <v>0.98699482259543336</v>
      </c>
      <c r="C8" s="12">
        <v>1.9440188933331997</v>
      </c>
      <c r="D8" s="14">
        <f t="shared" si="2"/>
        <v>6.7765269945843337E-2</v>
      </c>
      <c r="E8" s="14"/>
      <c r="H8" s="17">
        <f t="shared" si="0"/>
        <v>8873.275854928841</v>
      </c>
      <c r="I8" s="18">
        <f t="shared" si="1"/>
        <v>7.005375251667445E-3</v>
      </c>
      <c r="L8" s="14">
        <v>7.1331863100887724E-2</v>
      </c>
    </row>
    <row r="9" spans="1:12" x14ac:dyDescent="0.3">
      <c r="A9" s="17">
        <v>10671.431206618727</v>
      </c>
      <c r="B9" s="12">
        <v>0.99400019784710081</v>
      </c>
      <c r="C9" s="12">
        <v>1.7380501490035389</v>
      </c>
      <c r="D9" s="14">
        <f t="shared" si="2"/>
        <v>6.9848519722645802E-2</v>
      </c>
      <c r="E9" s="14"/>
      <c r="H9" s="17">
        <f t="shared" si="0"/>
        <v>12516.423101323941</v>
      </c>
      <c r="I9" s="18">
        <f t="shared" si="1"/>
        <v>3.3985515552202861E-3</v>
      </c>
      <c r="L9" s="14">
        <v>7.3524757602785054E-2</v>
      </c>
    </row>
    <row r="10" spans="1:12" x14ac:dyDescent="0.3">
      <c r="A10" s="17">
        <v>15244.901723741039</v>
      </c>
      <c r="B10" s="12">
        <v>0.99739874940232109</v>
      </c>
      <c r="C10" s="12">
        <v>1.7335043040258618</v>
      </c>
      <c r="D10" s="14">
        <f t="shared" si="2"/>
        <v>6.9965680363602623E-2</v>
      </c>
      <c r="E10" s="14"/>
      <c r="H10" s="17">
        <f t="shared" si="0"/>
        <v>20056.968881258217</v>
      </c>
      <c r="I10" s="18">
        <f t="shared" si="1"/>
        <v>2.1083398634421657E-3</v>
      </c>
      <c r="L10" s="14">
        <v>7.3648084593265925E-2</v>
      </c>
    </row>
    <row r="11" spans="1:12" x14ac:dyDescent="0.3">
      <c r="A11" s="17">
        <v>30489.803447482078</v>
      </c>
      <c r="B11" s="12">
        <v>0.99950708926576326</v>
      </c>
      <c r="C11" s="12">
        <v>1.760399722277326</v>
      </c>
      <c r="D11" s="14">
        <f t="shared" si="2"/>
        <v>8.1742029928431992E-2</v>
      </c>
      <c r="E11" s="14"/>
      <c r="H11" s="17">
        <f t="shared" si="0"/>
        <v>36288.197354733762</v>
      </c>
      <c r="I11" s="18">
        <f t="shared" si="1"/>
        <v>3.0057678973294255E-4</v>
      </c>
      <c r="L11" s="14">
        <v>8.6044242029928428E-2</v>
      </c>
    </row>
    <row r="12" spans="1:12" x14ac:dyDescent="0.3">
      <c r="A12" s="17">
        <v>45734.705171223111</v>
      </c>
      <c r="B12" s="12">
        <v>0.9998076660554962</v>
      </c>
      <c r="C12" s="12">
        <v>1.7676927639383155</v>
      </c>
      <c r="D12" s="14">
        <f t="shared" si="2"/>
        <v>0.10672969966629588</v>
      </c>
      <c r="E12" s="14"/>
      <c r="H12" s="17">
        <f t="shared" si="0"/>
        <v>56701.198991850775</v>
      </c>
      <c r="I12" s="18">
        <f t="shared" si="1"/>
        <v>1.3185679926963623E-4</v>
      </c>
      <c r="L12" s="14">
        <v>0.11234705228031146</v>
      </c>
    </row>
    <row r="13" spans="1:12" x14ac:dyDescent="0.3">
      <c r="A13" s="17">
        <v>76224.508618705193</v>
      </c>
      <c r="B13" s="12">
        <v>0.99993952285476584</v>
      </c>
      <c r="C13" s="12">
        <v>1.7512061438965238</v>
      </c>
      <c r="D13" s="14">
        <f t="shared" si="2"/>
        <v>0.12287793047696038</v>
      </c>
      <c r="E13" s="14"/>
      <c r="H13" s="17">
        <f>C13*A13</f>
        <v>133484.82780857006</v>
      </c>
      <c r="I13" s="18">
        <f>1-B13</f>
        <v>6.0477145234161256E-5</v>
      </c>
      <c r="L13" s="14">
        <v>0.12934518997574779</v>
      </c>
    </row>
    <row r="14" spans="1:12" x14ac:dyDescent="0.3">
      <c r="I14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1969</v>
      </c>
      <c r="C1" s="8" t="s">
        <v>24</v>
      </c>
      <c r="D1" s="10">
        <f>1000*[1]TD1!$C$76</f>
        <v>20734257.880962022</v>
      </c>
      <c r="E1" s="8" t="s">
        <v>30</v>
      </c>
      <c r="F1" s="21">
        <f>(SUMPRODUCT(D4:D13,H4:H13,I4:I13)/(D2*B2))/((1-SUMPRODUCT(D4:D13,H4:H13,I4:I13)/B2)/(1-D2))</f>
        <v>0.61313482763957605</v>
      </c>
      <c r="G1" s="19"/>
      <c r="H1" s="16"/>
    </row>
    <row r="2" spans="1:12" x14ac:dyDescent="0.3">
      <c r="A2" s="8" t="s">
        <v>12</v>
      </c>
      <c r="B2" s="11">
        <f>[1]TD2!$M$76</f>
        <v>1708.7352734818489</v>
      </c>
      <c r="C2" s="8" t="s">
        <v>15</v>
      </c>
      <c r="D2" s="14">
        <f>[1]TD1!$F$76</f>
        <v>0.32605173060991999</v>
      </c>
      <c r="E2" s="18" t="s">
        <v>26</v>
      </c>
      <c r="I2" s="8"/>
      <c r="L2" s="14">
        <f>D2/0.95</f>
        <v>0.34321234801044209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0.38647493302450464</v>
      </c>
      <c r="E4" s="14"/>
      <c r="H4" s="17">
        <f>((1-B4)*B2-(1-B5)*C5*A5)/(B5-B4)</f>
        <v>1011.9750026656635</v>
      </c>
      <c r="I4" s="18">
        <f>B5-B4</f>
        <v>0.78906460588980198</v>
      </c>
    </row>
    <row r="5" spans="1:12" x14ac:dyDescent="0.3">
      <c r="A5" s="11">
        <v>2286.7352585611557</v>
      </c>
      <c r="B5" s="12">
        <v>0.78906460588980198</v>
      </c>
      <c r="C5" s="8">
        <v>1.8870430086951671</v>
      </c>
      <c r="D5" s="14">
        <f>L5*D$2/L$2</f>
        <v>0.1279161318472897</v>
      </c>
      <c r="E5" s="14"/>
      <c r="H5" s="17">
        <f t="shared" ref="H5:H12" si="0">((1-B5)*C5*A5-(1-B6)*C6*A6)/(B6-B5)</f>
        <v>2639.3059534120007</v>
      </c>
      <c r="I5" s="18">
        <f t="shared" ref="I5:I12" si="1">B6-B5</f>
        <v>8.6583463368205549E-2</v>
      </c>
      <c r="L5" s="14">
        <v>0.13464855983925234</v>
      </c>
    </row>
    <row r="6" spans="1:12" x14ac:dyDescent="0.3">
      <c r="A6" s="11">
        <v>3048.9803447482077</v>
      </c>
      <c r="B6" s="12">
        <v>0.87564806925800753</v>
      </c>
      <c r="C6" s="8">
        <v>1.7979889037347601</v>
      </c>
      <c r="D6" s="14">
        <f>L6*D$2/L$2</f>
        <v>9.3094574374637654E-2</v>
      </c>
      <c r="E6" s="14"/>
      <c r="H6" s="17">
        <f t="shared" si="0"/>
        <v>3402.4501852571216</v>
      </c>
      <c r="I6" s="18">
        <f t="shared" si="1"/>
        <v>4.6834422798012643E-2</v>
      </c>
      <c r="L6" s="14">
        <v>9.7994288815408045E-2</v>
      </c>
    </row>
    <row r="7" spans="1:12" x14ac:dyDescent="0.3">
      <c r="A7" s="11">
        <v>3811.2254309352597</v>
      </c>
      <c r="B7" s="12">
        <v>0.92248249205602018</v>
      </c>
      <c r="C7" s="12">
        <v>1.7680592160112689</v>
      </c>
      <c r="D7" s="14">
        <f t="shared" ref="D7:D13" si="2">L7*D$2/L$2</f>
        <v>7.8016506971034932E-2</v>
      </c>
      <c r="E7" s="14"/>
      <c r="H7" s="17">
        <f t="shared" si="0"/>
        <v>4167.5161816675363</v>
      </c>
      <c r="I7" s="18">
        <f t="shared" si="1"/>
        <v>2.6325031893288831E-2</v>
      </c>
      <c r="L7" s="14">
        <v>8.2122638916878876E-2</v>
      </c>
    </row>
    <row r="8" spans="1:12" x14ac:dyDescent="0.3">
      <c r="A8" s="11">
        <v>4573.4705171223113</v>
      </c>
      <c r="B8" s="12">
        <v>0.94880752394930901</v>
      </c>
      <c r="C8" s="12">
        <v>1.7624583505269895</v>
      </c>
      <c r="D8" s="14">
        <f t="shared" si="2"/>
        <v>7.1068044016491222E-2</v>
      </c>
      <c r="E8" s="14"/>
      <c r="H8" s="17">
        <f t="shared" si="0"/>
        <v>5687.0649448589456</v>
      </c>
      <c r="I8" s="18">
        <f t="shared" si="1"/>
        <v>3.549227583764647E-2</v>
      </c>
      <c r="L8" s="14">
        <v>7.4808467385780245E-2</v>
      </c>
    </row>
    <row r="9" spans="1:12" x14ac:dyDescent="0.3">
      <c r="A9" s="17">
        <v>7622.4508618705195</v>
      </c>
      <c r="B9" s="12">
        <v>0.98429979978695548</v>
      </c>
      <c r="C9" s="12">
        <v>1.7613908924468256</v>
      </c>
      <c r="D9" s="14">
        <f t="shared" si="2"/>
        <v>6.9008596218581367E-2</v>
      </c>
      <c r="E9" s="14"/>
      <c r="H9" s="17">
        <f t="shared" si="0"/>
        <v>8882.8219032446214</v>
      </c>
      <c r="I9" s="18">
        <f t="shared" si="1"/>
        <v>8.4101876711060175E-3</v>
      </c>
      <c r="L9" s="14">
        <v>7.2640627598506702E-2</v>
      </c>
    </row>
    <row r="10" spans="1:12" x14ac:dyDescent="0.3">
      <c r="A10" s="17">
        <v>10671.431206618727</v>
      </c>
      <c r="B10" s="12">
        <v>0.99270998745806149</v>
      </c>
      <c r="C10" s="12">
        <v>1.7492992436235375</v>
      </c>
      <c r="D10" s="14">
        <f t="shared" si="2"/>
        <v>6.6822319423099671E-2</v>
      </c>
      <c r="E10" s="14"/>
      <c r="H10" s="17">
        <f t="shared" si="0"/>
        <v>12564.749239551837</v>
      </c>
      <c r="I10" s="18">
        <f t="shared" si="1"/>
        <v>4.079721612687659E-3</v>
      </c>
      <c r="L10" s="14">
        <v>7.0339283603262803E-2</v>
      </c>
    </row>
    <row r="11" spans="1:12" x14ac:dyDescent="0.3">
      <c r="A11" s="17">
        <v>15244.901723741039</v>
      </c>
      <c r="B11" s="12">
        <v>0.99678970907074915</v>
      </c>
      <c r="C11" s="12">
        <v>1.7332414404398839</v>
      </c>
      <c r="D11" s="14">
        <f t="shared" si="2"/>
        <v>6.8476533628972658E-2</v>
      </c>
      <c r="E11" s="14"/>
      <c r="H11" s="17">
        <f t="shared" si="0"/>
        <v>20093.281874793556</v>
      </c>
      <c r="I11" s="18">
        <f t="shared" si="1"/>
        <v>2.6101729953736941E-3</v>
      </c>
      <c r="L11" s="14">
        <v>7.2080561714708058E-2</v>
      </c>
    </row>
    <row r="12" spans="1:12" x14ac:dyDescent="0.3">
      <c r="A12" s="17">
        <v>30489.803447482078</v>
      </c>
      <c r="B12" s="12">
        <v>0.99939988206612285</v>
      </c>
      <c r="C12" s="12">
        <v>1.7695816925178816</v>
      </c>
      <c r="D12" s="14">
        <f t="shared" si="2"/>
        <v>8.5013528409660283E-2</v>
      </c>
      <c r="E12" s="14"/>
      <c r="H12" s="17">
        <f t="shared" si="0"/>
        <v>40005.225321069847</v>
      </c>
      <c r="I12" s="18">
        <f t="shared" si="1"/>
        <v>4.8128078937237362E-4</v>
      </c>
      <c r="L12" s="14">
        <v>8.9487924641747665E-2</v>
      </c>
    </row>
    <row r="13" spans="1:12" x14ac:dyDescent="0.3">
      <c r="A13" s="17">
        <v>60979.606894964156</v>
      </c>
      <c r="B13" s="12">
        <v>0.99988116285549522</v>
      </c>
      <c r="C13" s="12">
        <v>1.8112023133116883</v>
      </c>
      <c r="D13" s="14">
        <f t="shared" si="2"/>
        <v>0.11605113636363637</v>
      </c>
      <c r="E13" s="14"/>
      <c r="H13" s="17">
        <f>C13*A13</f>
        <v>110446.40507299647</v>
      </c>
      <c r="I13" s="18">
        <f>1-B13</f>
        <v>1.1883714450477978E-4</v>
      </c>
      <c r="L13" s="14">
        <v>0.12215909090909091</v>
      </c>
    </row>
    <row r="14" spans="1:12" x14ac:dyDescent="0.3">
      <c r="I14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D4" sqref="D4:I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1970</v>
      </c>
      <c r="C1" s="8" t="s">
        <v>24</v>
      </c>
      <c r="D1" s="10">
        <f>1000*[1]TD1!$C$77</f>
        <v>21033070.399628457</v>
      </c>
      <c r="E1" s="8" t="s">
        <v>30</v>
      </c>
      <c r="F1" s="21">
        <f>(SUMPRODUCT(D4:D13,H4:H13,I4:I13)/(D2*B2))/((1-SUMPRODUCT(D4:D13,H4:H13,I4:I13)/B2)/(1-D2))</f>
        <v>0.60849017431150154</v>
      </c>
      <c r="G1" s="19"/>
      <c r="H1" s="16"/>
    </row>
    <row r="2" spans="1:12" x14ac:dyDescent="0.3">
      <c r="A2" s="8" t="s">
        <v>12</v>
      </c>
      <c r="B2" s="11">
        <f>[1]TD2!$M$77</f>
        <v>1930.2133813568876</v>
      </c>
      <c r="C2" s="8" t="s">
        <v>15</v>
      </c>
      <c r="D2" s="14">
        <f>[1]TD1!$F$77</f>
        <v>0.32773809749613414</v>
      </c>
      <c r="E2" s="18" t="s">
        <v>26</v>
      </c>
      <c r="I2" s="8"/>
      <c r="L2" s="14">
        <f>D2/0.95</f>
        <v>0.34498747104856226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0.39850154383936409</v>
      </c>
      <c r="E4" s="14"/>
      <c r="H4" s="17">
        <f>((1-B4)*B2-(1-B5)*C5*A5)/(B5-B4)</f>
        <v>1115.8491161279189</v>
      </c>
      <c r="I4" s="18">
        <f>B5-B4</f>
        <v>0.75448035105359912</v>
      </c>
    </row>
    <row r="5" spans="1:12" x14ac:dyDescent="0.3">
      <c r="A5" s="11">
        <v>2286.7352585611557</v>
      </c>
      <c r="B5" s="12">
        <v>0.75448035105359912</v>
      </c>
      <c r="C5" s="8">
        <v>1.938462126923433</v>
      </c>
      <c r="D5" s="14">
        <f>L5*D$2/L$2</f>
        <v>0.14771232330102219</v>
      </c>
      <c r="E5" s="14"/>
      <c r="H5" s="17">
        <f t="shared" ref="H5" si="0">((1-B5)*C5*A5-(1-B6)*C6*A6)/(B6-B5)</f>
        <v>2646.7289027043676</v>
      </c>
      <c r="I5" s="18">
        <f t="shared" ref="I5" si="1">B6-B5</f>
        <v>9.477361235936943E-2</v>
      </c>
      <c r="L5" s="14">
        <v>0.15548665610633913</v>
      </c>
    </row>
    <row r="6" spans="1:12" x14ac:dyDescent="0.3">
      <c r="A6" s="11">
        <v>3048.9803447482077</v>
      </c>
      <c r="B6" s="12">
        <v>0.84925396341296855</v>
      </c>
      <c r="C6" s="8">
        <v>1.8221225949741566</v>
      </c>
      <c r="D6" s="14">
        <f>L6*D$2/L$2</f>
        <v>9.7349808611286989E-2</v>
      </c>
      <c r="E6" s="14"/>
      <c r="H6" s="17">
        <f t="shared" ref="H6:H12" si="2">((1-B6)*C6*A6-(1-B7)*C7*A7)/(B7-B6)</f>
        <v>3688.9393910846625</v>
      </c>
      <c r="I6" s="18">
        <f t="shared" ref="I6:I12" si="3">B7-B6</f>
        <v>8.6796837804158589E-2</v>
      </c>
      <c r="L6" s="14">
        <v>0.10247348274872316</v>
      </c>
    </row>
    <row r="7" spans="1:12" x14ac:dyDescent="0.3">
      <c r="A7" s="11">
        <v>4573.4705171223113</v>
      </c>
      <c r="B7" s="12">
        <v>0.93605080121712714</v>
      </c>
      <c r="C7" s="12">
        <v>1.7687257257733553</v>
      </c>
      <c r="D7" s="14">
        <f t="shared" ref="D7:D13" si="4">L7*D$2/L$2</f>
        <v>7.4070773186838884E-2</v>
      </c>
      <c r="E7" s="14"/>
      <c r="H7" s="17">
        <f t="shared" si="2"/>
        <v>5233.332580387475</v>
      </c>
      <c r="I7" s="18">
        <f t="shared" si="3"/>
        <v>3.0914079002535177E-2</v>
      </c>
      <c r="L7" s="14">
        <v>7.7969234933514611E-2</v>
      </c>
    </row>
    <row r="8" spans="1:12" x14ac:dyDescent="0.3">
      <c r="A8" s="11">
        <v>6097.9606894964154</v>
      </c>
      <c r="B8" s="12">
        <v>0.96696488021966231</v>
      </c>
      <c r="C8" s="12">
        <v>1.7648086222529251</v>
      </c>
      <c r="D8" s="14">
        <f t="shared" si="4"/>
        <v>7.0759687531383161E-2</v>
      </c>
      <c r="E8" s="14"/>
      <c r="H8" s="17">
        <f t="shared" si="2"/>
        <v>6777.397480798194</v>
      </c>
      <c r="I8" s="18">
        <f t="shared" si="3"/>
        <v>1.3255886786977422E-2</v>
      </c>
      <c r="L8" s="14">
        <v>7.4483881611982272E-2</v>
      </c>
    </row>
    <row r="9" spans="1:12" x14ac:dyDescent="0.3">
      <c r="A9" s="17">
        <v>7622.4508618705195</v>
      </c>
      <c r="B9" s="12">
        <v>0.98022076700663974</v>
      </c>
      <c r="C9" s="12">
        <v>1.7621634640808812</v>
      </c>
      <c r="D9" s="14">
        <f t="shared" si="4"/>
        <v>7.0416948084110045E-2</v>
      </c>
      <c r="E9" s="14"/>
      <c r="H9" s="17">
        <f t="shared" si="2"/>
        <v>8883.6076487489172</v>
      </c>
      <c r="I9" s="18">
        <f t="shared" si="3"/>
        <v>1.0559086038333443E-2</v>
      </c>
      <c r="L9" s="14">
        <v>7.4123103246431621E-2</v>
      </c>
    </row>
    <row r="10" spans="1:12" x14ac:dyDescent="0.3">
      <c r="A10" s="17">
        <v>10671.431206618727</v>
      </c>
      <c r="B10" s="12">
        <v>0.99077985304497318</v>
      </c>
      <c r="C10" s="12">
        <v>1.7468054417839904</v>
      </c>
      <c r="D10" s="14">
        <f t="shared" si="4"/>
        <v>6.9739375983705207E-2</v>
      </c>
      <c r="E10" s="14"/>
      <c r="H10" s="17">
        <f t="shared" si="2"/>
        <v>12537.043874419234</v>
      </c>
      <c r="I10" s="18">
        <f t="shared" si="3"/>
        <v>5.135246445136521E-3</v>
      </c>
      <c r="L10" s="14">
        <v>7.3409869456531801E-2</v>
      </c>
    </row>
    <row r="11" spans="1:12" x14ac:dyDescent="0.3">
      <c r="A11" s="17">
        <v>15244.901723741039</v>
      </c>
      <c r="B11" s="12">
        <v>0.9959150994901097</v>
      </c>
      <c r="C11" s="12">
        <v>1.7261026792988663</v>
      </c>
      <c r="D11" s="14">
        <f t="shared" si="4"/>
        <v>7.0074913367938224E-2</v>
      </c>
      <c r="E11" s="14"/>
      <c r="H11" s="17">
        <f t="shared" si="2"/>
        <v>20150.892028486658</v>
      </c>
      <c r="I11" s="18">
        <f t="shared" si="3"/>
        <v>3.30655480529507E-3</v>
      </c>
      <c r="L11" s="14">
        <v>7.3763066703092878E-2</v>
      </c>
    </row>
    <row r="12" spans="1:12" x14ac:dyDescent="0.3">
      <c r="A12" s="17">
        <v>30489.803447482078</v>
      </c>
      <c r="B12" s="12">
        <v>0.99922165429540477</v>
      </c>
      <c r="C12" s="12">
        <v>1.7218019668926761</v>
      </c>
      <c r="D12" s="14">
        <f t="shared" si="4"/>
        <v>7.8704119850187271E-2</v>
      </c>
      <c r="E12" s="14"/>
      <c r="H12" s="17">
        <f t="shared" si="2"/>
        <v>39928.156202391678</v>
      </c>
      <c r="I12" s="18">
        <f t="shared" si="3"/>
        <v>6.3471474902854208E-4</v>
      </c>
      <c r="L12" s="14">
        <v>8.2846441947565547E-2</v>
      </c>
    </row>
    <row r="13" spans="1:12" x14ac:dyDescent="0.3">
      <c r="A13" s="17">
        <v>60979.606894964156</v>
      </c>
      <c r="B13" s="12">
        <v>0.99985636904443331</v>
      </c>
      <c r="C13" s="12">
        <v>1.7717684541542535</v>
      </c>
      <c r="D13" s="14">
        <f t="shared" si="4"/>
        <v>0.11477987421383648</v>
      </c>
      <c r="E13" s="14"/>
      <c r="H13" s="17">
        <f>C13*A13</f>
        <v>108041.7438432247</v>
      </c>
      <c r="I13" s="18">
        <f>1-B13</f>
        <v>1.4363095556668704E-4</v>
      </c>
      <c r="L13" s="14">
        <v>0.12082092022509103</v>
      </c>
    </row>
    <row r="14" spans="1:12" x14ac:dyDescent="0.3">
      <c r="I14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120" zoomScaleNormal="120" zoomScalePageLayoutView="120" workbookViewId="0">
      <selection activeCell="B5" sqref="B5"/>
    </sheetView>
  </sheetViews>
  <sheetFormatPr baseColWidth="10" defaultRowHeight="15.6" x14ac:dyDescent="0.3"/>
  <cols>
    <col min="1" max="11" width="12.5" customWidth="1"/>
    <col min="12" max="12" width="14.19921875" customWidth="1"/>
    <col min="13" max="13" width="11.796875" customWidth="1"/>
  </cols>
  <sheetData>
    <row r="1" spans="1:13" x14ac:dyDescent="0.3">
      <c r="A1" s="8" t="s">
        <v>9</v>
      </c>
      <c r="B1" s="8">
        <v>1917</v>
      </c>
      <c r="C1" s="8" t="s">
        <v>24</v>
      </c>
      <c r="D1" s="10">
        <f>1000*[1]TD1!$C$24</f>
        <v>15160141.597528134</v>
      </c>
      <c r="E1" s="8" t="s">
        <v>30</v>
      </c>
      <c r="F1" s="21">
        <f>(SUMPRODUCT(D4:D11,H4:H11,I4:I11)/(D2*B2))/((1-SUMPRODUCT(D4:D11,H4:H11,I4:I11)/B2)/(1-D2))</f>
        <v>0.80851372518423681</v>
      </c>
      <c r="G1" s="19"/>
      <c r="H1" s="16"/>
    </row>
    <row r="2" spans="1:13" x14ac:dyDescent="0.3">
      <c r="A2" s="8" t="s">
        <v>12</v>
      </c>
      <c r="B2" s="11">
        <f>[1]TD2!$M$24</f>
        <v>2167.0079749792803</v>
      </c>
      <c r="C2" s="8" t="s">
        <v>15</v>
      </c>
      <c r="D2" s="14">
        <f>[1]TD1!$F$24</f>
        <v>0.23710502691663304</v>
      </c>
      <c r="E2" s="18" t="s">
        <v>26</v>
      </c>
      <c r="I2" s="8"/>
      <c r="L2" s="14">
        <f>D2</f>
        <v>0.23710502691663304</v>
      </c>
      <c r="M2" s="71">
        <v>1.35</v>
      </c>
    </row>
    <row r="3" spans="1:13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3">
      <c r="A4" s="8">
        <v>0</v>
      </c>
      <c r="B4" s="12">
        <v>0</v>
      </c>
      <c r="C4" s="8"/>
      <c r="D4" s="14">
        <f>(D2-SUMPRODUCT(D5:D11,I5:I11))/I4</f>
        <v>0.24267890556123892</v>
      </c>
      <c r="E4" s="14"/>
      <c r="F4" s="8"/>
      <c r="G4" s="8"/>
      <c r="H4" s="17">
        <f>((1-B4)*B2-(1-B5)*C5*A5)/(B5-B4)</f>
        <v>1593.5125740877722</v>
      </c>
      <c r="I4" s="18">
        <f t="shared" ref="I4:I10" si="0">B5-B4</f>
        <v>0.96093410849571226</v>
      </c>
      <c r="L4" s="14"/>
      <c r="M4" s="12">
        <v>0</v>
      </c>
    </row>
    <row r="5" spans="1:13" x14ac:dyDescent="0.3">
      <c r="A5" s="11">
        <v>3000</v>
      </c>
      <c r="B5" s="12">
        <f t="shared" ref="B5:B11" si="1">1-M$2*(1-M5)</f>
        <v>0.96093410849571226</v>
      </c>
      <c r="C5" s="12">
        <v>5.4245734214782715</v>
      </c>
      <c r="D5" s="14">
        <f t="shared" ref="D5:D11" si="2">L5*D$2/L$2</f>
        <v>0.1</v>
      </c>
      <c r="E5" s="14"/>
      <c r="F5" s="8"/>
      <c r="G5" s="8"/>
      <c r="H5" s="17">
        <f t="shared" ref="H5:H10" si="3">((1-B5)*C5*A5-(1-B6)*C6*A6)/(B6-B5)</f>
        <v>6159.1665375378388</v>
      </c>
      <c r="I5" s="18">
        <f t="shared" si="0"/>
        <v>2.4298480153083779E-2</v>
      </c>
      <c r="L5" s="14">
        <v>0.1</v>
      </c>
      <c r="M5" s="12">
        <v>0.9710623025894165</v>
      </c>
    </row>
    <row r="6" spans="1:13" x14ac:dyDescent="0.3">
      <c r="A6" s="11">
        <v>10000</v>
      </c>
      <c r="B6" s="12">
        <f t="shared" si="1"/>
        <v>0.98523258864879604</v>
      </c>
      <c r="C6" s="12">
        <v>3.291633129119873</v>
      </c>
      <c r="D6" s="14">
        <f t="shared" si="2"/>
        <v>0.1</v>
      </c>
      <c r="E6" s="14"/>
      <c r="F6" s="8"/>
      <c r="G6" s="8"/>
      <c r="H6" s="17">
        <f t="shared" si="3"/>
        <v>13768.672725089107</v>
      </c>
      <c r="I6" s="18">
        <f t="shared" si="0"/>
        <v>8.8678658008576328E-3</v>
      </c>
      <c r="L6" s="14">
        <v>0.1</v>
      </c>
      <c r="M6" s="12">
        <v>0.98906117677688599</v>
      </c>
    </row>
    <row r="7" spans="1:13" x14ac:dyDescent="0.3">
      <c r="A7" s="11">
        <v>20000</v>
      </c>
      <c r="B7" s="12">
        <f t="shared" si="1"/>
        <v>0.99410045444965367</v>
      </c>
      <c r="C7" s="12">
        <v>3.0849008560180664</v>
      </c>
      <c r="D7" s="14">
        <f t="shared" si="2"/>
        <v>0.1</v>
      </c>
      <c r="E7" s="14"/>
      <c r="H7" s="17">
        <f t="shared" si="3"/>
        <v>30261.19203966406</v>
      </c>
      <c r="I7" s="18">
        <f t="shared" si="0"/>
        <v>4.1420817375182883E-3</v>
      </c>
      <c r="L7" s="14">
        <v>0.1</v>
      </c>
      <c r="M7" s="12">
        <v>0.99562996625900269</v>
      </c>
    </row>
    <row r="8" spans="1:13" x14ac:dyDescent="0.3">
      <c r="A8" s="11">
        <v>50000</v>
      </c>
      <c r="B8" s="12">
        <f t="shared" si="1"/>
        <v>0.99824253618717196</v>
      </c>
      <c r="C8" s="12">
        <v>2.71579909324646</v>
      </c>
      <c r="D8" s="14">
        <f t="shared" si="2"/>
        <v>0.1</v>
      </c>
      <c r="E8" s="14"/>
      <c r="H8" s="17">
        <f t="shared" si="3"/>
        <v>67751.830749507266</v>
      </c>
      <c r="I8" s="18">
        <f t="shared" si="0"/>
        <v>1.0849267244338323E-3</v>
      </c>
      <c r="L8" s="14">
        <v>0.1</v>
      </c>
      <c r="M8" s="12">
        <v>0.99869817495346069</v>
      </c>
    </row>
    <row r="9" spans="1:13" x14ac:dyDescent="0.3">
      <c r="A9" s="11">
        <v>100000</v>
      </c>
      <c r="B9" s="12">
        <f t="shared" si="1"/>
        <v>0.99932746291160579</v>
      </c>
      <c r="C9" s="12">
        <v>2.4554803371429443</v>
      </c>
      <c r="D9" s="14">
        <f t="shared" si="2"/>
        <v>0.1</v>
      </c>
      <c r="E9" s="14"/>
      <c r="H9" s="17">
        <f t="shared" si="3"/>
        <v>146103.89891157375</v>
      </c>
      <c r="I9" s="18">
        <f t="shared" si="0"/>
        <v>5.1739811897277832E-4</v>
      </c>
      <c r="L9" s="14">
        <v>0.1</v>
      </c>
      <c r="M9" s="12">
        <v>0.99950182437896729</v>
      </c>
    </row>
    <row r="10" spans="1:13" x14ac:dyDescent="0.3">
      <c r="A10" s="11">
        <v>250000</v>
      </c>
      <c r="B10" s="12">
        <f t="shared" si="1"/>
        <v>0.99984486103057857</v>
      </c>
      <c r="C10" s="12">
        <v>2.3088016510009766</v>
      </c>
      <c r="D10" s="14">
        <f t="shared" si="2"/>
        <v>0.1</v>
      </c>
      <c r="E10" s="14"/>
      <c r="H10" s="17">
        <f t="shared" si="3"/>
        <v>339519.73300628888</v>
      </c>
      <c r="I10" s="18">
        <f t="shared" si="0"/>
        <v>1.0927319526676804E-4</v>
      </c>
      <c r="L10" s="14">
        <v>0.1</v>
      </c>
      <c r="M10" s="12">
        <v>0.99988508224487305</v>
      </c>
    </row>
    <row r="11" spans="1:13" x14ac:dyDescent="0.3">
      <c r="A11" s="17">
        <v>500000</v>
      </c>
      <c r="B11" s="12">
        <f t="shared" si="1"/>
        <v>0.99995413422584534</v>
      </c>
      <c r="C11" s="18">
        <v>2.2869284152984619</v>
      </c>
      <c r="D11" s="14">
        <f t="shared" si="2"/>
        <v>0.1</v>
      </c>
      <c r="E11" s="14"/>
      <c r="H11" s="17">
        <f>C11*A11</f>
        <v>1143464.207649231</v>
      </c>
      <c r="I11" s="18">
        <f>1-B11</f>
        <v>4.5865774154663086E-5</v>
      </c>
      <c r="L11" s="14">
        <v>0.1</v>
      </c>
      <c r="M11" s="18">
        <v>0.99996602535247803</v>
      </c>
    </row>
    <row r="12" spans="1:13" x14ac:dyDescent="0.3">
      <c r="M12" s="1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D4" sqref="D4:I4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1971</v>
      </c>
      <c r="C1" s="8" t="s">
        <v>24</v>
      </c>
      <c r="D1" s="10">
        <f>1000*[1]TD1!$C$78</f>
        <v>21354803.329468094</v>
      </c>
      <c r="E1" s="8" t="s">
        <v>30</v>
      </c>
      <c r="F1" s="21">
        <f>(SUMPRODUCT(D4:D14,H4:H14,I4:I14)/(D2*B2))/((1-SUMPRODUCT(D4:D14,H4:H14,I4:I14)/B2)/(1-D2))</f>
        <v>0.5852270384366639</v>
      </c>
      <c r="G1" s="19"/>
      <c r="H1" s="16"/>
    </row>
    <row r="2" spans="1:12" x14ac:dyDescent="0.3">
      <c r="A2" s="8" t="s">
        <v>12</v>
      </c>
      <c r="B2" s="11">
        <f>[1]TD2!$M$78</f>
        <v>2116.4749162224562</v>
      </c>
      <c r="C2" s="8" t="s">
        <v>15</v>
      </c>
      <c r="D2" s="14">
        <f>[1]TD1!$F$78</f>
        <v>0.32941804900886229</v>
      </c>
      <c r="E2" s="18" t="s">
        <v>26</v>
      </c>
      <c r="I2" s="8"/>
      <c r="L2" s="14">
        <f>D2/0.95</f>
        <v>0.34675584106196033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0.41218494048819715</v>
      </c>
      <c r="E4" s="14"/>
      <c r="H4" s="17">
        <f>((1-B4)*B2-(1-B5)*C5*A5)/(B5-B4)</f>
        <v>1145.2812102427267</v>
      </c>
      <c r="I4" s="18">
        <f>B5-B4</f>
        <v>0.71538984173949816</v>
      </c>
    </row>
    <row r="5" spans="1:12" x14ac:dyDescent="0.3">
      <c r="A5" s="11">
        <v>2286.7352585611557</v>
      </c>
      <c r="B5" s="12">
        <v>0.71538984173949816</v>
      </c>
      <c r="C5" s="8">
        <v>1.9930799003453212</v>
      </c>
      <c r="D5" s="14">
        <f>L5*D$2/L$2</f>
        <v>0.1732253521237167</v>
      </c>
      <c r="E5" s="14"/>
      <c r="F5" s="68"/>
      <c r="H5" s="17">
        <f t="shared" ref="H5:H13" si="0">((1-B5)*C5*A5-(1-B6)*C6*A6)/(B6-B5)</f>
        <v>2651.2136853120064</v>
      </c>
      <c r="I5" s="18">
        <f t="shared" ref="I5:I13" si="1">B6-B5</f>
        <v>0.10316887124788532</v>
      </c>
      <c r="L5" s="14">
        <v>0.18234247591970182</v>
      </c>
    </row>
    <row r="6" spans="1:12" x14ac:dyDescent="0.3">
      <c r="A6" s="11">
        <v>3048.9803447482077</v>
      </c>
      <c r="B6" s="12">
        <v>0.81855871298738347</v>
      </c>
      <c r="C6" s="8">
        <v>1.8503424573567164</v>
      </c>
      <c r="D6" s="14">
        <f>L6*D$2/L$2</f>
        <v>0.1159443663138815</v>
      </c>
      <c r="E6" s="14"/>
      <c r="H6" s="17">
        <f t="shared" si="0"/>
        <v>3410.1556115437961</v>
      </c>
      <c r="I6" s="18">
        <f t="shared" si="1"/>
        <v>6.3864507621947286E-2</v>
      </c>
      <c r="L6" s="14">
        <v>0.12204670138303317</v>
      </c>
    </row>
    <row r="7" spans="1:12" x14ac:dyDescent="0.3">
      <c r="A7" s="11">
        <v>3811.2254309352597</v>
      </c>
      <c r="B7" s="12">
        <v>0.88242322060933076</v>
      </c>
      <c r="C7" s="12">
        <v>1.7983058663094937</v>
      </c>
      <c r="D7" s="14">
        <f t="shared" ref="D7:D14" si="2">L7*D$2/L$2</f>
        <v>8.8729118476976621E-2</v>
      </c>
      <c r="E7" s="14"/>
      <c r="H7" s="17">
        <f t="shared" si="0"/>
        <v>4173.0784089009067</v>
      </c>
      <c r="I7" s="18">
        <f t="shared" si="1"/>
        <v>3.8484971616007391E-2</v>
      </c>
      <c r="L7" s="14">
        <v>9.3399072081028031E-2</v>
      </c>
    </row>
    <row r="8" spans="1:12" x14ac:dyDescent="0.3">
      <c r="A8" s="11">
        <v>4573.4705171223113</v>
      </c>
      <c r="B8" s="12">
        <v>0.92090819222533815</v>
      </c>
      <c r="C8" s="12">
        <v>1.7837932926384013</v>
      </c>
      <c r="D8" s="14">
        <f t="shared" si="2"/>
        <v>7.6299102459494103E-2</v>
      </c>
      <c r="E8" s="14"/>
      <c r="H8" s="17">
        <f t="shared" si="0"/>
        <v>5231.7132771529778</v>
      </c>
      <c r="I8" s="18">
        <f t="shared" si="1"/>
        <v>3.8164949937766535E-2</v>
      </c>
      <c r="L8" s="14">
        <v>8.0314844694204329E-2</v>
      </c>
    </row>
    <row r="9" spans="1:12" x14ac:dyDescent="0.3">
      <c r="A9" s="11">
        <v>6097.9606894964154</v>
      </c>
      <c r="B9" s="12">
        <v>0.95907314216310469</v>
      </c>
      <c r="C9" s="12">
        <v>1.7853596171559007</v>
      </c>
      <c r="D9" s="14">
        <f t="shared" si="2"/>
        <v>7.1858834661925788E-2</v>
      </c>
      <c r="E9" s="14"/>
      <c r="H9" s="17">
        <f t="shared" si="0"/>
        <v>6777.9893571052553</v>
      </c>
      <c r="I9" s="18">
        <f t="shared" si="1"/>
        <v>1.6330752131946014E-2</v>
      </c>
      <c r="L9" s="14">
        <v>7.5640878591500829E-2</v>
      </c>
    </row>
    <row r="10" spans="1:12" x14ac:dyDescent="0.3">
      <c r="A10" s="17">
        <v>7622.4508618705195</v>
      </c>
      <c r="B10" s="12">
        <v>0.9754038942950507</v>
      </c>
      <c r="C10" s="12">
        <v>1.7862094070386201</v>
      </c>
      <c r="D10" s="14">
        <f t="shared" si="2"/>
        <v>7.1730978437065468E-2</v>
      </c>
      <c r="E10" s="14"/>
      <c r="H10" s="17">
        <f t="shared" si="0"/>
        <v>8884.4757393825148</v>
      </c>
      <c r="I10" s="18">
        <f t="shared" si="1"/>
        <v>1.2999698274763549E-2</v>
      </c>
      <c r="L10" s="14">
        <v>7.5506293091647872E-2</v>
      </c>
    </row>
    <row r="11" spans="1:12" x14ac:dyDescent="0.3">
      <c r="A11" s="17">
        <v>10671.431206618727</v>
      </c>
      <c r="B11" s="12">
        <v>0.98840359256981425</v>
      </c>
      <c r="C11" s="12">
        <v>1.7728260549774932</v>
      </c>
      <c r="D11" s="14">
        <f t="shared" si="2"/>
        <v>7.1378852186750302E-2</v>
      </c>
      <c r="E11" s="14"/>
      <c r="H11" s="17">
        <f t="shared" si="0"/>
        <v>12539.045603654356</v>
      </c>
      <c r="I11" s="18">
        <f t="shared" si="1"/>
        <v>6.3440059788821834E-3</v>
      </c>
      <c r="L11" s="14">
        <v>7.5135633880789809E-2</v>
      </c>
    </row>
    <row r="12" spans="1:12" x14ac:dyDescent="0.3">
      <c r="A12" s="17">
        <v>15244.901723741039</v>
      </c>
      <c r="B12" s="12">
        <v>0.99474759854869643</v>
      </c>
      <c r="C12" s="12">
        <v>1.7464196177026496</v>
      </c>
      <c r="D12" s="14">
        <f t="shared" si="2"/>
        <v>7.0672948558205759E-2</v>
      </c>
      <c r="E12" s="14"/>
      <c r="H12" s="17">
        <f t="shared" si="0"/>
        <v>20201.167028649867</v>
      </c>
      <c r="I12" s="18">
        <f t="shared" si="1"/>
        <v>4.2092637713951886E-3</v>
      </c>
      <c r="L12" s="14">
        <v>7.4392577429690285E-2</v>
      </c>
    </row>
    <row r="13" spans="1:12" x14ac:dyDescent="0.3">
      <c r="A13" s="17">
        <v>30489.803447482078</v>
      </c>
      <c r="B13" s="12">
        <v>0.99895686232009162</v>
      </c>
      <c r="C13" s="12">
        <v>1.723243625426468</v>
      </c>
      <c r="D13" s="14">
        <f t="shared" si="2"/>
        <v>7.6739633877370969E-2</v>
      </c>
      <c r="E13" s="14"/>
      <c r="H13" s="17">
        <f t="shared" si="0"/>
        <v>39979.048676693274</v>
      </c>
      <c r="I13" s="18">
        <f t="shared" si="1"/>
        <v>8.4927028922687775E-4</v>
      </c>
      <c r="L13" s="14">
        <v>8.0778561976179969E-2</v>
      </c>
    </row>
    <row r="14" spans="1:12" x14ac:dyDescent="0.3">
      <c r="A14" s="17">
        <v>60979.606894964156</v>
      </c>
      <c r="B14" s="12">
        <v>0.9998061326093185</v>
      </c>
      <c r="C14" s="12">
        <v>1.7640778985507246</v>
      </c>
      <c r="D14" s="14">
        <f t="shared" si="2"/>
        <v>0.10716183574879228</v>
      </c>
      <c r="E14" s="14"/>
      <c r="H14" s="17">
        <f>C14*A14</f>
        <v>107572.77678571765</v>
      </c>
      <c r="I14" s="18">
        <f>1-B14</f>
        <v>1.9386739068150138E-4</v>
      </c>
      <c r="L14" s="14">
        <v>0.11280193236714976</v>
      </c>
    </row>
    <row r="15" spans="1:12" x14ac:dyDescent="0.3"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1972</v>
      </c>
      <c r="C1" s="8" t="s">
        <v>24</v>
      </c>
      <c r="D1" s="10">
        <f>1000*[1]TD1!$C$79</f>
        <v>21652870.025774285</v>
      </c>
      <c r="E1" s="8" t="s">
        <v>30</v>
      </c>
      <c r="F1" s="21">
        <f>(SUMPRODUCT(D4:D14,H4:H14,I4:I14)/(D2*B2))/((1-SUMPRODUCT(D4:D14,H4:H14,I4:I14)/B2)/(1-D2))</f>
        <v>0.57445807899206147</v>
      </c>
      <c r="G1" s="19"/>
      <c r="H1" s="16"/>
    </row>
    <row r="2" spans="1:12" x14ac:dyDescent="0.3">
      <c r="A2" s="8" t="s">
        <v>12</v>
      </c>
      <c r="B2" s="11">
        <f>[1]TD2!$M$79</f>
        <v>2336.8099906322182</v>
      </c>
      <c r="C2" s="8" t="s">
        <v>15</v>
      </c>
      <c r="D2" s="14">
        <f>[1]TD1!$F$79</f>
        <v>0.33272748485485293</v>
      </c>
      <c r="E2" s="18" t="s">
        <v>26</v>
      </c>
      <c r="I2" s="8"/>
      <c r="L2" s="14">
        <f>D2/0.95</f>
        <v>0.35023945774195048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0.42805976082565667</v>
      </c>
      <c r="E4" s="14"/>
      <c r="H4" s="17">
        <f>((1-B4)*B2-(1-B5)*C5*A5)/(B5-B4)</f>
        <v>1214.7984560415041</v>
      </c>
      <c r="I4" s="18">
        <f>B5-B4</f>
        <v>0.67529634478972267</v>
      </c>
    </row>
    <row r="5" spans="1:12" x14ac:dyDescent="0.3">
      <c r="A5" s="11">
        <v>2286.7352585611557</v>
      </c>
      <c r="B5" s="12">
        <v>0.67529634478972267</v>
      </c>
      <c r="C5" s="8">
        <v>2.0423406887331561</v>
      </c>
      <c r="D5" s="14">
        <f>L5*D$2/L$2</f>
        <v>0.2050214533183066</v>
      </c>
      <c r="E5" s="14"/>
      <c r="H5" s="17">
        <f t="shared" ref="H5:H13" si="0">((1-B5)*C5*A5-(1-B6)*C6*A6)/(B6-B5)</f>
        <v>2653.6646497918105</v>
      </c>
      <c r="I5" s="18">
        <f t="shared" ref="I5:I13" si="1">B6-B5</f>
        <v>0.11091001519303423</v>
      </c>
      <c r="L5" s="14">
        <v>0.21581205612453327</v>
      </c>
    </row>
    <row r="6" spans="1:12" x14ac:dyDescent="0.3">
      <c r="A6" s="11">
        <v>3048.9803447482077</v>
      </c>
      <c r="B6" s="12">
        <v>0.7862063599827569</v>
      </c>
      <c r="C6" s="8">
        <v>1.8748763681811407</v>
      </c>
      <c r="D6" s="14">
        <f>L6*D$2/L$2</f>
        <v>0.12805520324480182</v>
      </c>
      <c r="E6" s="14"/>
      <c r="H6" s="17">
        <f t="shared" si="0"/>
        <v>3412.0096595447317</v>
      </c>
      <c r="I6" s="18">
        <f t="shared" si="1"/>
        <v>7.2269906842272413E-2</v>
      </c>
      <c r="L6" s="14">
        <v>0.13479495078400192</v>
      </c>
    </row>
    <row r="7" spans="1:12" x14ac:dyDescent="0.3">
      <c r="A7" s="11">
        <v>3811.2254309352597</v>
      </c>
      <c r="B7" s="12">
        <v>0.85847626682502931</v>
      </c>
      <c r="C7" s="12">
        <v>1.80866829504682</v>
      </c>
      <c r="D7" s="14">
        <f t="shared" ref="D7:D14" si="2">L7*D$2/L$2</f>
        <v>9.6652696198401042E-2</v>
      </c>
      <c r="E7" s="14"/>
      <c r="H7" s="17">
        <f t="shared" si="0"/>
        <v>4172.771215695775</v>
      </c>
      <c r="I7" s="18">
        <f t="shared" si="1"/>
        <v>4.5289146373330924E-2</v>
      </c>
      <c r="L7" s="14">
        <v>0.10173968020884321</v>
      </c>
    </row>
    <row r="8" spans="1:12" x14ac:dyDescent="0.3">
      <c r="A8" s="11">
        <v>4573.4705171223113</v>
      </c>
      <c r="B8" s="12">
        <v>0.90376541319836023</v>
      </c>
      <c r="C8" s="12">
        <v>1.7871611745782654</v>
      </c>
      <c r="D8" s="14">
        <f t="shared" si="2"/>
        <v>7.977851030072837E-2</v>
      </c>
      <c r="E8" s="14"/>
      <c r="H8" s="17">
        <f t="shared" si="0"/>
        <v>5234.6482094345793</v>
      </c>
      <c r="I8" s="18">
        <f t="shared" si="1"/>
        <v>4.6108252569363462E-2</v>
      </c>
      <c r="L8" s="14">
        <v>8.3977379263924609E-2</v>
      </c>
    </row>
    <row r="9" spans="1:12" x14ac:dyDescent="0.3">
      <c r="A9" s="11">
        <v>6097.9606894964154</v>
      </c>
      <c r="B9" s="12">
        <v>0.9498736657677237</v>
      </c>
      <c r="C9" s="12">
        <v>1.7836834644856774</v>
      </c>
      <c r="D9" s="14">
        <f t="shared" si="2"/>
        <v>7.3194221508828247E-2</v>
      </c>
      <c r="E9" s="14"/>
      <c r="H9" s="17">
        <f t="shared" si="0"/>
        <v>6776.2965430424065</v>
      </c>
      <c r="I9" s="18">
        <f t="shared" si="1"/>
        <v>1.9881567639189024E-2</v>
      </c>
      <c r="L9" s="14">
        <v>7.7046548956661312E-2</v>
      </c>
    </row>
    <row r="10" spans="1:12" x14ac:dyDescent="0.3">
      <c r="A10" s="17">
        <v>7622.4508618705195</v>
      </c>
      <c r="B10" s="12">
        <v>0.96975523340691272</v>
      </c>
      <c r="C10" s="12">
        <v>1.7805744816655114</v>
      </c>
      <c r="D10" s="14">
        <f t="shared" si="2"/>
        <v>7.2787800053145932E-2</v>
      </c>
      <c r="E10" s="14"/>
      <c r="H10" s="17">
        <f t="shared" si="0"/>
        <v>8882.5523347172129</v>
      </c>
      <c r="I10" s="18">
        <f t="shared" si="1"/>
        <v>1.564180635624024E-2</v>
      </c>
      <c r="L10" s="14">
        <v>7.6618736898048365E-2</v>
      </c>
    </row>
    <row r="11" spans="1:12" x14ac:dyDescent="0.3">
      <c r="A11" s="17">
        <v>10671.431206618727</v>
      </c>
      <c r="B11" s="12">
        <v>0.98539703976315296</v>
      </c>
      <c r="C11" s="12">
        <v>1.7425740905731164</v>
      </c>
      <c r="D11" s="14">
        <f t="shared" si="2"/>
        <v>6.798588941024096E-2</v>
      </c>
      <c r="E11" s="14"/>
      <c r="H11" s="17">
        <f t="shared" si="0"/>
        <v>11826.051647962502</v>
      </c>
      <c r="I11" s="18">
        <f t="shared" si="1"/>
        <v>8.1300076983076286E-3</v>
      </c>
      <c r="L11" s="14">
        <v>7.1564094116043128E-2</v>
      </c>
    </row>
    <row r="12" spans="1:12" x14ac:dyDescent="0.3">
      <c r="A12" s="17">
        <v>15244.901723741039</v>
      </c>
      <c r="B12" s="12">
        <v>0.99352704746146059</v>
      </c>
      <c r="C12" s="12">
        <v>1.7775444855092111</v>
      </c>
      <c r="D12" s="14">
        <f t="shared" si="2"/>
        <v>7.0348496724959686E-2</v>
      </c>
      <c r="E12" s="14"/>
      <c r="H12" s="17">
        <f t="shared" si="0"/>
        <v>20269.602981579734</v>
      </c>
      <c r="I12" s="18">
        <f t="shared" si="1"/>
        <v>5.125925564042233E-3</v>
      </c>
      <c r="L12" s="14">
        <v>7.4051049184168091E-2</v>
      </c>
    </row>
    <row r="13" spans="1:12" x14ac:dyDescent="0.3">
      <c r="A13" s="17">
        <v>30489.803447482078</v>
      </c>
      <c r="B13" s="12">
        <v>0.99865297302550282</v>
      </c>
      <c r="C13" s="12">
        <v>1.7410700449137724</v>
      </c>
      <c r="D13" s="14">
        <f t="shared" si="2"/>
        <v>7.207616551840737E-2</v>
      </c>
      <c r="E13" s="14"/>
      <c r="H13" s="17">
        <f t="shared" si="0"/>
        <v>39954.967870937049</v>
      </c>
      <c r="I13" s="18">
        <f t="shared" si="1"/>
        <v>1.0926496105060357E-3</v>
      </c>
      <c r="L13" s="14">
        <v>7.586964791411302E-2</v>
      </c>
    </row>
    <row r="14" spans="1:12" x14ac:dyDescent="0.3">
      <c r="A14" s="17">
        <v>60979.606894964156</v>
      </c>
      <c r="B14" s="12">
        <v>0.99974562263600886</v>
      </c>
      <c r="C14" s="12">
        <v>1.7954030501089324</v>
      </c>
      <c r="D14" s="14">
        <f t="shared" si="2"/>
        <v>9.9173928830791555E-2</v>
      </c>
      <c r="E14" s="14"/>
      <c r="H14" s="17">
        <f>C14*A14</f>
        <v>109482.97221366233</v>
      </c>
      <c r="I14" s="18">
        <f>1-B14</f>
        <v>2.5437736399114286E-4</v>
      </c>
      <c r="L14" s="14">
        <v>0.10439360929557008</v>
      </c>
    </row>
    <row r="15" spans="1:12" x14ac:dyDescent="0.3"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5" sqref="A5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1973</v>
      </c>
      <c r="C1" s="8" t="s">
        <v>24</v>
      </c>
      <c r="D1" s="10">
        <f>1000*[1]TD1!$C$80</f>
        <v>21921093.538944278</v>
      </c>
      <c r="E1" s="8" t="s">
        <v>30</v>
      </c>
      <c r="F1" s="21">
        <f>(SUMPRODUCT(D4:D14,H4:H14,I4:I14)/(D2*B2))/((1-SUMPRODUCT(D4:D14,H4:H14,I4:I14)/B2)/(1-D2))</f>
        <v>0.53235034673417581</v>
      </c>
      <c r="G1" s="19"/>
      <c r="H1" s="16"/>
    </row>
    <row r="2" spans="1:12" x14ac:dyDescent="0.3">
      <c r="A2" s="8" t="s">
        <v>12</v>
      </c>
      <c r="B2" s="11">
        <f>[1]TD2!$M$80</f>
        <v>2614.5713969349663</v>
      </c>
      <c r="C2" s="8" t="s">
        <v>15</v>
      </c>
      <c r="D2" s="14">
        <f>[1]TD1!$F$80</f>
        <v>0.33425032943098199</v>
      </c>
      <c r="E2" s="18" t="s">
        <v>26</v>
      </c>
      <c r="I2" s="8"/>
      <c r="L2" s="14">
        <f>D2/0.95</f>
        <v>0.35184245203261261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0.44964438957070818</v>
      </c>
      <c r="E4" s="14"/>
      <c r="H4" s="17">
        <f>((1-B4)*B2-(1-B5)*C5*A5)/(B5-B4)</f>
        <v>1170.5106761543479</v>
      </c>
      <c r="I4" s="18">
        <f>B5-B4</f>
        <v>0.61406106497432533</v>
      </c>
    </row>
    <row r="5" spans="1:12" x14ac:dyDescent="0.3">
      <c r="A5" s="11">
        <v>2286.7352585611557</v>
      </c>
      <c r="B5" s="12">
        <v>0.61406106497432533</v>
      </c>
      <c r="C5" s="8">
        <v>2.1481247292877255</v>
      </c>
      <c r="D5" s="14">
        <f>L5*D$2/L$2</f>
        <v>0.25427935395321977</v>
      </c>
      <c r="E5" s="14"/>
      <c r="H5" s="17">
        <f t="shared" ref="H5:H13" si="0">((1-B5)*C5*A5-(1-B6)*C6*A6)/(B6-B5)</f>
        <v>2647.2232899918963</v>
      </c>
      <c r="I5" s="18">
        <f t="shared" ref="I5:I13" si="1">B6-B5</f>
        <v>0.11591193986824344</v>
      </c>
      <c r="L5" s="14">
        <v>0.26766247784549452</v>
      </c>
    </row>
    <row r="6" spans="1:12" x14ac:dyDescent="0.3">
      <c r="A6" s="11">
        <v>3048.9803447482077</v>
      </c>
      <c r="B6" s="12">
        <v>0.72997300484256877</v>
      </c>
      <c r="C6" s="8">
        <v>1.9299745735754352</v>
      </c>
      <c r="D6" s="14">
        <f>L6*D$2/L$2</f>
        <v>0.14733163144552713</v>
      </c>
      <c r="E6" s="14"/>
      <c r="H6" s="17">
        <f t="shared" si="0"/>
        <v>3416.3436757329027</v>
      </c>
      <c r="I6" s="18">
        <f t="shared" si="1"/>
        <v>8.514603957275102E-2</v>
      </c>
      <c r="L6" s="14">
        <v>0.15508592783739697</v>
      </c>
    </row>
    <row r="7" spans="1:12" x14ac:dyDescent="0.3">
      <c r="A7" s="11">
        <v>3811.2254309352597</v>
      </c>
      <c r="B7" s="12">
        <v>0.81511904441531979</v>
      </c>
      <c r="C7" s="12">
        <v>1.84222406117389</v>
      </c>
      <c r="D7" s="14">
        <f t="shared" ref="D7:D14" si="2">L7*D$2/L$2</f>
        <v>0.10804817556078566</v>
      </c>
      <c r="E7" s="14"/>
      <c r="H7" s="17">
        <f t="shared" si="0"/>
        <v>4175.9514023836955</v>
      </c>
      <c r="I7" s="18">
        <f t="shared" si="1"/>
        <v>5.7208948938300752E-2</v>
      </c>
      <c r="L7" s="14">
        <v>0.11373492164293228</v>
      </c>
    </row>
    <row r="8" spans="1:12" x14ac:dyDescent="0.3">
      <c r="A8" s="11">
        <v>4573.4705171223113</v>
      </c>
      <c r="B8" s="12">
        <v>0.87232799335362055</v>
      </c>
      <c r="C8" s="12">
        <v>1.8139477830857789</v>
      </c>
      <c r="D8" s="14">
        <f t="shared" si="2"/>
        <v>8.3314357298213154E-2</v>
      </c>
      <c r="E8" s="14"/>
      <c r="H8" s="17">
        <f t="shared" si="0"/>
        <v>5240.7645953257788</v>
      </c>
      <c r="I8" s="18">
        <f t="shared" si="1"/>
        <v>6.0740765401803287E-2</v>
      </c>
      <c r="L8" s="14">
        <v>8.7699323471803314E-2</v>
      </c>
    </row>
    <row r="9" spans="1:12" x14ac:dyDescent="0.3">
      <c r="A9" s="11">
        <v>6097.9606894964154</v>
      </c>
      <c r="B9" s="12">
        <v>0.93306875875542383</v>
      </c>
      <c r="C9" s="12">
        <v>1.8151521497322121</v>
      </c>
      <c r="D9" s="14">
        <f t="shared" si="2"/>
        <v>7.2996575778946568E-2</v>
      </c>
      <c r="E9" s="14"/>
      <c r="H9" s="17">
        <f t="shared" si="0"/>
        <v>6777.0969616215916</v>
      </c>
      <c r="I9" s="18">
        <f t="shared" si="1"/>
        <v>2.6844235619658763E-2</v>
      </c>
      <c r="L9" s="14">
        <v>7.6838500819943756E-2</v>
      </c>
    </row>
    <row r="10" spans="1:12" x14ac:dyDescent="0.3">
      <c r="A10" s="17">
        <v>7622.4508618705195</v>
      </c>
      <c r="B10" s="12">
        <v>0.9599129943750826</v>
      </c>
      <c r="C10" s="12">
        <v>1.829150942644731</v>
      </c>
      <c r="D10" s="14">
        <f t="shared" si="2"/>
        <v>7.2890584479701745E-2</v>
      </c>
      <c r="E10" s="14"/>
      <c r="H10" s="17">
        <f t="shared" si="0"/>
        <v>8877.300244657541</v>
      </c>
      <c r="I10" s="18">
        <f t="shared" si="1"/>
        <v>2.1020985982353135E-2</v>
      </c>
      <c r="L10" s="14">
        <v>7.6726931031264989E-2</v>
      </c>
    </row>
    <row r="11" spans="1:12" x14ac:dyDescent="0.3">
      <c r="A11" s="17">
        <v>10671.431206618727</v>
      </c>
      <c r="B11" s="12">
        <v>0.98093398035743573</v>
      </c>
      <c r="C11" s="12">
        <v>1.8298676253641943</v>
      </c>
      <c r="D11" s="14">
        <f t="shared" si="2"/>
        <v>7.2863400858330929E-2</v>
      </c>
      <c r="E11" s="14"/>
      <c r="H11" s="17">
        <f t="shared" si="0"/>
        <v>12542.09397383487</v>
      </c>
      <c r="I11" s="18">
        <f t="shared" si="1"/>
        <v>1.0257471854701494E-2</v>
      </c>
      <c r="L11" s="14">
        <v>7.6698316692979926E-2</v>
      </c>
    </row>
    <row r="12" spans="1:12" x14ac:dyDescent="0.3">
      <c r="A12" s="17">
        <v>15244.901723741039</v>
      </c>
      <c r="B12" s="12">
        <v>0.99119145221213723</v>
      </c>
      <c r="C12" s="12">
        <v>1.8144768583014403</v>
      </c>
      <c r="D12" s="14">
        <f t="shared" si="2"/>
        <v>7.1104948664619846E-2</v>
      </c>
      <c r="E12" s="14"/>
      <c r="H12" s="17">
        <f t="shared" si="0"/>
        <v>20269.519870323424</v>
      </c>
      <c r="I12" s="18">
        <f t="shared" si="1"/>
        <v>6.9090987514345281E-3</v>
      </c>
      <c r="L12" s="14">
        <v>7.484731438381037E-2</v>
      </c>
    </row>
    <row r="13" spans="1:12" x14ac:dyDescent="0.3">
      <c r="A13" s="17">
        <v>30489.803447482078</v>
      </c>
      <c r="B13" s="12">
        <v>0.99810055096357175</v>
      </c>
      <c r="C13" s="12">
        <v>1.7891015418608003</v>
      </c>
      <c r="D13" s="14">
        <f t="shared" si="2"/>
        <v>7.3490405053438318E-2</v>
      </c>
      <c r="E13" s="14"/>
      <c r="H13" s="17">
        <f t="shared" si="0"/>
        <v>40144.358679378012</v>
      </c>
      <c r="I13" s="18">
        <f t="shared" si="1"/>
        <v>1.5237834709594944E-3</v>
      </c>
      <c r="L13" s="14">
        <v>7.7358321108882439E-2</v>
      </c>
    </row>
    <row r="14" spans="1:12" x14ac:dyDescent="0.3">
      <c r="A14" s="17">
        <v>60979.606894964156</v>
      </c>
      <c r="B14" s="12">
        <v>0.99962433443453125</v>
      </c>
      <c r="C14" s="12">
        <v>1.8527380085003036</v>
      </c>
      <c r="D14" s="14">
        <f t="shared" si="2"/>
        <v>0.10163327261687917</v>
      </c>
      <c r="E14" s="14"/>
      <c r="H14" s="17">
        <f>C14*A14</f>
        <v>112979.23543770728</v>
      </c>
      <c r="I14" s="18">
        <f>1-B14</f>
        <v>3.756655654687524E-4</v>
      </c>
      <c r="L14" s="14">
        <v>0.10698239222829387</v>
      </c>
    </row>
    <row r="15" spans="1:12" x14ac:dyDescent="0.3"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1974</v>
      </c>
      <c r="C1" s="8" t="s">
        <v>24</v>
      </c>
      <c r="D1" s="10">
        <f>1000*[1]TD1!$C$81</f>
        <v>22160611.367462769</v>
      </c>
      <c r="E1" s="8" t="s">
        <v>30</v>
      </c>
      <c r="F1" s="21">
        <f>(SUMPRODUCT(D4:D14,H4:H14,I4:I14)/(D2*B2))/((1-SUMPRODUCT(D4:D14,H4:H14,I4:I14)/B2)/(1-D2))</f>
        <v>0.5123056089265815</v>
      </c>
      <c r="G1" s="19"/>
      <c r="H1" s="16"/>
    </row>
    <row r="2" spans="1:12" x14ac:dyDescent="0.3">
      <c r="A2" s="8" t="s">
        <v>12</v>
      </c>
      <c r="B2" s="11">
        <f>[1]TD2!$M$81</f>
        <v>3030.4969048976063</v>
      </c>
      <c r="C2" s="8" t="s">
        <v>15</v>
      </c>
      <c r="D2" s="14">
        <f>[1]TD1!$F$81</f>
        <v>0.33422824976369503</v>
      </c>
      <c r="E2" s="18" t="s">
        <v>26</v>
      </c>
      <c r="I2" s="8"/>
      <c r="L2" s="13">
        <f>D2/0.9</f>
        <v>0.37136472195966114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0.47031469268549991</v>
      </c>
      <c r="E4" s="14"/>
      <c r="H4" s="17">
        <f>((1-B4)*B2-(1-B5)*C5*A5)/(B5-B4)</f>
        <v>1196.9487181091856</v>
      </c>
      <c r="I4" s="18">
        <f>B5-B4</f>
        <v>0.53737883824772614</v>
      </c>
    </row>
    <row r="5" spans="1:12" x14ac:dyDescent="0.3">
      <c r="A5" s="11">
        <v>2286.7352585611557</v>
      </c>
      <c r="B5" s="12">
        <v>0.53737883824772614</v>
      </c>
      <c r="C5" s="8">
        <v>2.2566402980205362</v>
      </c>
      <c r="D5" s="14">
        <f>L5*D$2/L$2</f>
        <v>0.32312608828016148</v>
      </c>
      <c r="E5" s="14"/>
      <c r="H5" s="17">
        <f t="shared" ref="H5:H13" si="0">((1-B5)*C5*A5-(1-B6)*C6*A6)/(B6-B5)</f>
        <v>2656.1512021627786</v>
      </c>
      <c r="I5" s="18">
        <f t="shared" ref="I5:I13" si="1">B6-B5</f>
        <v>0.1277890179582305</v>
      </c>
      <c r="L5" s="14">
        <v>0.35902898697795721</v>
      </c>
    </row>
    <row r="6" spans="1:12" x14ac:dyDescent="0.3">
      <c r="A6" s="11">
        <v>3048.9803447482077</v>
      </c>
      <c r="B6" s="12">
        <v>0.66516785620595664</v>
      </c>
      <c r="C6" s="8">
        <v>2.0059377110859296</v>
      </c>
      <c r="D6" s="14">
        <f>L6*D$2/L$2</f>
        <v>0.19235573601617448</v>
      </c>
      <c r="E6" s="14"/>
      <c r="H6" s="17">
        <f t="shared" si="0"/>
        <v>3424.8082085165465</v>
      </c>
      <c r="I6" s="18">
        <f t="shared" si="1"/>
        <v>8.9330060750332896E-2</v>
      </c>
      <c r="L6" s="14">
        <v>0.21372859557352719</v>
      </c>
    </row>
    <row r="7" spans="1:12" x14ac:dyDescent="0.3">
      <c r="A7" s="11">
        <v>3811.2254309352597</v>
      </c>
      <c r="B7" s="12">
        <v>0.75449791695628954</v>
      </c>
      <c r="C7" s="12">
        <v>1.8616908630820417</v>
      </c>
      <c r="D7" s="14">
        <f t="shared" ref="D7:D14" si="2">L7*D$2/L$2</f>
        <v>0.12854601761175374</v>
      </c>
      <c r="E7" s="14"/>
      <c r="H7" s="17">
        <f t="shared" si="0"/>
        <v>4180.9038926234834</v>
      </c>
      <c r="I7" s="18">
        <f t="shared" si="1"/>
        <v>6.9598974814443215E-2</v>
      </c>
      <c r="L7" s="14">
        <v>0.14282890845750415</v>
      </c>
    </row>
    <row r="8" spans="1:12" x14ac:dyDescent="0.3">
      <c r="A8" s="11">
        <v>4573.4705171223113</v>
      </c>
      <c r="B8" s="12">
        <v>0.82409689177073275</v>
      </c>
      <c r="C8" s="12">
        <v>1.8035454449170307</v>
      </c>
      <c r="D8" s="14">
        <f t="shared" si="2"/>
        <v>9.1825186560237096E-2</v>
      </c>
      <c r="E8" s="14"/>
      <c r="H8" s="17">
        <f t="shared" si="0"/>
        <v>5250.338287643789</v>
      </c>
      <c r="I8" s="18">
        <f t="shared" si="1"/>
        <v>8.1683234716858011E-2</v>
      </c>
      <c r="L8" s="14">
        <v>0.10202798506693012</v>
      </c>
    </row>
    <row r="9" spans="1:12" x14ac:dyDescent="0.3">
      <c r="A9" s="11">
        <v>6097.9606894964154</v>
      </c>
      <c r="B9" s="12">
        <v>0.90578012648759076</v>
      </c>
      <c r="C9" s="12">
        <v>1.7789001877421611</v>
      </c>
      <c r="D9" s="14">
        <f t="shared" si="2"/>
        <v>7.1245467577367397E-2</v>
      </c>
      <c r="E9" s="14"/>
      <c r="H9" s="17">
        <f t="shared" si="0"/>
        <v>6858.6051331340477</v>
      </c>
      <c r="I9" s="18">
        <f t="shared" si="1"/>
        <v>3.8529983935987389E-2</v>
      </c>
      <c r="L9" s="14">
        <v>7.9161630641519334E-2</v>
      </c>
    </row>
    <row r="10" spans="1:12" x14ac:dyDescent="0.3">
      <c r="A10" s="17">
        <v>7622.4508618705195</v>
      </c>
      <c r="B10" s="12">
        <v>0.94431011042357815</v>
      </c>
      <c r="C10" s="12">
        <v>1.7851948834880182</v>
      </c>
      <c r="D10" s="14">
        <f t="shared" si="2"/>
        <v>6.834096656913366E-2</v>
      </c>
      <c r="E10" s="14"/>
      <c r="H10" s="17">
        <f t="shared" si="0"/>
        <v>8866.8667318217904</v>
      </c>
      <c r="I10" s="18">
        <f t="shared" si="1"/>
        <v>3.0011536639124148E-2</v>
      </c>
      <c r="L10" s="14">
        <v>7.5934407299037401E-2</v>
      </c>
    </row>
    <row r="11" spans="1:12" x14ac:dyDescent="0.3">
      <c r="A11" s="17">
        <v>10671.431206618727</v>
      </c>
      <c r="B11" s="12">
        <v>0.9743216470627023</v>
      </c>
      <c r="C11" s="12">
        <v>1.794345894998564</v>
      </c>
      <c r="D11" s="14">
        <f t="shared" si="2"/>
        <v>6.8749698402740908E-2</v>
      </c>
      <c r="E11" s="14"/>
      <c r="H11" s="17">
        <f t="shared" si="0"/>
        <v>12529.669204968181</v>
      </c>
      <c r="I11" s="18">
        <f t="shared" si="1"/>
        <v>1.402691445852422E-2</v>
      </c>
      <c r="L11" s="14">
        <v>7.6388553780823237E-2</v>
      </c>
    </row>
    <row r="12" spans="1:12" x14ac:dyDescent="0.3">
      <c r="A12" s="17">
        <v>15244.901723741039</v>
      </c>
      <c r="B12" s="12">
        <v>0.98834856152122652</v>
      </c>
      <c r="C12" s="12">
        <v>1.7787055533824161</v>
      </c>
      <c r="D12" s="14">
        <f t="shared" si="2"/>
        <v>6.7673726399339884E-2</v>
      </c>
      <c r="E12" s="14"/>
      <c r="H12" s="17">
        <f t="shared" si="0"/>
        <v>20237.784499596819</v>
      </c>
      <c r="I12" s="18">
        <f t="shared" si="1"/>
        <v>9.1872916601447585E-3</v>
      </c>
      <c r="L12" s="14">
        <v>7.5193029332599859E-2</v>
      </c>
    </row>
    <row r="13" spans="1:12" x14ac:dyDescent="0.3">
      <c r="A13" s="17">
        <v>30489.803447482078</v>
      </c>
      <c r="B13" s="12">
        <v>0.99753585318137128</v>
      </c>
      <c r="C13" s="12">
        <v>1.7304654165216913</v>
      </c>
      <c r="D13" s="14">
        <f t="shared" si="2"/>
        <v>7.1070862576409335E-2</v>
      </c>
      <c r="E13" s="14"/>
      <c r="H13" s="17">
        <f t="shared" si="0"/>
        <v>40126.382975712339</v>
      </c>
      <c r="I13" s="18">
        <f t="shared" si="1"/>
        <v>1.9931760576268331E-3</v>
      </c>
      <c r="L13" s="14">
        <v>7.8967625084899254E-2</v>
      </c>
    </row>
    <row r="14" spans="1:12" x14ac:dyDescent="0.3">
      <c r="A14" s="17">
        <v>60979.606894964156</v>
      </c>
      <c r="B14" s="12">
        <v>0.99952902923899811</v>
      </c>
      <c r="C14" s="12">
        <v>1.7421287247293284</v>
      </c>
      <c r="D14" s="14">
        <f t="shared" si="2"/>
        <v>9.5286001724633515E-2</v>
      </c>
      <c r="E14" s="14"/>
      <c r="H14" s="17">
        <f>C14*A14</f>
        <v>106234.32479441966</v>
      </c>
      <c r="I14" s="18">
        <f>1-B14</f>
        <v>4.7097076100188762E-4</v>
      </c>
      <c r="L14" s="14">
        <v>0.10587333524959279</v>
      </c>
    </row>
    <row r="15" spans="1:12" x14ac:dyDescent="0.3"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1975</v>
      </c>
      <c r="C1" s="8" t="s">
        <v>24</v>
      </c>
      <c r="D1" s="10">
        <f>1000*[1]TD1!$C$82</f>
        <v>22363834.967221908</v>
      </c>
      <c r="E1" s="8" t="s">
        <v>30</v>
      </c>
      <c r="F1" s="21">
        <f>(SUMPRODUCT(D4:D14,H4:H14,I4:I14)/(D2*B2))/((1-SUMPRODUCT(D4:D14,H4:H14,I4:I14)/B2)/(1-D2))</f>
        <v>0.49455667857845592</v>
      </c>
      <c r="G1" s="19"/>
      <c r="H1" s="16"/>
    </row>
    <row r="2" spans="1:12" x14ac:dyDescent="0.3">
      <c r="A2" s="8" t="s">
        <v>12</v>
      </c>
      <c r="B2" s="11">
        <f>[1]TD2!$M$82</f>
        <v>3479.7433963922513</v>
      </c>
      <c r="C2" s="8" t="s">
        <v>15</v>
      </c>
      <c r="D2" s="14">
        <f>[1]TD1!$F$82</f>
        <v>0.33293537648702265</v>
      </c>
      <c r="E2" s="18" t="s">
        <v>26</v>
      </c>
      <c r="I2" s="8"/>
      <c r="L2" s="13">
        <f>D2/0.9</f>
        <v>0.36992819609669181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0.48584014701487316</v>
      </c>
      <c r="E4" s="14"/>
      <c r="H4" s="17">
        <f>((1-B4)*B2-(1-B5)*C5*A5)/(B5-B4)</f>
        <v>1101.2282752045514</v>
      </c>
      <c r="I4" s="18">
        <f>B5-B4</f>
        <v>0.45349792482760598</v>
      </c>
    </row>
    <row r="5" spans="1:12" x14ac:dyDescent="0.3">
      <c r="A5" s="11">
        <v>2286.7352585611557</v>
      </c>
      <c r="B5" s="12">
        <v>0.45349792482760598</v>
      </c>
      <c r="C5" s="8">
        <v>2.3848326712031906</v>
      </c>
      <c r="D5" s="14">
        <f>L5*D$2/L$2</f>
        <v>0.37327484426862367</v>
      </c>
      <c r="E5" s="14"/>
      <c r="H5" s="17">
        <f t="shared" ref="H5:H13" si="0">((1-B5)*C5*A5-(1-B6)*C6*A6)/(B6-B5)</f>
        <v>2663.2892320713277</v>
      </c>
      <c r="I5" s="18">
        <f t="shared" ref="I5:I13" si="1">B6-B5</f>
        <v>0.13920914049703093</v>
      </c>
      <c r="L5" s="14">
        <v>0.4147498269651374</v>
      </c>
    </row>
    <row r="6" spans="1:12" x14ac:dyDescent="0.3">
      <c r="A6" s="11">
        <v>3048.9803447482077</v>
      </c>
      <c r="B6" s="12">
        <v>0.59270706532463691</v>
      </c>
      <c r="C6" s="8">
        <v>2.1014054552818084</v>
      </c>
      <c r="D6" s="14">
        <f>L6*D$2/L$2</f>
        <v>0.26636504296971691</v>
      </c>
      <c r="E6" s="14"/>
      <c r="H6" s="17">
        <f t="shared" si="0"/>
        <v>3419.4164596035785</v>
      </c>
      <c r="I6" s="18">
        <f t="shared" si="1"/>
        <v>0.10027124878734073</v>
      </c>
      <c r="L6" s="14">
        <v>0.29596115885524099</v>
      </c>
    </row>
    <row r="7" spans="1:12" x14ac:dyDescent="0.3">
      <c r="A7" s="11">
        <v>3811.2254309352597</v>
      </c>
      <c r="B7" s="12">
        <v>0.69297831411197763</v>
      </c>
      <c r="C7" s="12">
        <v>1.9371501537133051</v>
      </c>
      <c r="D7" s="14">
        <f t="shared" ref="D7:D14" si="2">L7*D$2/L$2</f>
        <v>0.17407734741417241</v>
      </c>
      <c r="E7" s="14"/>
      <c r="H7" s="17">
        <f t="shared" si="0"/>
        <v>4193.3894955189198</v>
      </c>
      <c r="I7" s="18">
        <f t="shared" si="1"/>
        <v>7.203306699174683E-2</v>
      </c>
      <c r="L7" s="14">
        <v>0.19341927490463598</v>
      </c>
    </row>
    <row r="8" spans="1:12" x14ac:dyDescent="0.3">
      <c r="A8" s="11">
        <v>4573.4705171223113</v>
      </c>
      <c r="B8" s="12">
        <v>0.76501138110372446</v>
      </c>
      <c r="C8" s="12">
        <v>1.8280709711877239</v>
      </c>
      <c r="D8" s="14">
        <f t="shared" si="2"/>
        <v>0.11515565135898094</v>
      </c>
      <c r="E8" s="14"/>
      <c r="H8" s="17">
        <f t="shared" si="0"/>
        <v>5269.1278325879366</v>
      </c>
      <c r="I8" s="18">
        <f t="shared" si="1"/>
        <v>0.10213425807870058</v>
      </c>
      <c r="L8" s="14">
        <v>0.12795072373220104</v>
      </c>
    </row>
    <row r="9" spans="1:12" x14ac:dyDescent="0.3">
      <c r="A9" s="11">
        <v>6097.9606894964154</v>
      </c>
      <c r="B9" s="12">
        <v>0.86714563918242504</v>
      </c>
      <c r="C9" s="12">
        <v>1.7607980692887191</v>
      </c>
      <c r="D9" s="14">
        <f t="shared" si="2"/>
        <v>7.927143227423844E-2</v>
      </c>
      <c r="E9" s="14"/>
      <c r="H9" s="17">
        <f t="shared" si="0"/>
        <v>6788.4338658112538</v>
      </c>
      <c r="I9" s="18">
        <f t="shared" si="1"/>
        <v>5.3651844675057014E-2</v>
      </c>
      <c r="L9" s="14">
        <v>8.8079369193598253E-2</v>
      </c>
    </row>
    <row r="10" spans="1:12" x14ac:dyDescent="0.3">
      <c r="A10" s="17">
        <v>7622.4508618705195</v>
      </c>
      <c r="B10" s="12">
        <v>0.92079748385748206</v>
      </c>
      <c r="C10" s="12">
        <v>1.759568840923359</v>
      </c>
      <c r="D10" s="14">
        <f t="shared" si="2"/>
        <v>6.8035817080987521E-2</v>
      </c>
      <c r="E10" s="14"/>
      <c r="H10" s="17">
        <f t="shared" si="0"/>
        <v>8864.2100947839699</v>
      </c>
      <c r="I10" s="18">
        <f t="shared" si="1"/>
        <v>4.3809838582515193E-2</v>
      </c>
      <c r="L10" s="14">
        <v>7.5595352312208347E-2</v>
      </c>
    </row>
    <row r="11" spans="1:12" x14ac:dyDescent="0.3">
      <c r="A11" s="17">
        <v>10671.431206618727</v>
      </c>
      <c r="B11" s="12">
        <v>0.96460732243999725</v>
      </c>
      <c r="C11" s="12">
        <v>1.7843776102712119</v>
      </c>
      <c r="D11" s="14">
        <f t="shared" si="2"/>
        <v>6.791252684519386E-2</v>
      </c>
      <c r="E11" s="14"/>
      <c r="H11" s="17">
        <f t="shared" si="0"/>
        <v>12511.257694223186</v>
      </c>
      <c r="I11" s="18">
        <f t="shared" si="1"/>
        <v>1.9613183545795332E-2</v>
      </c>
      <c r="L11" s="14">
        <v>7.5458363161326508E-2</v>
      </c>
    </row>
    <row r="12" spans="1:12" x14ac:dyDescent="0.3">
      <c r="A12" s="17">
        <v>15244.901723741039</v>
      </c>
      <c r="B12" s="12">
        <v>0.98422050598579258</v>
      </c>
      <c r="C12" s="12">
        <v>1.7815204454645923</v>
      </c>
      <c r="D12" s="14">
        <f t="shared" si="2"/>
        <v>6.6841146527082784E-2</v>
      </c>
      <c r="E12" s="14"/>
      <c r="H12" s="17">
        <f t="shared" si="0"/>
        <v>20239.331692618616</v>
      </c>
      <c r="I12" s="18">
        <f t="shared" si="1"/>
        <v>1.2420857174412769E-2</v>
      </c>
      <c r="L12" s="14">
        <v>7.4267940585647535E-2</v>
      </c>
    </row>
    <row r="13" spans="1:12" x14ac:dyDescent="0.3">
      <c r="A13" s="17">
        <v>30489.803447482078</v>
      </c>
      <c r="B13" s="12">
        <v>0.99664136316020535</v>
      </c>
      <c r="C13" s="12">
        <v>1.7300766189157524</v>
      </c>
      <c r="D13" s="14">
        <f t="shared" si="2"/>
        <v>6.7972214011232629E-2</v>
      </c>
      <c r="E13" s="14"/>
      <c r="H13" s="17">
        <f t="shared" si="0"/>
        <v>40127.866448725494</v>
      </c>
      <c r="I13" s="18">
        <f t="shared" si="1"/>
        <v>2.7228782581005806E-3</v>
      </c>
      <c r="L13" s="14">
        <v>7.552468223470292E-2</v>
      </c>
    </row>
    <row r="14" spans="1:12" x14ac:dyDescent="0.3">
      <c r="A14" s="17">
        <v>60979.606894964156</v>
      </c>
      <c r="B14" s="12">
        <v>0.99936424141830593</v>
      </c>
      <c r="C14" s="12">
        <v>1.7515279926853284</v>
      </c>
      <c r="D14" s="14">
        <f t="shared" si="2"/>
        <v>8.5265156843437911E-2</v>
      </c>
      <c r="E14" s="14"/>
      <c r="H14" s="17">
        <f>C14*A14</f>
        <v>106807.48845947698</v>
      </c>
      <c r="I14" s="18">
        <f>1-B14</f>
        <v>6.3575858169406807E-4</v>
      </c>
      <c r="L14" s="14">
        <v>9.4739063159375442E-2</v>
      </c>
    </row>
    <row r="15" spans="1:12" x14ac:dyDescent="0.3"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L2" sqref="L2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1976</v>
      </c>
      <c r="C1" s="8" t="s">
        <v>24</v>
      </c>
      <c r="D1" s="10">
        <f>1000*[1]TD1!$C$83</f>
        <v>22497021.160280854</v>
      </c>
      <c r="E1" s="8" t="s">
        <v>30</v>
      </c>
      <c r="F1" s="21">
        <f>(SUMPRODUCT(D4:D14,H4:H14,I4:I14)/(D2*B2))/((1-SUMPRODUCT(D4:D14,H4:H14,I4:I14)/B2)/(1-D2))</f>
        <v>0.50505222621538604</v>
      </c>
      <c r="G1" s="19"/>
      <c r="H1" s="16"/>
    </row>
    <row r="2" spans="1:12" x14ac:dyDescent="0.3">
      <c r="A2" s="8" t="s">
        <v>12</v>
      </c>
      <c r="B2" s="11">
        <f>[1]TD2!$M$83</f>
        <v>3993.3369675444142</v>
      </c>
      <c r="C2" s="8" t="s">
        <v>15</v>
      </c>
      <c r="D2" s="14">
        <f>[1]TD1!$F$83</f>
        <v>0.32906586088318024</v>
      </c>
      <c r="E2" s="18" t="s">
        <v>26</v>
      </c>
      <c r="I2" s="8"/>
      <c r="L2" s="13">
        <f>D2/0.9</f>
        <v>0.36562873431464471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0.47138604623112007</v>
      </c>
      <c r="E4" s="14"/>
      <c r="H4" s="17">
        <f>((1-B4)*B2-(1-B5)*C5*A5)/(B5-B4)</f>
        <v>1115.6390295710851</v>
      </c>
      <c r="I4" s="18">
        <f>B5-B4</f>
        <v>0.3981539641702575</v>
      </c>
    </row>
    <row r="5" spans="1:12" x14ac:dyDescent="0.3">
      <c r="A5" s="11">
        <v>2286.7352585611557</v>
      </c>
      <c r="B5" s="12">
        <v>0.3981539641702575</v>
      </c>
      <c r="C5" s="8">
        <v>2.5788254315404022</v>
      </c>
      <c r="D5" s="14">
        <f>L5*D$2/L$2</f>
        <v>0.4541983863021507</v>
      </c>
      <c r="E5" s="14"/>
      <c r="H5" s="17">
        <f t="shared" ref="H5:H13" si="0">((1-B5)*C5*A5-(1-B6)*C6*A6)/(B6-B5)</f>
        <v>2689.0209161449939</v>
      </c>
      <c r="I5" s="18">
        <f t="shared" ref="I5:I13" si="1">B6-B5</f>
        <v>0.12494979126129147</v>
      </c>
      <c r="L5" s="14">
        <v>0.50466487366905632</v>
      </c>
    </row>
    <row r="6" spans="1:12" x14ac:dyDescent="0.3">
      <c r="A6" s="11">
        <v>3048.9803447482077</v>
      </c>
      <c r="B6" s="12">
        <v>0.52310375543154897</v>
      </c>
      <c r="C6" s="8">
        <v>2.2097962809187184</v>
      </c>
      <c r="D6" s="14">
        <f>L6*D$2/L$2</f>
        <v>0.33556857314857697</v>
      </c>
      <c r="E6" s="14"/>
      <c r="H6" s="17">
        <f t="shared" si="0"/>
        <v>3422.8994920835821</v>
      </c>
      <c r="I6" s="18">
        <f t="shared" si="1"/>
        <v>0.10643049210632305</v>
      </c>
      <c r="L6" s="14">
        <v>0.37285397016508554</v>
      </c>
    </row>
    <row r="7" spans="1:12" x14ac:dyDescent="0.3">
      <c r="A7" s="11">
        <v>3811.2254309352597</v>
      </c>
      <c r="B7" s="12">
        <v>0.62953424753787202</v>
      </c>
      <c r="C7" s="12">
        <v>2.0176994739453531</v>
      </c>
      <c r="D7" s="14">
        <f t="shared" ref="D7:D14" si="2">L7*D$2/L$2</f>
        <v>0.23664467232145214</v>
      </c>
      <c r="E7" s="14"/>
      <c r="H7" s="17">
        <f t="shared" si="0"/>
        <v>4173.9430719720822</v>
      </c>
      <c r="I7" s="18">
        <f t="shared" si="1"/>
        <v>7.8570379096176923E-2</v>
      </c>
      <c r="L7" s="14">
        <v>0.2629385248016135</v>
      </c>
    </row>
    <row r="8" spans="1:12" x14ac:dyDescent="0.3">
      <c r="A8" s="11">
        <v>4573.4705171223113</v>
      </c>
      <c r="B8" s="12">
        <v>0.70810462663404894</v>
      </c>
      <c r="C8" s="12">
        <v>1.88834945600117</v>
      </c>
      <c r="D8" s="14">
        <f t="shared" si="2"/>
        <v>0.14199506689981484</v>
      </c>
      <c r="E8" s="14"/>
      <c r="H8" s="17">
        <f t="shared" si="0"/>
        <v>5298.0715579197713</v>
      </c>
      <c r="I8" s="18">
        <f t="shared" si="1"/>
        <v>0.11531673749277771</v>
      </c>
      <c r="L8" s="14">
        <v>0.15777229655534983</v>
      </c>
    </row>
    <row r="9" spans="1:12" x14ac:dyDescent="0.3">
      <c r="A9" s="11">
        <v>6097.9606894964154</v>
      </c>
      <c r="B9" s="12">
        <v>0.82342136412682665</v>
      </c>
      <c r="C9" s="12">
        <v>1.7737711061255019</v>
      </c>
      <c r="D9" s="14">
        <f t="shared" si="2"/>
        <v>9.3762717564198128E-2</v>
      </c>
      <c r="E9" s="14"/>
      <c r="H9" s="17">
        <f t="shared" si="0"/>
        <v>6794.7022897682264</v>
      </c>
      <c r="I9" s="18">
        <f t="shared" si="1"/>
        <v>6.8448631341958777E-2</v>
      </c>
      <c r="L9" s="14">
        <v>0.10418079729355348</v>
      </c>
    </row>
    <row r="10" spans="1:12" x14ac:dyDescent="0.3">
      <c r="A10" s="17">
        <v>7622.4508618705195</v>
      </c>
      <c r="B10" s="12">
        <v>0.89186999546878543</v>
      </c>
      <c r="C10" s="12">
        <v>1.753005665124971</v>
      </c>
      <c r="D10" s="14">
        <f t="shared" si="2"/>
        <v>7.1302864984046407E-2</v>
      </c>
      <c r="E10" s="14"/>
      <c r="H10" s="17">
        <f t="shared" si="0"/>
        <v>8879.3187408336835</v>
      </c>
      <c r="I10" s="18">
        <f t="shared" si="1"/>
        <v>6.0057151138988019E-2</v>
      </c>
      <c r="L10" s="14">
        <v>7.9225405537829349E-2</v>
      </c>
    </row>
    <row r="11" spans="1:12" x14ac:dyDescent="0.3">
      <c r="A11" s="17">
        <v>10671.431206618727</v>
      </c>
      <c r="B11" s="12">
        <v>0.95192714660777344</v>
      </c>
      <c r="C11" s="12">
        <v>1.7769535770028606</v>
      </c>
      <c r="D11" s="14">
        <f t="shared" si="2"/>
        <v>6.7475121317413594E-2</v>
      </c>
      <c r="E11" s="14"/>
      <c r="H11" s="17">
        <f t="shared" si="0"/>
        <v>12496.340664930694</v>
      </c>
      <c r="I11" s="18">
        <f t="shared" si="1"/>
        <v>2.7095053858783413E-2</v>
      </c>
      <c r="L11" s="14">
        <v>7.4972357019348443E-2</v>
      </c>
    </row>
    <row r="12" spans="1:12" x14ac:dyDescent="0.3">
      <c r="A12" s="17">
        <v>15244.901723741039</v>
      </c>
      <c r="B12" s="12">
        <v>0.97902220046655686</v>
      </c>
      <c r="C12" s="12">
        <v>1.7917168144968194</v>
      </c>
      <c r="D12" s="14">
        <f t="shared" si="2"/>
        <v>6.6987410728037683E-2</v>
      </c>
      <c r="E12" s="14"/>
      <c r="H12" s="17">
        <f t="shared" si="0"/>
        <v>20211.415258442656</v>
      </c>
      <c r="I12" s="18">
        <f t="shared" si="1"/>
        <v>1.6450044535379682E-2</v>
      </c>
      <c r="L12" s="14">
        <v>7.4430456364486308E-2</v>
      </c>
    </row>
    <row r="13" spans="1:12" x14ac:dyDescent="0.3">
      <c r="A13" s="17">
        <v>30489.803447482078</v>
      </c>
      <c r="B13" s="12">
        <v>0.99547224500193654</v>
      </c>
      <c r="C13" s="12">
        <v>1.7422656855911487</v>
      </c>
      <c r="D13" s="14">
        <f t="shared" si="2"/>
        <v>6.7469013174732778E-2</v>
      </c>
      <c r="E13" s="14"/>
      <c r="H13" s="17">
        <f t="shared" si="0"/>
        <v>40161.474850012164</v>
      </c>
      <c r="I13" s="18">
        <f t="shared" si="1"/>
        <v>3.6471939736121284E-3</v>
      </c>
      <c r="L13" s="14">
        <v>7.4965570194147541E-2</v>
      </c>
    </row>
    <row r="14" spans="1:12" x14ac:dyDescent="0.3">
      <c r="A14" s="17">
        <v>60979.606894964156</v>
      </c>
      <c r="B14" s="12">
        <v>0.99911943897554867</v>
      </c>
      <c r="C14" s="12">
        <v>1.7514014386673398</v>
      </c>
      <c r="D14" s="14">
        <f t="shared" si="2"/>
        <v>8.041393235739526E-2</v>
      </c>
      <c r="E14" s="14"/>
      <c r="H14" s="17">
        <f>C14*A14</f>
        <v>106799.77124520905</v>
      </c>
      <c r="I14" s="18">
        <f>1-B14</f>
        <v>8.8056102445133178E-4</v>
      </c>
      <c r="L14" s="14">
        <v>8.9348813730439167E-2</v>
      </c>
    </row>
    <row r="15" spans="1:12" x14ac:dyDescent="0.3"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1977</v>
      </c>
      <c r="C1" s="8" t="s">
        <v>24</v>
      </c>
      <c r="D1" s="10">
        <f>1000*[1]TD1!$C$84</f>
        <v>22709251.751053449</v>
      </c>
      <c r="E1" s="8" t="s">
        <v>30</v>
      </c>
      <c r="F1" s="21">
        <f>(SUMPRODUCT(D4:D14,H4:H14,I4:I14)/(D2*B2))/((1-SUMPRODUCT(D4:D14,H4:H14,I4:I14)/B2)/(1-D2))</f>
        <v>0.532192432767984</v>
      </c>
      <c r="G1" s="19"/>
      <c r="H1" s="16"/>
    </row>
    <row r="2" spans="1:12" x14ac:dyDescent="0.3">
      <c r="A2" s="8" t="s">
        <v>12</v>
      </c>
      <c r="B2" s="11">
        <f>[1]TD2!$M$84</f>
        <v>4528.0969370409957</v>
      </c>
      <c r="C2" s="8" t="s">
        <v>15</v>
      </c>
      <c r="D2" s="14">
        <f>[1]TD1!$F$84</f>
        <v>0.32879812853686907</v>
      </c>
      <c r="E2" s="18" t="s">
        <v>26</v>
      </c>
      <c r="I2" s="8"/>
      <c r="L2" s="13">
        <f>D2/0.85</f>
        <v>0.3868213276904342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0.45674734084319291</v>
      </c>
      <c r="E4" s="14"/>
      <c r="H4" s="17">
        <f>((1-B4)*B2-(1-B5)*C5*A5)/(B5-B4)</f>
        <v>1622.1017074010672</v>
      </c>
      <c r="I4" s="18">
        <f>B5-B4</f>
        <v>0.38797392312602841</v>
      </c>
    </row>
    <row r="5" spans="1:12" x14ac:dyDescent="0.3">
      <c r="A5" s="11">
        <v>2286.7352585611557</v>
      </c>
      <c r="B5" s="12">
        <v>0.38797392312602841</v>
      </c>
      <c r="C5" s="8">
        <v>2.7857433808549703</v>
      </c>
      <c r="D5" s="14">
        <f>L5*D$2/L$2</f>
        <v>0.54485690497055883</v>
      </c>
      <c r="E5" s="14"/>
      <c r="H5" s="17">
        <f t="shared" ref="H5:H6" si="0">((1-B5)*C5*A5-(1-B6)*C6*A6)/(B6-B5)</f>
        <v>2713.4266803513146</v>
      </c>
      <c r="I5" s="18">
        <f t="shared" ref="I5:I6" si="1">B6-B5</f>
        <v>9.4845473693263904E-2</v>
      </c>
      <c r="L5" s="14">
        <v>0.64100812349477509</v>
      </c>
    </row>
    <row r="6" spans="1:12" x14ac:dyDescent="0.3">
      <c r="A6" s="11">
        <v>3048.9803447482077</v>
      </c>
      <c r="B6" s="12">
        <v>0.48281939681929231</v>
      </c>
      <c r="C6" s="8">
        <v>2.3092578760680356</v>
      </c>
      <c r="D6" s="14">
        <f>L6*D$2/L$2</f>
        <v>0.38907167979409346</v>
      </c>
      <c r="E6" s="14"/>
      <c r="H6" s="17">
        <f t="shared" si="0"/>
        <v>3421.8736056763655</v>
      </c>
      <c r="I6" s="18">
        <f t="shared" si="1"/>
        <v>0.10453693692292265</v>
      </c>
      <c r="L6" s="14">
        <v>0.45773138799305108</v>
      </c>
    </row>
    <row r="7" spans="1:12" x14ac:dyDescent="0.3">
      <c r="A7" s="11">
        <v>3811.2254309352597</v>
      </c>
      <c r="B7" s="12">
        <v>0.58735633374221496</v>
      </c>
      <c r="C7" s="12">
        <v>2.0879641460217289</v>
      </c>
      <c r="D7" s="14">
        <f t="shared" ref="D7:D14" si="2">L7*D$2/L$2</f>
        <v>0.2853510735463855</v>
      </c>
      <c r="E7" s="14"/>
      <c r="H7" s="17">
        <f t="shared" ref="H7:H8" si="3">((1-B7)*C7*A7-(1-B8)*C8*A8)/(B8-B7)</f>
        <v>4192.1066657751871</v>
      </c>
      <c r="I7" s="18">
        <f t="shared" ref="I7:I8" si="4">B8-B7</f>
        <v>8.060067669416271E-2</v>
      </c>
      <c r="L7" s="14">
        <v>0.33570714534868884</v>
      </c>
    </row>
    <row r="8" spans="1:12" x14ac:dyDescent="0.3">
      <c r="A8" s="11">
        <v>4573.4705171223113</v>
      </c>
      <c r="B8" s="12">
        <v>0.66795701043637767</v>
      </c>
      <c r="C8" s="12">
        <v>1.939833002056395</v>
      </c>
      <c r="D8" s="14">
        <f t="shared" si="2"/>
        <v>0.16729666101567731</v>
      </c>
      <c r="E8" s="14"/>
      <c r="H8" s="17">
        <f t="shared" si="3"/>
        <v>5316.6598082835053</v>
      </c>
      <c r="I8" s="18">
        <f t="shared" si="4"/>
        <v>0.11675608089334588</v>
      </c>
      <c r="L8" s="14">
        <v>0.19681960119491448</v>
      </c>
    </row>
    <row r="9" spans="1:12" x14ac:dyDescent="0.3">
      <c r="A9" s="11">
        <v>6097.9606894964154</v>
      </c>
      <c r="B9" s="12">
        <v>0.78471309132972356</v>
      </c>
      <c r="C9" s="12">
        <v>1.7710517091339857</v>
      </c>
      <c r="D9" s="14">
        <f t="shared" si="2"/>
        <v>9.8855429639978037E-2</v>
      </c>
      <c r="E9" s="14"/>
      <c r="H9" s="17">
        <f t="shared" ref="H9:H13" si="5">((1-B9)*C9*A9-(1-B10)*C10*A10)/(B10-B9)</f>
        <v>6804.6377919683282</v>
      </c>
      <c r="I9" s="18">
        <f t="shared" ref="I9:I13" si="6">B10-B9</f>
        <v>7.9637349020778014E-2</v>
      </c>
      <c r="L9" s="14">
        <v>0.11630050545879769</v>
      </c>
    </row>
    <row r="10" spans="1:12" x14ac:dyDescent="0.3">
      <c r="A10" s="17">
        <v>7622.4508618705195</v>
      </c>
      <c r="B10" s="12">
        <v>0.86435044035050157</v>
      </c>
      <c r="C10" s="12">
        <v>1.7245492290212627</v>
      </c>
      <c r="D10" s="14">
        <f t="shared" si="2"/>
        <v>6.8574852988333448E-2</v>
      </c>
      <c r="E10" s="14"/>
      <c r="H10" s="17">
        <f t="shared" si="5"/>
        <v>8898.08501648743</v>
      </c>
      <c r="I10" s="18">
        <f t="shared" si="6"/>
        <v>7.5115508811111398E-2</v>
      </c>
      <c r="L10" s="14">
        <v>8.0676297633333477E-2</v>
      </c>
    </row>
    <row r="11" spans="1:12" x14ac:dyDescent="0.3">
      <c r="A11" s="17">
        <v>10671.431206618727</v>
      </c>
      <c r="B11" s="12">
        <v>0.93946594916161297</v>
      </c>
      <c r="C11" s="12">
        <v>1.7256885613420903</v>
      </c>
      <c r="D11" s="14">
        <f t="shared" si="2"/>
        <v>6.0112490962446301E-2</v>
      </c>
      <c r="E11" s="14"/>
      <c r="H11" s="17">
        <f t="shared" si="5"/>
        <v>12486.893391528849</v>
      </c>
      <c r="I11" s="18">
        <f t="shared" si="6"/>
        <v>3.5203361553421297E-2</v>
      </c>
      <c r="L11" s="14">
        <v>7.0720577602878004E-2</v>
      </c>
    </row>
    <row r="12" spans="1:12" x14ac:dyDescent="0.3">
      <c r="A12" s="17">
        <v>15244.901723741039</v>
      </c>
      <c r="B12" s="12">
        <v>0.97466931071503426</v>
      </c>
      <c r="C12" s="12">
        <v>1.7484500409393628</v>
      </c>
      <c r="D12" s="14">
        <f t="shared" si="2"/>
        <v>6.0875370694573695E-2</v>
      </c>
      <c r="E12" s="14"/>
      <c r="H12" s="17">
        <f t="shared" si="5"/>
        <v>20077.145881112086</v>
      </c>
      <c r="I12" s="18">
        <f t="shared" si="6"/>
        <v>2.0298290980838463E-2</v>
      </c>
      <c r="L12" s="14">
        <v>7.1618083170086708E-2</v>
      </c>
    </row>
    <row r="13" spans="1:12" x14ac:dyDescent="0.3">
      <c r="A13" s="17">
        <v>30489.803447482078</v>
      </c>
      <c r="B13" s="12">
        <v>0.99496760169587273</v>
      </c>
      <c r="C13" s="12">
        <v>1.7444082620185155</v>
      </c>
      <c r="D13" s="14">
        <f t="shared" si="2"/>
        <v>6.3519297029059313E-2</v>
      </c>
      <c r="E13" s="14"/>
      <c r="H13" s="17">
        <f t="shared" si="5"/>
        <v>40102.041531488278</v>
      </c>
      <c r="I13" s="18">
        <f t="shared" si="6"/>
        <v>4.0641585646131739E-3</v>
      </c>
      <c r="L13" s="14">
        <v>7.4728584740069784E-2</v>
      </c>
    </row>
    <row r="14" spans="1:12" x14ac:dyDescent="0.3">
      <c r="A14" s="17">
        <v>60979.606894964156</v>
      </c>
      <c r="B14" s="12">
        <v>0.9990317602604859</v>
      </c>
      <c r="C14" s="12">
        <v>1.772871338912134</v>
      </c>
      <c r="D14" s="14">
        <f t="shared" si="2"/>
        <v>7.9015826814626156E-2</v>
      </c>
      <c r="E14" s="14"/>
      <c r="H14" s="17">
        <f>C14*A14</f>
        <v>108108.99732221071</v>
      </c>
      <c r="I14" s="18">
        <f>1-B14</f>
        <v>9.6823973951409847E-4</v>
      </c>
      <c r="L14" s="14">
        <v>9.2959796252501364E-2</v>
      </c>
    </row>
    <row r="15" spans="1:12" x14ac:dyDescent="0.3"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I16" sqref="I16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1978</v>
      </c>
      <c r="C1" s="8" t="s">
        <v>24</v>
      </c>
      <c r="D1" s="10">
        <f>1000*[1]TD1!$C$85</f>
        <v>22938934.427011114</v>
      </c>
      <c r="E1" s="8" t="s">
        <v>30</v>
      </c>
      <c r="F1" s="21">
        <f>(SUMPRODUCT(D4:D14,H4:H14,I4:I14)/(D2*B2))/((1-SUMPRODUCT(D4:D14,H4:H14,I4:I14)/B2)/(1-D2))</f>
        <v>0.54600855233837509</v>
      </c>
      <c r="G1" s="19"/>
      <c r="H1" s="16"/>
    </row>
    <row r="2" spans="1:12" x14ac:dyDescent="0.3">
      <c r="A2" s="8" t="s">
        <v>12</v>
      </c>
      <c r="B2" s="11">
        <f>[1]TD2!$M$85</f>
        <v>5134.8448563177681</v>
      </c>
      <c r="C2" s="8" t="s">
        <v>15</v>
      </c>
      <c r="D2" s="14">
        <f>[1]TD1!$F$85</f>
        <v>0.32900943680216566</v>
      </c>
      <c r="E2" s="18" t="s">
        <v>26</v>
      </c>
      <c r="I2" s="8"/>
      <c r="L2" s="13">
        <f>D2/0.85</f>
        <v>0.38706992564960668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0.45544016253683556</v>
      </c>
      <c r="E4" s="14"/>
      <c r="F4" s="8"/>
      <c r="G4" s="8"/>
      <c r="H4" s="17">
        <f>((1-B4)*B2-(1-B5)*C5*A5)/(B5-B4)</f>
        <v>2549.3565493676037</v>
      </c>
      <c r="I4" s="18">
        <f>B5-B4</f>
        <v>0.61222317109561208</v>
      </c>
    </row>
    <row r="5" spans="1:12" x14ac:dyDescent="0.3">
      <c r="A5" s="11">
        <v>4573.4705171223113</v>
      </c>
      <c r="B5" s="12">
        <v>0.61222317109561208</v>
      </c>
      <c r="C5" s="12">
        <v>2.0152794657482866</v>
      </c>
      <c r="D5" s="14">
        <f t="shared" ref="D5:D14" si="0">L5*D$2/L$2</f>
        <v>0.25015881254121153</v>
      </c>
      <c r="E5" s="14"/>
      <c r="H5" s="17">
        <f t="shared" ref="H5:H8" si="1">((1-B5)*C5*A5-(1-B6)*C6*A6)/(B6-B5)</f>
        <v>4923.2861114509142</v>
      </c>
      <c r="I5" s="18">
        <f t="shared" ref="I5:I8" si="2">B6-B5</f>
        <v>6.8675433430213095E-2</v>
      </c>
      <c r="L5" s="14">
        <v>0.29430448534260178</v>
      </c>
    </row>
    <row r="6" spans="1:12" x14ac:dyDescent="0.3">
      <c r="A6" s="11">
        <v>5335.7156033093634</v>
      </c>
      <c r="B6" s="12">
        <v>0.68089860452582518</v>
      </c>
      <c r="C6" s="12">
        <v>1.9005613287344489</v>
      </c>
      <c r="D6" s="14">
        <f t="shared" si="0"/>
        <v>0.17630671106443196</v>
      </c>
      <c r="E6" s="14"/>
      <c r="H6" s="17">
        <f t="shared" si="1"/>
        <v>5696.0853618560295</v>
      </c>
      <c r="I6" s="18">
        <f t="shared" si="2"/>
        <v>5.4280529831789437E-2</v>
      </c>
      <c r="L6" s="14">
        <v>0.20741966007580234</v>
      </c>
    </row>
    <row r="7" spans="1:12" x14ac:dyDescent="0.3">
      <c r="A7" s="11">
        <v>6097.9606894964154</v>
      </c>
      <c r="B7" s="12">
        <v>0.73517913435761462</v>
      </c>
      <c r="C7" s="12">
        <v>1.8123931892618341</v>
      </c>
      <c r="D7" s="14">
        <f t="shared" si="0"/>
        <v>0.12267369560737984</v>
      </c>
      <c r="E7" s="14"/>
      <c r="H7" s="17">
        <f t="shared" si="1"/>
        <v>6793.6157822130062</v>
      </c>
      <c r="I7" s="18">
        <f t="shared" si="2"/>
        <v>9.0464161640893881E-2</v>
      </c>
      <c r="L7" s="14">
        <v>0.14432199483221159</v>
      </c>
    </row>
    <row r="8" spans="1:12" x14ac:dyDescent="0.3">
      <c r="A8" s="11">
        <v>7622.4508618705195</v>
      </c>
      <c r="B8" s="12">
        <v>0.8256432959985085</v>
      </c>
      <c r="C8" s="12">
        <v>1.7397677990442233</v>
      </c>
      <c r="D8" s="14">
        <f t="shared" si="0"/>
        <v>8.4196833464820611E-2</v>
      </c>
      <c r="E8" s="14"/>
      <c r="H8" s="17">
        <f t="shared" si="1"/>
        <v>8312.2949127916163</v>
      </c>
      <c r="I8" s="18">
        <f t="shared" si="2"/>
        <v>5.7909926209815055E-2</v>
      </c>
      <c r="L8" s="14">
        <v>9.9055098193906621E-2</v>
      </c>
    </row>
    <row r="9" spans="1:12" x14ac:dyDescent="0.3">
      <c r="A9" s="11">
        <v>9146.9410342446226</v>
      </c>
      <c r="B9" s="12">
        <v>0.88355322220832355</v>
      </c>
      <c r="C9" s="12">
        <v>1.7188776147462539</v>
      </c>
      <c r="D9" s="14">
        <f t="shared" si="0"/>
        <v>6.8080042334369179E-2</v>
      </c>
      <c r="E9" s="14"/>
      <c r="H9" s="17">
        <f t="shared" ref="H9:H13" si="3">((1-B9)*C9*A9-(1-B10)*C10*A10)/(B10-B9)</f>
        <v>9832.1226479619363</v>
      </c>
      <c r="I9" s="18">
        <f t="shared" ref="I9:I13" si="4">B10-B9</f>
        <v>3.6164975432474433E-2</v>
      </c>
      <c r="L9" s="14">
        <v>8.009416745219905E-2</v>
      </c>
    </row>
    <row r="10" spans="1:12" x14ac:dyDescent="0.3">
      <c r="A10" s="17">
        <v>10671.431206618727</v>
      </c>
      <c r="B10" s="12">
        <v>0.91971819764079799</v>
      </c>
      <c r="C10" s="12">
        <v>1.7219742393443596</v>
      </c>
      <c r="D10" s="14">
        <f t="shared" si="0"/>
        <v>6.1896433280199614E-2</v>
      </c>
      <c r="E10" s="14"/>
      <c r="H10" s="17">
        <f t="shared" si="3"/>
        <v>11359.684686788474</v>
      </c>
      <c r="I10" s="18">
        <f t="shared" si="4"/>
        <v>2.2781398223304161E-2</v>
      </c>
      <c r="L10" s="14">
        <v>7.2819333270823086E-2</v>
      </c>
    </row>
    <row r="11" spans="1:12" x14ac:dyDescent="0.3">
      <c r="A11" s="17">
        <v>12195.921378992831</v>
      </c>
      <c r="B11" s="12">
        <v>0.94249959586410215</v>
      </c>
      <c r="C11" s="12">
        <v>1.7346564698975264</v>
      </c>
      <c r="D11" s="14">
        <f t="shared" si="0"/>
        <v>6.0084113439330962E-2</v>
      </c>
      <c r="E11" s="14"/>
      <c r="H11" s="17">
        <f t="shared" si="3"/>
        <v>13498.913132133879</v>
      </c>
      <c r="I11" s="18">
        <f t="shared" si="4"/>
        <v>2.4322707830012225E-2</v>
      </c>
      <c r="L11" s="14">
        <v>7.0687192281565836E-2</v>
      </c>
    </row>
    <row r="12" spans="1:12" x14ac:dyDescent="0.3">
      <c r="A12" s="17">
        <v>15244.901723741039</v>
      </c>
      <c r="B12" s="12">
        <v>0.96682230369411437</v>
      </c>
      <c r="C12" s="12">
        <v>1.7559300635690045</v>
      </c>
      <c r="D12" s="14">
        <f t="shared" si="0"/>
        <v>6.2803221816944921E-2</v>
      </c>
      <c r="E12" s="14"/>
      <c r="H12" s="17">
        <f t="shared" si="3"/>
        <v>20012.720655442394</v>
      </c>
      <c r="I12" s="18">
        <f t="shared" si="4"/>
        <v>2.6401444318480016E-2</v>
      </c>
      <c r="L12" s="14">
        <v>7.3886143314052855E-2</v>
      </c>
    </row>
    <row r="13" spans="1:12" x14ac:dyDescent="0.3">
      <c r="A13" s="17">
        <v>30489.803447482078</v>
      </c>
      <c r="B13" s="12">
        <v>0.99322374801259439</v>
      </c>
      <c r="C13" s="12">
        <v>1.7413210211672341</v>
      </c>
      <c r="D13" s="14">
        <f t="shared" si="0"/>
        <v>6.6176165057853356E-2</v>
      </c>
      <c r="E13" s="14"/>
      <c r="H13" s="17">
        <f t="shared" si="3"/>
        <v>40116.708311957998</v>
      </c>
      <c r="I13" s="18">
        <f t="shared" si="4"/>
        <v>5.4555280411212603E-3</v>
      </c>
      <c r="L13" s="14">
        <v>7.7854311832768655E-2</v>
      </c>
    </row>
    <row r="14" spans="1:12" x14ac:dyDescent="0.3">
      <c r="A14" s="17">
        <v>60979.606894964156</v>
      </c>
      <c r="B14" s="12">
        <v>0.99867927605371565</v>
      </c>
      <c r="C14" s="12">
        <v>1.7496327898072352</v>
      </c>
      <c r="D14" s="14">
        <f t="shared" si="0"/>
        <v>7.7604304198574059E-2</v>
      </c>
      <c r="E14" s="14"/>
      <c r="H14" s="17">
        <f>C14*A14</f>
        <v>106691.91973298465</v>
      </c>
      <c r="I14" s="18">
        <f>1-B14</f>
        <v>1.3207239462843523E-3</v>
      </c>
      <c r="L14" s="14">
        <v>9.1299181410087138E-2</v>
      </c>
    </row>
    <row r="15" spans="1:12" x14ac:dyDescent="0.3"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1979</v>
      </c>
      <c r="C1" s="8" t="s">
        <v>24</v>
      </c>
      <c r="D1" s="10">
        <f>1000*[1]TD1!$C$86</f>
        <v>23186245.392738394</v>
      </c>
      <c r="E1" s="8" t="s">
        <v>30</v>
      </c>
      <c r="F1" s="21">
        <f>(SUMPRODUCT(D4:D10,H4:H10,I4:I10)/(D2*B2))/((1-SUMPRODUCT(D4:D10,H4:H10,I4:I10)/B2)/(1-D2))</f>
        <v>0.56732036172050837</v>
      </c>
      <c r="G1" s="19"/>
      <c r="H1" s="16"/>
    </row>
    <row r="2" spans="1:12" x14ac:dyDescent="0.3">
      <c r="A2" s="8" t="s">
        <v>12</v>
      </c>
      <c r="B2" s="11">
        <f>[1]TD2!$M$86</f>
        <v>5801.8848498433226</v>
      </c>
      <c r="C2" s="8" t="s">
        <v>15</v>
      </c>
      <c r="D2" s="14">
        <f>[1]TD1!$F$86</f>
        <v>0.33191881666877276</v>
      </c>
      <c r="E2" s="18" t="s">
        <v>26</v>
      </c>
      <c r="I2" s="8"/>
      <c r="L2" s="13">
        <f>D2/0.85</f>
        <v>0.39049272549267383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(D2-SUMPRODUCT(D5:D10,I5:I10))/I4</f>
        <v>0.49023213911906788</v>
      </c>
      <c r="E4" s="14"/>
      <c r="F4" s="8"/>
      <c r="G4" s="8"/>
      <c r="H4" s="17">
        <f>((1-B4)*B2-(1-B5)*C5*A5)/(B5-B4)</f>
        <v>2557.5581752942076</v>
      </c>
      <c r="I4" s="18">
        <f>B5-B4</f>
        <v>0.50340072399073343</v>
      </c>
      <c r="L4" s="14"/>
    </row>
    <row r="5" spans="1:12" x14ac:dyDescent="0.3">
      <c r="A5" s="65">
        <f>B2*'1981'!A7/'1981'!B2</f>
        <v>4147.7647455518081</v>
      </c>
      <c r="B5" s="66">
        <f>'1981'!B7</f>
        <v>0.50340072399073343</v>
      </c>
      <c r="C5" s="66">
        <f>'1981'!C7</f>
        <v>2.1916975862751573</v>
      </c>
      <c r="D5" s="67">
        <f t="shared" ref="D5:D10" si="0">L5*D$2/L$2</f>
        <v>0.19965176103595006</v>
      </c>
      <c r="E5" s="14"/>
      <c r="F5" s="53"/>
      <c r="H5" s="17">
        <f>((1-B5)*C5*A5-(1-B6)*C6*A6)/(B6-B5)</f>
        <v>6619.9014335472593</v>
      </c>
      <c r="I5" s="18">
        <f>B6-B5</f>
        <v>0.39328276402452567</v>
      </c>
      <c r="L5" s="16">
        <f>SUMPRODUCT('1981'!D7:D11,'1981'!I7:I11)/SUM('1981'!I7:I11)</f>
        <v>0.23488442474817653</v>
      </c>
    </row>
    <row r="6" spans="1:12" x14ac:dyDescent="0.3">
      <c r="A6" s="11">
        <v>10672.727910227739</v>
      </c>
      <c r="B6" s="12">
        <v>0.8966834880152591</v>
      </c>
      <c r="C6" s="12">
        <v>1.7329906281234835</v>
      </c>
      <c r="D6" s="14">
        <f t="shared" si="0"/>
        <v>6.5285272698695454E-2</v>
      </c>
      <c r="E6" s="14"/>
      <c r="F6" s="53"/>
      <c r="H6" s="17">
        <f t="shared" ref="H6:H9" si="1">((1-B6)*C6*A6-(1-B7)*C7*A7)/(B7-B6)</f>
        <v>11372.53231394913</v>
      </c>
      <c r="I6" s="18">
        <f t="shared" ref="I6:I9" si="2">B7-B6</f>
        <v>2.8812124976871911E-2</v>
      </c>
      <c r="L6" s="14">
        <v>7.6806203174935819E-2</v>
      </c>
    </row>
    <row r="7" spans="1:12" x14ac:dyDescent="0.3">
      <c r="A7" s="11">
        <v>12197.185546312261</v>
      </c>
      <c r="B7" s="12">
        <v>0.92549561299213101</v>
      </c>
      <c r="C7" s="12">
        <v>1.7422382421792844</v>
      </c>
      <c r="D7" s="14">
        <f t="shared" si="0"/>
        <v>6.18001109328856E-2</v>
      </c>
      <c r="E7" s="14"/>
      <c r="F7" s="53"/>
      <c r="H7" s="17">
        <f t="shared" si="1"/>
        <v>13513.065857442707</v>
      </c>
      <c r="I7" s="18">
        <f t="shared" si="2"/>
        <v>3.1647081602518057E-2</v>
      </c>
      <c r="L7" s="14">
        <v>7.2706012862218353E-2</v>
      </c>
    </row>
    <row r="8" spans="1:12" x14ac:dyDescent="0.3">
      <c r="A8" s="11">
        <v>15246.100818481305</v>
      </c>
      <c r="B8" s="12">
        <v>0.95714269459464907</v>
      </c>
      <c r="C8" s="12">
        <v>1.7685753513870652</v>
      </c>
      <c r="D8" s="14">
        <f t="shared" si="0"/>
        <v>6.3945060804999676E-2</v>
      </c>
      <c r="E8" s="14"/>
      <c r="F8" s="53"/>
      <c r="H8" s="17">
        <f t="shared" si="1"/>
        <v>19988.899816001362</v>
      </c>
      <c r="I8" s="18">
        <f t="shared" si="2"/>
        <v>3.4049971723634775E-2</v>
      </c>
      <c r="L8" s="14">
        <v>7.5229483299999622E-2</v>
      </c>
    </row>
    <row r="9" spans="1:12" x14ac:dyDescent="0.3">
      <c r="A9" s="11">
        <v>30490.677179326525</v>
      </c>
      <c r="B9" s="12">
        <v>0.99119266631828384</v>
      </c>
      <c r="C9" s="12">
        <v>1.7687305880136339</v>
      </c>
      <c r="D9" s="14">
        <f t="shared" si="0"/>
        <v>6.6282560516670863E-2</v>
      </c>
      <c r="E9" s="14"/>
      <c r="F9" s="53"/>
      <c r="H9" s="17">
        <f t="shared" si="1"/>
        <v>40238.579744679599</v>
      </c>
      <c r="I9" s="18">
        <f t="shared" si="2"/>
        <v>7.0252426488600639E-3</v>
      </c>
      <c r="L9" s="14">
        <v>7.7979482960789243E-2</v>
      </c>
    </row>
    <row r="10" spans="1:12" x14ac:dyDescent="0.3">
      <c r="A10" s="11">
        <v>60979.606894964156</v>
      </c>
      <c r="B10" s="12">
        <v>0.99821790896714391</v>
      </c>
      <c r="C10" s="12">
        <v>1.7694833615682479</v>
      </c>
      <c r="D10" s="14">
        <f t="shared" si="0"/>
        <v>7.6442400774443364E-2</v>
      </c>
      <c r="E10" s="14"/>
      <c r="F10" s="53"/>
      <c r="H10" s="17">
        <f>C10*A10</f>
        <v>107902.39979561148</v>
      </c>
      <c r="I10" s="18">
        <f>1-B10</f>
        <v>1.7820910328560924E-3</v>
      </c>
      <c r="L10" s="14">
        <v>8.9932236205227487E-2</v>
      </c>
    </row>
    <row r="11" spans="1:12" x14ac:dyDescent="0.3">
      <c r="A11" s="13"/>
      <c r="B11" s="13"/>
      <c r="C11" s="13"/>
      <c r="D11" s="13"/>
      <c r="E11" s="13"/>
      <c r="H11" s="13"/>
      <c r="I11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1980</v>
      </c>
      <c r="C1" s="8" t="s">
        <v>24</v>
      </c>
      <c r="D1" s="10">
        <f>1000*[1]TD1!$C$87</f>
        <v>23457373.344810348</v>
      </c>
      <c r="E1" s="8" t="s">
        <v>30</v>
      </c>
      <c r="F1" s="21">
        <f>(SUMPRODUCT(D4:D10,H4:H10,I4:I10)/(D2*B2))/((1-SUMPRODUCT(D4:D10,H4:H10,I4:I10)/B2)/(1-D2))</f>
        <v>0.54580184489714489</v>
      </c>
      <c r="G1" s="19"/>
      <c r="H1" s="16"/>
    </row>
    <row r="2" spans="1:12" x14ac:dyDescent="0.3">
      <c r="A2" s="8" t="s">
        <v>12</v>
      </c>
      <c r="B2" s="11">
        <f>[1]TD2!$M$87</f>
        <v>6580.1116842861011</v>
      </c>
      <c r="C2" s="8" t="s">
        <v>15</v>
      </c>
      <c r="D2" s="14">
        <f>[1]TD1!$F$87</f>
        <v>0.33504544153778504</v>
      </c>
      <c r="E2" s="18" t="s">
        <v>26</v>
      </c>
      <c r="I2" s="8"/>
      <c r="L2" s="13">
        <f>D2/0.85</f>
        <v>0.39417110769151181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(D2-SUMPRODUCT(D5:D10,I5:I10))/I4</f>
        <v>0.50555944733043634</v>
      </c>
      <c r="E4" s="14"/>
      <c r="F4" s="8"/>
      <c r="G4" s="8"/>
      <c r="H4" s="17">
        <f>((1-B4)*B2-(1-B5)*C5*A5)/(B5-B4)</f>
        <v>2900.6122782580414</v>
      </c>
      <c r="I4" s="18">
        <f>B5-B4</f>
        <v>0.50340072399073343</v>
      </c>
      <c r="L4" s="14"/>
    </row>
    <row r="5" spans="1:12" x14ac:dyDescent="0.3">
      <c r="A5" s="65">
        <f>B2*'1981'!A7/'1981'!B2</f>
        <v>4704.1187428275916</v>
      </c>
      <c r="B5" s="66">
        <f>'1981'!B7</f>
        <v>0.50340072399073343</v>
      </c>
      <c r="C5" s="66">
        <f>'1981'!C7</f>
        <v>2.1916975862751573</v>
      </c>
      <c r="D5" s="67">
        <f t="shared" ref="D5:D10" si="0">L5*D$2/L$2</f>
        <v>0.19965176103595003</v>
      </c>
      <c r="E5" s="14"/>
      <c r="F5" s="8"/>
      <c r="G5" s="8"/>
      <c r="H5" s="17">
        <f t="shared" ref="H5" si="1">((1-B5)*C5*A5-(1-B6)*C6*A6)/(B6-B5)</f>
        <v>7188.924212330573</v>
      </c>
      <c r="I5" s="18">
        <f t="shared" ref="I5" si="2">B6-B5</f>
        <v>0.3572790737018321</v>
      </c>
      <c r="L5" s="16">
        <f>SUMPRODUCT('1981'!D7:D11,'1981'!I7:I11)/SUM('1981'!I7:I11)</f>
        <v>0.23488442474817653</v>
      </c>
    </row>
    <row r="6" spans="1:12" x14ac:dyDescent="0.3">
      <c r="A6" s="11">
        <v>10672.727910227739</v>
      </c>
      <c r="B6" s="12">
        <v>0.86067979769256553</v>
      </c>
      <c r="C6" s="12">
        <v>1.7159482922373765</v>
      </c>
      <c r="D6" s="14">
        <f t="shared" si="0"/>
        <v>7.3643012252888815E-2</v>
      </c>
      <c r="E6" s="14"/>
      <c r="F6" s="53"/>
      <c r="H6" s="17">
        <f t="shared" ref="H6:H9" si="3">((1-B6)*C6*A6-(1-B7)*C7*A7)/(B7-B6)</f>
        <v>11378.139211285468</v>
      </c>
      <c r="I6" s="18">
        <f t="shared" ref="I6:I9" si="4">B7-B6</f>
        <v>3.7888726369128101E-2</v>
      </c>
      <c r="L6" s="14">
        <v>8.6638837944575081E-2</v>
      </c>
    </row>
    <row r="7" spans="1:12" x14ac:dyDescent="0.3">
      <c r="A7" s="11">
        <v>12197.185546312261</v>
      </c>
      <c r="B7" s="12">
        <v>0.89856852406169363</v>
      </c>
      <c r="C7" s="12">
        <v>1.7138884336021967</v>
      </c>
      <c r="D7" s="14">
        <f t="shared" si="0"/>
        <v>6.344939517414179E-2</v>
      </c>
      <c r="E7" s="14"/>
      <c r="F7" s="53"/>
      <c r="H7" s="17">
        <f t="shared" si="3"/>
        <v>13525.176136624588</v>
      </c>
      <c r="I7" s="18">
        <f t="shared" si="4"/>
        <v>4.3470979679214539E-2</v>
      </c>
      <c r="L7" s="14">
        <v>7.4646347263696233E-2</v>
      </c>
    </row>
    <row r="8" spans="1:12" x14ac:dyDescent="0.3">
      <c r="A8" s="11">
        <v>15246.100818481305</v>
      </c>
      <c r="B8" s="12">
        <v>0.94203950374090817</v>
      </c>
      <c r="C8" s="12">
        <v>1.7341661457839661</v>
      </c>
      <c r="D8" s="14">
        <f t="shared" si="0"/>
        <v>6.2563489160898794E-2</v>
      </c>
      <c r="E8" s="14"/>
      <c r="F8" s="53"/>
      <c r="H8" s="17">
        <f t="shared" si="3"/>
        <v>19895.695071351922</v>
      </c>
      <c r="I8" s="18">
        <f t="shared" si="4"/>
        <v>4.6742104662906625E-2</v>
      </c>
      <c r="L8" s="14">
        <v>7.3604104895175049E-2</v>
      </c>
    </row>
    <row r="9" spans="1:12" x14ac:dyDescent="0.3">
      <c r="A9" s="11">
        <v>30490.677179326525</v>
      </c>
      <c r="B9" s="12">
        <v>0.98878160840381479</v>
      </c>
      <c r="C9" s="12">
        <v>1.7613081783055666</v>
      </c>
      <c r="D9" s="14">
        <f t="shared" si="0"/>
        <v>6.4201250926788467E-2</v>
      </c>
      <c r="E9" s="14"/>
      <c r="F9" s="53"/>
      <c r="H9" s="17">
        <f t="shared" si="3"/>
        <v>40268.099579180584</v>
      </c>
      <c r="I9" s="18">
        <f t="shared" si="4"/>
        <v>8.9696317190837149E-3</v>
      </c>
      <c r="L9" s="14">
        <v>7.5530883443280544E-2</v>
      </c>
    </row>
    <row r="10" spans="1:12" x14ac:dyDescent="0.3">
      <c r="A10" s="11">
        <v>60979.606894964156</v>
      </c>
      <c r="B10" s="12">
        <v>0.99775124012289851</v>
      </c>
      <c r="C10" s="12">
        <v>1.7594930805687203</v>
      </c>
      <c r="D10" s="14">
        <f t="shared" si="0"/>
        <v>7.3994312796208522E-2</v>
      </c>
      <c r="E10" s="14"/>
      <c r="F10" s="53"/>
      <c r="H10" s="17">
        <f>C10*A10</f>
        <v>107293.19638749007</v>
      </c>
      <c r="I10" s="18">
        <f>1-B10</f>
        <v>2.2487598771014916E-3</v>
      </c>
      <c r="L10" s="14">
        <v>8.70521327014218E-2</v>
      </c>
    </row>
    <row r="11" spans="1:12" x14ac:dyDescent="0.3">
      <c r="A11" s="13"/>
      <c r="B11" s="13"/>
      <c r="C11" s="13"/>
      <c r="D11" s="13"/>
      <c r="E11" s="13"/>
      <c r="H11" s="13"/>
      <c r="L11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4.19921875" customWidth="1"/>
    <col min="13" max="13" width="11.796875" customWidth="1"/>
  </cols>
  <sheetData>
    <row r="1" spans="1:13" x14ac:dyDescent="0.3">
      <c r="A1" s="8" t="s">
        <v>9</v>
      </c>
      <c r="B1" s="8">
        <v>1918</v>
      </c>
      <c r="C1" s="8" t="s">
        <v>24</v>
      </c>
      <c r="D1" s="10">
        <f>1000*[1]TD1!$C$25</f>
        <v>15115667.612193346</v>
      </c>
      <c r="E1" s="8" t="s">
        <v>30</v>
      </c>
      <c r="F1" s="21">
        <f>(SUMPRODUCT(D4:D11,H4:H11,I4:I11)/(D2*B2))/((1-SUMPRODUCT(D4:D11,H4:H11,I4:I11)/B2)/(1-D2))</f>
        <v>0.82907081125391469</v>
      </c>
      <c r="G1" s="19"/>
      <c r="H1" s="16"/>
    </row>
    <row r="2" spans="1:13" x14ac:dyDescent="0.3">
      <c r="A2" s="8" t="s">
        <v>12</v>
      </c>
      <c r="B2" s="11">
        <f>[1]TD2!$M$25</f>
        <v>2657.3844172069435</v>
      </c>
      <c r="C2" s="8" t="s">
        <v>15</v>
      </c>
      <c r="D2" s="14">
        <f>[1]TD1!$F$25</f>
        <v>0.23083617387726374</v>
      </c>
      <c r="E2" s="18" t="s">
        <v>26</v>
      </c>
      <c r="I2" s="8"/>
      <c r="L2" s="14">
        <f>D2</f>
        <v>0.23083617387726374</v>
      </c>
      <c r="M2" s="71">
        <v>1.38</v>
      </c>
    </row>
    <row r="3" spans="1:13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3">
      <c r="A4" s="8">
        <v>0</v>
      </c>
      <c r="B4" s="12">
        <v>0</v>
      </c>
      <c r="C4" s="8"/>
      <c r="D4" s="14">
        <f>(D2-SUMPRODUCT(D5:D11,I5:I11))/I4</f>
        <v>0.23710170709035011</v>
      </c>
      <c r="E4" s="14"/>
      <c r="F4" s="8"/>
      <c r="G4" s="8"/>
      <c r="H4" s="17">
        <f>((1-B4)*B2-(1-B5)*C5*A5)/(B5-B4)</f>
        <v>2015.660059076177</v>
      </c>
      <c r="I4" s="18">
        <f t="shared" ref="I4" si="0">B5-B4</f>
        <v>0.95430010795593256</v>
      </c>
      <c r="L4" s="14"/>
      <c r="M4" s="12">
        <v>0</v>
      </c>
    </row>
    <row r="5" spans="1:13" x14ac:dyDescent="0.3">
      <c r="A5" s="11">
        <v>3000</v>
      </c>
      <c r="B5" s="12">
        <f t="shared" ref="B5:B11" si="1">1-M$2*(1-M5)</f>
        <v>0.95430010795593256</v>
      </c>
      <c r="C5" s="12">
        <v>5.3526005744934082</v>
      </c>
      <c r="D5" s="14">
        <f t="shared" ref="D5:D11" si="2">L5*D$2/L$2</f>
        <v>0.1</v>
      </c>
      <c r="E5" s="14"/>
      <c r="F5" s="8"/>
      <c r="G5" s="8"/>
      <c r="H5" s="17">
        <f t="shared" ref="H5:H10" si="3">((1-B5)*C5*A5-(1-B6)*C6*A6)/(B6-B5)</f>
        <v>6216.7998280490883</v>
      </c>
      <c r="I5" s="18">
        <f t="shared" ref="I5:I10" si="4">B6-B5</f>
        <v>2.8308513164520321E-2</v>
      </c>
      <c r="L5" s="14">
        <v>0.1</v>
      </c>
      <c r="M5" s="12">
        <v>0.96688413619995117</v>
      </c>
    </row>
    <row r="6" spans="1:13" x14ac:dyDescent="0.3">
      <c r="A6" s="11">
        <v>10000</v>
      </c>
      <c r="B6" s="12">
        <f t="shared" si="1"/>
        <v>0.98260862112045289</v>
      </c>
      <c r="C6" s="12">
        <v>3.2076320648193359</v>
      </c>
      <c r="D6" s="14">
        <f t="shared" si="2"/>
        <v>0.1</v>
      </c>
      <c r="E6" s="14"/>
      <c r="F6" s="8"/>
      <c r="G6" s="8"/>
      <c r="H6" s="17">
        <f t="shared" ref="H6" si="5">((1-B6)*C6*A6-(1-B7)*C7*A7)/(B7-B6)</f>
        <v>13779.564988399892</v>
      </c>
      <c r="I6" s="18">
        <f t="shared" ref="I6" si="6">B7-B6</f>
        <v>1.0611641407012984E-2</v>
      </c>
      <c r="L6" s="14">
        <v>0.1</v>
      </c>
      <c r="M6" s="12">
        <v>0.98739755153656006</v>
      </c>
    </row>
    <row r="7" spans="1:13" x14ac:dyDescent="0.3">
      <c r="A7" s="11">
        <v>20000</v>
      </c>
      <c r="B7" s="12">
        <f t="shared" si="1"/>
        <v>0.99322026252746587</v>
      </c>
      <c r="C7" s="12">
        <v>3.035719633102417</v>
      </c>
      <c r="D7" s="14">
        <f t="shared" si="2"/>
        <v>0.1</v>
      </c>
      <c r="E7" s="14"/>
      <c r="H7" s="17">
        <f t="shared" si="3"/>
        <v>30999.644051277537</v>
      </c>
      <c r="I7" s="18">
        <f t="shared" si="4"/>
        <v>4.7703444957732932E-3</v>
      </c>
      <c r="L7" s="14">
        <v>0.1</v>
      </c>
      <c r="M7" s="12">
        <v>0.9950871467590332</v>
      </c>
    </row>
    <row r="8" spans="1:13" x14ac:dyDescent="0.3">
      <c r="A8" s="11">
        <v>50000</v>
      </c>
      <c r="B8" s="12">
        <f t="shared" si="1"/>
        <v>0.99799060702323916</v>
      </c>
      <c r="C8" s="12">
        <v>2.6251575946807861</v>
      </c>
      <c r="D8" s="14">
        <f t="shared" si="2"/>
        <v>0.1</v>
      </c>
      <c r="E8" s="14"/>
      <c r="H8" s="17">
        <f t="shared" si="3"/>
        <v>69023.357924788157</v>
      </c>
      <c r="I8" s="18">
        <f t="shared" si="4"/>
        <v>1.2843203544616877E-3</v>
      </c>
      <c r="L8" s="14">
        <v>0.1</v>
      </c>
      <c r="M8" s="12">
        <v>0.99854391813278198</v>
      </c>
    </row>
    <row r="9" spans="1:13" x14ac:dyDescent="0.3">
      <c r="A9" s="11">
        <v>100000</v>
      </c>
      <c r="B9" s="12">
        <f t="shared" si="1"/>
        <v>0.99927492737770085</v>
      </c>
      <c r="C9" s="12">
        <v>2.41493821144104</v>
      </c>
      <c r="D9" s="14">
        <f t="shared" si="2"/>
        <v>0.1</v>
      </c>
      <c r="E9" s="14"/>
      <c r="H9" s="17">
        <f t="shared" si="3"/>
        <v>150483.34675060806</v>
      </c>
      <c r="I9" s="18">
        <f t="shared" si="4"/>
        <v>5.6640386581419122E-4</v>
      </c>
      <c r="L9" s="14">
        <v>0.1</v>
      </c>
      <c r="M9" s="12">
        <v>0.99947458505630493</v>
      </c>
    </row>
    <row r="10" spans="1:13" x14ac:dyDescent="0.3">
      <c r="A10" s="11">
        <v>250000</v>
      </c>
      <c r="B10" s="12">
        <f t="shared" si="1"/>
        <v>0.99984133124351504</v>
      </c>
      <c r="C10" s="12">
        <v>2.2655048370361328</v>
      </c>
      <c r="D10" s="14">
        <f t="shared" si="2"/>
        <v>0.1</v>
      </c>
      <c r="E10" s="14"/>
      <c r="H10" s="17">
        <f t="shared" si="3"/>
        <v>371364.22151814908</v>
      </c>
      <c r="I10" s="18">
        <f t="shared" si="4"/>
        <v>1.1540293693534931E-4</v>
      </c>
      <c r="L10" s="14">
        <v>0.1</v>
      </c>
      <c r="M10" s="12">
        <v>0.99988502264022827</v>
      </c>
    </row>
    <row r="11" spans="1:13" x14ac:dyDescent="0.3">
      <c r="A11" s="17">
        <v>500000</v>
      </c>
      <c r="B11" s="12">
        <f t="shared" si="1"/>
        <v>0.99995673418045039</v>
      </c>
      <c r="C11" s="18">
        <v>2.1730635166168213</v>
      </c>
      <c r="D11" s="14">
        <f t="shared" si="2"/>
        <v>0.1</v>
      </c>
      <c r="E11" s="14"/>
      <c r="H11" s="17">
        <f>C11*A11</f>
        <v>1086531.7583084106</v>
      </c>
      <c r="I11" s="18">
        <f>1-B11</f>
        <v>4.3265819549609397E-5</v>
      </c>
      <c r="L11" s="14">
        <v>0.1</v>
      </c>
      <c r="M11" s="18">
        <v>0.99996864795684814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1981</v>
      </c>
      <c r="C1" s="8" t="s">
        <v>24</v>
      </c>
      <c r="D1" s="10">
        <f>1000*[1]TD1!$C$88</f>
        <v>23749606.69045366</v>
      </c>
      <c r="E1" s="8" t="s">
        <v>30</v>
      </c>
      <c r="F1" s="21">
        <f>(SUMPRODUCT(D4:D15,H4:H15,I4:I15)/(D2*B2))/((1-SUMPRODUCT(D4:D15,H4:H15,I4:I15)/B2)/(1-D2))</f>
        <v>0.54063124100289439</v>
      </c>
      <c r="G1" s="19"/>
      <c r="H1" s="16"/>
    </row>
    <row r="2" spans="1:12" x14ac:dyDescent="0.3">
      <c r="A2" s="8" t="s">
        <v>12</v>
      </c>
      <c r="B2" s="11">
        <f>[1]TD2!$M$88</f>
        <v>7465.7205357553148</v>
      </c>
      <c r="C2" s="8" t="s">
        <v>15</v>
      </c>
      <c r="D2" s="14">
        <f>[1]TD1!$F$88</f>
        <v>0.3398462513686662</v>
      </c>
      <c r="E2" s="18" t="s">
        <v>26</v>
      </c>
      <c r="I2" s="8"/>
      <c r="L2" s="13">
        <f>D2/0.85</f>
        <v>0.39981911925725439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(D2-SUMPRODUCT(D5:D15,I5:I15))/I4</f>
        <v>0.477462219850528</v>
      </c>
      <c r="E4" s="14"/>
      <c r="F4" s="8"/>
      <c r="G4" s="8"/>
      <c r="H4" s="17">
        <f>((1-B4)*B2-(1-B5)*C5*A5)/(B5-B4)</f>
        <v>2824.5094941153293</v>
      </c>
      <c r="I4" s="18">
        <f>B5-B4</f>
        <v>0.36765879220841202</v>
      </c>
      <c r="L4" s="14"/>
    </row>
    <row r="5" spans="1:12" x14ac:dyDescent="0.3">
      <c r="A5" s="9">
        <v>3812.7499211076338</v>
      </c>
      <c r="B5" s="12">
        <v>0.36765879220841202</v>
      </c>
      <c r="C5" s="8">
        <v>2.6658541598967247</v>
      </c>
      <c r="D5" s="14">
        <f t="shared" ref="D5:D15" si="0">L5*D$2/L$2</f>
        <v>0.54889684116259585</v>
      </c>
      <c r="E5" s="14"/>
      <c r="H5" s="17">
        <f>((1-B5)*C5*A5-(1-B6)*C6*A6)/(B6-B5)</f>
        <v>4106.7098928083751</v>
      </c>
      <c r="I5" s="18">
        <f>B6-B5</f>
        <v>6.4867244187844175E-2</v>
      </c>
      <c r="L5" s="14">
        <v>0.64576098960305395</v>
      </c>
    </row>
    <row r="6" spans="1:12" x14ac:dyDescent="0.3">
      <c r="A6" s="9">
        <v>4574.9950072946858</v>
      </c>
      <c r="B6" s="12">
        <v>0.4325260363962562</v>
      </c>
      <c r="C6" s="8">
        <v>2.3730437785210787</v>
      </c>
      <c r="D6" s="14">
        <f t="shared" si="0"/>
        <v>0.49921896301894986</v>
      </c>
      <c r="E6" s="14"/>
      <c r="H6" s="17">
        <f t="shared" ref="H6:H14" si="1">((1-B6)*C6*A6-(1-B7)*C7*A7)/(B7-B6)</f>
        <v>4964.3405015985036</v>
      </c>
      <c r="I6" s="18">
        <f t="shared" ref="I6:I14" si="2">B7-B6</f>
        <v>7.0874687594477237E-2</v>
      </c>
      <c r="L6" s="14">
        <v>0.58731642708111753</v>
      </c>
    </row>
    <row r="7" spans="1:12" x14ac:dyDescent="0.3">
      <c r="A7" s="9">
        <v>5337.2400934817379</v>
      </c>
      <c r="B7" s="12">
        <v>0.50340072399073343</v>
      </c>
      <c r="C7" s="8">
        <v>2.1916975862751573</v>
      </c>
      <c r="D7" s="14">
        <f t="shared" si="0"/>
        <v>0.41246053955884299</v>
      </c>
      <c r="E7" s="14"/>
      <c r="H7" s="17">
        <f t="shared" si="1"/>
        <v>5724.2605340065093</v>
      </c>
      <c r="I7" s="18">
        <f t="shared" si="2"/>
        <v>6.3635359373237721E-2</v>
      </c>
      <c r="L7" s="14">
        <v>0.48524769359863884</v>
      </c>
    </row>
    <row r="8" spans="1:12" x14ac:dyDescent="0.3">
      <c r="A8" s="9">
        <v>6099.485179668789</v>
      </c>
      <c r="B8" s="12">
        <v>0.56703608336397116</v>
      </c>
      <c r="C8" s="8">
        <v>2.0617407112490165</v>
      </c>
      <c r="D8" s="14">
        <f t="shared" si="0"/>
        <v>0.29741793441837022</v>
      </c>
      <c r="E8" s="14"/>
      <c r="H8" s="17">
        <f t="shared" si="1"/>
        <v>6823.2069856093067</v>
      </c>
      <c r="I8" s="18">
        <f t="shared" si="2"/>
        <v>0.10451019856207844</v>
      </c>
      <c r="L8" s="14">
        <v>0.34990345225690622</v>
      </c>
    </row>
    <row r="9" spans="1:12" x14ac:dyDescent="0.3">
      <c r="A9" s="9">
        <v>7623.9753520428931</v>
      </c>
      <c r="B9" s="12">
        <v>0.67154628192604959</v>
      </c>
      <c r="C9" s="8">
        <v>1.8895507775415847</v>
      </c>
      <c r="D9" s="14">
        <f t="shared" si="0"/>
        <v>0.18113745387247673</v>
      </c>
      <c r="E9" s="14"/>
      <c r="H9" s="17">
        <f t="shared" si="1"/>
        <v>8391.8193593310152</v>
      </c>
      <c r="I9" s="18">
        <f t="shared" si="2"/>
        <v>7.7373544429028218E-2</v>
      </c>
      <c r="L9" s="14">
        <v>0.21310288690879617</v>
      </c>
    </row>
    <row r="10" spans="1:12" x14ac:dyDescent="0.3">
      <c r="A10" s="9">
        <v>9148.4655244169971</v>
      </c>
      <c r="B10" s="12">
        <v>0.74891982635507781</v>
      </c>
      <c r="C10" s="8">
        <v>1.7772598384941745</v>
      </c>
      <c r="D10" s="14">
        <f t="shared" si="0"/>
        <v>0.12501866647268151</v>
      </c>
      <c r="E10" s="14"/>
      <c r="H10" s="17">
        <f t="shared" si="1"/>
        <v>9876.0356268843152</v>
      </c>
      <c r="I10" s="18">
        <f t="shared" si="2"/>
        <v>6.3957032705230676E-2</v>
      </c>
      <c r="L10" s="14">
        <v>0.14708078408550768</v>
      </c>
    </row>
    <row r="11" spans="1:12" x14ac:dyDescent="0.3">
      <c r="A11" s="11">
        <v>10672.955696791101</v>
      </c>
      <c r="B11" s="12">
        <v>0.81287685906030849</v>
      </c>
      <c r="C11" s="12">
        <v>1.7278165553141991</v>
      </c>
      <c r="D11" s="14">
        <f t="shared" si="0"/>
        <v>9.3598490710516444E-2</v>
      </c>
      <c r="E11" s="14"/>
      <c r="H11" s="17">
        <f t="shared" si="1"/>
        <v>11394.452304723172</v>
      </c>
      <c r="I11" s="18">
        <f t="shared" si="2"/>
        <v>4.7069284749432949E-2</v>
      </c>
      <c r="L11" s="14">
        <v>0.11011587142413701</v>
      </c>
    </row>
    <row r="12" spans="1:12" x14ac:dyDescent="0.3">
      <c r="A12" s="11">
        <v>12197.445869165205</v>
      </c>
      <c r="B12" s="12">
        <v>0.85994614380974144</v>
      </c>
      <c r="C12" s="12">
        <v>1.7060196334173094</v>
      </c>
      <c r="D12" s="14">
        <f t="shared" si="0"/>
        <v>7.3571481055132365E-2</v>
      </c>
      <c r="E12" s="14"/>
      <c r="H12" s="17">
        <f t="shared" si="1"/>
        <v>13554.966358475032</v>
      </c>
      <c r="I12" s="18">
        <f t="shared" si="2"/>
        <v>5.8450904812583304E-2</v>
      </c>
      <c r="L12" s="14">
        <v>8.6554683594273388E-2</v>
      </c>
    </row>
    <row r="13" spans="1:12" x14ac:dyDescent="0.3">
      <c r="A13" s="11">
        <v>15246.426213913412</v>
      </c>
      <c r="B13" s="12">
        <v>0.91839704862232474</v>
      </c>
      <c r="C13" s="12">
        <v>1.7056515595082715</v>
      </c>
      <c r="D13" s="14">
        <f t="shared" si="0"/>
        <v>6.3788311136621659E-2</v>
      </c>
      <c r="E13" s="14"/>
      <c r="H13" s="17">
        <f t="shared" si="1"/>
        <v>19863.403737700424</v>
      </c>
      <c r="I13" s="18">
        <f t="shared" si="2"/>
        <v>6.6608092530469731E-2</v>
      </c>
      <c r="L13" s="14">
        <v>7.5045071925437259E-2</v>
      </c>
    </row>
    <row r="14" spans="1:12" x14ac:dyDescent="0.3">
      <c r="A14" s="11">
        <v>30491.327937654449</v>
      </c>
      <c r="B14" s="12">
        <v>0.98500514115279447</v>
      </c>
      <c r="C14" s="12">
        <v>1.7476065568341421</v>
      </c>
      <c r="D14" s="14">
        <f t="shared" si="0"/>
        <v>6.600378787878787E-2</v>
      </c>
      <c r="E14" s="14"/>
      <c r="H14" s="17">
        <f t="shared" si="1"/>
        <v>40236.159986538696</v>
      </c>
      <c r="I14" s="18">
        <f t="shared" si="2"/>
        <v>1.2094179231837754E-2</v>
      </c>
      <c r="L14" s="14">
        <v>7.7651515151515152E-2</v>
      </c>
    </row>
    <row r="15" spans="1:12" x14ac:dyDescent="0.3">
      <c r="A15" s="11">
        <v>60979.606894964156</v>
      </c>
      <c r="B15" s="12">
        <v>0.99709932038463223</v>
      </c>
      <c r="C15" s="12">
        <v>1.7661765956597475</v>
      </c>
      <c r="D15" s="14">
        <f t="shared" si="0"/>
        <v>7.6289011467556969E-2</v>
      </c>
      <c r="E15" s="14"/>
      <c r="H15" s="17">
        <f>C15*A15</f>
        <v>107700.75451041746</v>
      </c>
      <c r="I15" s="18">
        <f>1-B15</f>
        <v>2.9006796153677739E-3</v>
      </c>
      <c r="L15" s="14">
        <v>8.9751778197125848E-2</v>
      </c>
    </row>
    <row r="16" spans="1:12" x14ac:dyDescent="0.3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1982</v>
      </c>
      <c r="C1" s="8" t="s">
        <v>24</v>
      </c>
      <c r="D1" s="10">
        <f>1000*[1]TD1!$C$89</f>
        <v>24042665.260901265</v>
      </c>
      <c r="E1" s="8" t="s">
        <v>30</v>
      </c>
      <c r="F1" s="21">
        <f>(SUMPRODUCT(D4:D16,H4:H16,I4:I16)/(D2*B2))/((1-SUMPRODUCT(D4:D16,H4:H16,I4:I16)/B2)/(1-D2))</f>
        <v>0.54967642878654632</v>
      </c>
      <c r="G1" s="19"/>
      <c r="H1" s="16"/>
    </row>
    <row r="2" spans="1:12" x14ac:dyDescent="0.3">
      <c r="A2" s="8" t="s">
        <v>12</v>
      </c>
      <c r="B2" s="11">
        <f>[1]TD2!$M$89</f>
        <v>8433.0011456296252</v>
      </c>
      <c r="C2" s="8" t="s">
        <v>15</v>
      </c>
      <c r="D2" s="14">
        <f>[1]TD1!$F$89</f>
        <v>0.34357144382634086</v>
      </c>
      <c r="E2" s="18" t="s">
        <v>26</v>
      </c>
      <c r="I2" s="8"/>
      <c r="L2" s="13">
        <f>D2/0.85</f>
        <v>0.40420169861922456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11">
        <v>0</v>
      </c>
      <c r="B4" s="12">
        <v>0</v>
      </c>
      <c r="C4" s="8"/>
      <c r="D4" s="14">
        <f>(D2-SUMPRODUCT(D5:D16,I5:I16))/I4</f>
        <v>0.50071543173394772</v>
      </c>
      <c r="E4" s="14"/>
      <c r="F4" s="8"/>
      <c r="G4" s="8"/>
      <c r="H4" s="17">
        <f>((1-B4)*B2-(1-B5)*C5*A5)/(B5-B4)</f>
        <v>3427.9349147515172</v>
      </c>
      <c r="I4" s="18">
        <f>B5-B4</f>
        <v>0.37407444694830061</v>
      </c>
      <c r="L4" s="14"/>
    </row>
    <row r="5" spans="1:12" x14ac:dyDescent="0.3">
      <c r="A5" s="11">
        <v>4574.9950072946858</v>
      </c>
      <c r="B5" s="12">
        <v>0.37407444694830061</v>
      </c>
      <c r="C5" s="8">
        <v>2.4970954763534712</v>
      </c>
      <c r="D5" s="14">
        <f t="shared" ref="D5:D16" si="0">L5*D$2/L$2</f>
        <v>0.5051079545210343</v>
      </c>
      <c r="E5" s="14"/>
      <c r="H5" s="17">
        <f t="shared" ref="H5" si="1">((1-B5)*C5*A5-(1-B6)*C6*A6)/(B6-B5)</f>
        <v>4969.9113323304246</v>
      </c>
      <c r="I5" s="18">
        <f t="shared" ref="I5" si="2">B6-B5</f>
        <v>6.4753371151594741E-2</v>
      </c>
      <c r="L5" s="14">
        <v>0.59424465237768742</v>
      </c>
    </row>
    <row r="6" spans="1:12" x14ac:dyDescent="0.3">
      <c r="A6" s="11">
        <v>5337.2400934817379</v>
      </c>
      <c r="B6" s="12">
        <v>0.43882781809989535</v>
      </c>
      <c r="C6" s="8">
        <v>2.2800091651889018</v>
      </c>
      <c r="D6" s="14">
        <f t="shared" si="0"/>
        <v>0.4576107451404639</v>
      </c>
      <c r="E6" s="14"/>
      <c r="H6" s="17">
        <f t="shared" ref="H6:H15" si="3">((1-B6)*C6*A6-(1-B7)*C7*A7)/(B7-B6)</f>
        <v>5711.6696048062731</v>
      </c>
      <c r="I6" s="18">
        <f t="shared" ref="I6:I15" si="4">B7-B6</f>
        <v>6.8603955323331189E-2</v>
      </c>
      <c r="L6" s="14">
        <v>0.53836558251819289</v>
      </c>
    </row>
    <row r="7" spans="1:12" x14ac:dyDescent="0.3">
      <c r="A7" s="11">
        <v>6099.485179668789</v>
      </c>
      <c r="B7" s="12">
        <v>0.50743177342322654</v>
      </c>
      <c r="C7" s="8">
        <v>2.1425275120543614</v>
      </c>
      <c r="D7" s="14">
        <f t="shared" si="0"/>
        <v>0.37066344255849759</v>
      </c>
      <c r="E7" s="14"/>
      <c r="H7" s="17">
        <f t="shared" si="3"/>
        <v>6841.6628224137448</v>
      </c>
      <c r="I7" s="18">
        <f t="shared" si="4"/>
        <v>0.11043687575610917</v>
      </c>
      <c r="L7" s="14">
        <v>0.43607463830411486</v>
      </c>
    </row>
    <row r="8" spans="1:12" x14ac:dyDescent="0.3">
      <c r="A8" s="11">
        <v>7623.9753520428931</v>
      </c>
      <c r="B8" s="12">
        <v>0.6178686491793357</v>
      </c>
      <c r="C8" s="8">
        <v>1.9501416858363574</v>
      </c>
      <c r="D8" s="14">
        <f t="shared" si="0"/>
        <v>0.24881007915945921</v>
      </c>
      <c r="E8" s="14"/>
      <c r="H8" s="17">
        <f t="shared" si="3"/>
        <v>8326.3122885392404</v>
      </c>
      <c r="I8" s="18">
        <f t="shared" si="4"/>
        <v>7.944354500585149E-2</v>
      </c>
      <c r="L8" s="14">
        <v>0.29271774018759911</v>
      </c>
    </row>
    <row r="9" spans="1:12" x14ac:dyDescent="0.3">
      <c r="A9" s="11">
        <v>9148.4655244169971</v>
      </c>
      <c r="B9" s="12">
        <v>0.6973121941851872</v>
      </c>
      <c r="C9" s="8">
        <v>1.8128419066440216</v>
      </c>
      <c r="D9" s="14">
        <f t="shared" si="0"/>
        <v>0.16509318909276435</v>
      </c>
      <c r="E9" s="14"/>
      <c r="H9" s="17">
        <f t="shared" si="3"/>
        <v>9884.2541001502577</v>
      </c>
      <c r="I9" s="18">
        <f t="shared" si="4"/>
        <v>6.9186484822119754E-2</v>
      </c>
      <c r="L9" s="14">
        <v>0.19422728128560512</v>
      </c>
    </row>
    <row r="10" spans="1:12" x14ac:dyDescent="0.3">
      <c r="A10" s="11">
        <v>10672.955696791101</v>
      </c>
      <c r="B10" s="12">
        <v>0.76649867900730695</v>
      </c>
      <c r="C10" s="12">
        <v>1.7399183508845797</v>
      </c>
      <c r="D10" s="14">
        <f t="shared" si="0"/>
        <v>0.12048740335091367</v>
      </c>
      <c r="E10" s="14"/>
      <c r="H10" s="17">
        <f t="shared" si="3"/>
        <v>11402.303036452293</v>
      </c>
      <c r="I10" s="18">
        <f t="shared" si="4"/>
        <v>5.4312368634484187E-2</v>
      </c>
      <c r="L10" s="14">
        <v>0.14174988629519256</v>
      </c>
    </row>
    <row r="11" spans="1:12" x14ac:dyDescent="0.3">
      <c r="A11" s="11">
        <v>12197.445869165205</v>
      </c>
      <c r="B11" s="12">
        <v>0.82081104764179114</v>
      </c>
      <c r="C11" s="12">
        <v>1.7005715949445617</v>
      </c>
      <c r="D11" s="14">
        <f t="shared" si="0"/>
        <v>9.5437305624728852E-2</v>
      </c>
      <c r="E11" s="14"/>
      <c r="H11" s="17">
        <f t="shared" si="3"/>
        <v>12922.798807569205</v>
      </c>
      <c r="I11" s="18">
        <f t="shared" si="4"/>
        <v>4.0937349886936092E-2</v>
      </c>
      <c r="L11" s="14">
        <v>0.1122791830879163</v>
      </c>
    </row>
    <row r="12" spans="1:12" x14ac:dyDescent="0.3">
      <c r="A12" s="11">
        <v>13721.936041539308</v>
      </c>
      <c r="B12" s="12">
        <v>0.86174839752872723</v>
      </c>
      <c r="C12" s="12">
        <v>1.680385430155547</v>
      </c>
      <c r="D12" s="14">
        <f t="shared" si="0"/>
        <v>8.1004250254320731E-2</v>
      </c>
      <c r="E12" s="14"/>
      <c r="H12" s="17">
        <f t="shared" si="3"/>
        <v>14448.61262568271</v>
      </c>
      <c r="I12" s="18">
        <f t="shared" si="4"/>
        <v>3.0541913387371E-2</v>
      </c>
      <c r="L12" s="14">
        <v>9.5299117946259684E-2</v>
      </c>
    </row>
    <row r="13" spans="1:12" x14ac:dyDescent="0.3">
      <c r="A13" s="11">
        <v>15246.426213913412</v>
      </c>
      <c r="B13" s="12">
        <v>0.89229031091609823</v>
      </c>
      <c r="C13" s="12">
        <v>1.6724863486810397</v>
      </c>
      <c r="D13" s="14">
        <f t="shared" si="0"/>
        <v>6.7078521607305541E-2</v>
      </c>
      <c r="E13" s="14"/>
      <c r="H13" s="17">
        <f t="shared" si="3"/>
        <v>18192.975665236216</v>
      </c>
      <c r="I13" s="18">
        <f t="shared" si="4"/>
        <v>6.9303547752240346E-2</v>
      </c>
      <c r="L13" s="14">
        <v>7.8915907773300639E-2</v>
      </c>
    </row>
    <row r="14" spans="1:12" x14ac:dyDescent="0.3">
      <c r="A14" s="11">
        <v>22868.87707578393</v>
      </c>
      <c r="B14" s="12">
        <v>0.96159385866833857</v>
      </c>
      <c r="C14" s="12">
        <v>1.6915518131195038</v>
      </c>
      <c r="D14" s="14">
        <f t="shared" si="0"/>
        <v>6.3911905105707073E-2</v>
      </c>
      <c r="E14" s="14"/>
      <c r="H14" s="17">
        <f t="shared" si="3"/>
        <v>26023.392597765509</v>
      </c>
      <c r="I14" s="18">
        <f t="shared" si="4"/>
        <v>1.9587013123949615E-2</v>
      </c>
      <c r="L14" s="14">
        <v>7.5190476594949499E-2</v>
      </c>
    </row>
    <row r="15" spans="1:12" x14ac:dyDescent="0.3">
      <c r="A15" s="11">
        <v>30491.327937654449</v>
      </c>
      <c r="B15" s="12">
        <v>0.98118087179228819</v>
      </c>
      <c r="C15" s="12">
        <v>1.7008436027226401</v>
      </c>
      <c r="D15" s="14">
        <f t="shared" si="0"/>
        <v>6.3073352982016329E-2</v>
      </c>
      <c r="E15" s="14"/>
      <c r="H15" s="17">
        <f t="shared" si="3"/>
        <v>40072.366458146214</v>
      </c>
      <c r="I15" s="18">
        <f t="shared" si="4"/>
        <v>1.5396337967653606E-2</v>
      </c>
      <c r="L15" s="14">
        <v>7.420394468472509E-2</v>
      </c>
    </row>
    <row r="16" spans="1:12" x14ac:dyDescent="0.3">
      <c r="A16" s="11">
        <v>60979.606894964156</v>
      </c>
      <c r="B16" s="12">
        <v>0.9965772097599418</v>
      </c>
      <c r="C16" s="12">
        <v>1.7200557774051255</v>
      </c>
      <c r="D16" s="14">
        <f t="shared" si="0"/>
        <v>7.1610586562648099E-2</v>
      </c>
      <c r="E16" s="14"/>
      <c r="H16" s="17">
        <f>C16*A16</f>
        <v>104888.32514357653</v>
      </c>
      <c r="I16" s="18">
        <f>1-B16</f>
        <v>3.4227902400582044E-3</v>
      </c>
      <c r="L16" s="14">
        <v>8.4247748897233063E-2</v>
      </c>
    </row>
    <row r="17" spans="1:8" x14ac:dyDescent="0.3">
      <c r="A17" s="13"/>
      <c r="B17" s="13"/>
      <c r="C17" s="13"/>
      <c r="D17" s="13"/>
      <c r="E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5" sqref="D5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1983</v>
      </c>
      <c r="C1" s="8" t="s">
        <v>24</v>
      </c>
      <c r="D1" s="10">
        <f>1000*[1]TD1!$C$90</f>
        <v>24282961.326334845</v>
      </c>
      <c r="E1" s="8" t="s">
        <v>30</v>
      </c>
      <c r="F1" s="21">
        <f>(SUMPRODUCT(D4:D12,H4:H12,I4:I12)/(D2*B2))/((1-SUMPRODUCT(D4:D12,H4:H12,I4:I12)/B2)/(1-D2))</f>
        <v>0.57995012009979485</v>
      </c>
      <c r="G1" s="19"/>
      <c r="H1" s="16"/>
    </row>
    <row r="2" spans="1:12" x14ac:dyDescent="0.3">
      <c r="A2" s="8" t="s">
        <v>12</v>
      </c>
      <c r="B2" s="11">
        <f>[1]TD2!$M$90</f>
        <v>9222.1723465908781</v>
      </c>
      <c r="C2" s="8" t="s">
        <v>15</v>
      </c>
      <c r="D2" s="14">
        <f>[1]TD1!$F$90</f>
        <v>0.34445525919024433</v>
      </c>
      <c r="E2" s="18" t="s">
        <v>26</v>
      </c>
      <c r="I2" s="8"/>
      <c r="L2" s="13">
        <f>D2/0.85</f>
        <v>0.40524148140028748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(D2-SUMPRODUCT(D5:D12,I5:I12))/I4</f>
        <v>0.44156860480632282</v>
      </c>
      <c r="E4" s="14"/>
      <c r="F4" s="8"/>
      <c r="G4" s="8"/>
      <c r="H4" s="17">
        <f>((1-B4)*B2-(1-B5)*C5*A5)/(B5-B4)</f>
        <v>5268.9599968805815</v>
      </c>
      <c r="I4" s="18">
        <f>B5-B4</f>
        <v>0.71272648189355481</v>
      </c>
      <c r="L4" s="14"/>
    </row>
    <row r="5" spans="1:12" x14ac:dyDescent="0.3">
      <c r="A5" s="11">
        <v>10672.727910227739</v>
      </c>
      <c r="B5" s="12">
        <v>0.71272648189355481</v>
      </c>
      <c r="C5" s="12">
        <v>1.7830590739190313</v>
      </c>
      <c r="D5" s="14">
        <f t="shared" ref="D5:D12" si="0">L5*D$2/L$2</f>
        <v>0.17237681133314514</v>
      </c>
      <c r="E5" s="14"/>
      <c r="F5" s="12"/>
      <c r="G5" s="12"/>
      <c r="H5" s="17">
        <f t="shared" ref="H5:H11" si="1">((1-B5)*C5*A5-(1-B6)*C6*A6)/(B6-B5)</f>
        <v>11304.187102595792</v>
      </c>
      <c r="I5" s="18">
        <f t="shared" ref="I5:I11" si="2">B6-B5</f>
        <v>5.638183949517217E-2</v>
      </c>
      <c r="L5" s="14">
        <v>0.20279624862722959</v>
      </c>
    </row>
    <row r="6" spans="1:12" x14ac:dyDescent="0.3">
      <c r="A6" s="11">
        <v>12197.185546312261</v>
      </c>
      <c r="B6" s="12">
        <v>0.76910832138872698</v>
      </c>
      <c r="C6" s="12">
        <v>1.7148799939596238</v>
      </c>
      <c r="D6" s="14">
        <f t="shared" si="0"/>
        <v>0.12655377465113435</v>
      </c>
      <c r="E6" s="14"/>
      <c r="F6" s="12"/>
      <c r="G6" s="12"/>
      <c r="H6" s="17">
        <f t="shared" si="1"/>
        <v>12934.972950390422</v>
      </c>
      <c r="I6" s="18">
        <f t="shared" si="2"/>
        <v>4.7218404991099194E-2</v>
      </c>
      <c r="L6" s="14">
        <v>0.14888679370721689</v>
      </c>
    </row>
    <row r="7" spans="1:12" x14ac:dyDescent="0.3">
      <c r="A7" s="11">
        <v>13721.643182396783</v>
      </c>
      <c r="B7" s="12">
        <v>0.81632672637982617</v>
      </c>
      <c r="C7" s="12">
        <v>1.6738986783426033</v>
      </c>
      <c r="D7" s="14">
        <f t="shared" si="0"/>
        <v>9.9874267423644039E-2</v>
      </c>
      <c r="E7" s="14"/>
      <c r="G7" s="13"/>
      <c r="H7" s="17">
        <f t="shared" si="1"/>
        <v>14454.222859917862</v>
      </c>
      <c r="I7" s="18">
        <f t="shared" si="2"/>
        <v>3.7747784863698564E-2</v>
      </c>
      <c r="L7" s="14">
        <v>0.11749913814546359</v>
      </c>
    </row>
    <row r="8" spans="1:12" x14ac:dyDescent="0.3">
      <c r="A8" s="11">
        <v>15246.100818481305</v>
      </c>
      <c r="B8" s="12">
        <v>0.85407451124352474</v>
      </c>
      <c r="C8" s="12">
        <v>1.6509884949501998</v>
      </c>
      <c r="D8" s="14">
        <f t="shared" si="0"/>
        <v>7.8087270700747585E-2</v>
      </c>
      <c r="E8" s="14"/>
      <c r="H8" s="17">
        <f t="shared" si="1"/>
        <v>16950.523239852289</v>
      </c>
      <c r="I8" s="18">
        <f t="shared" si="2"/>
        <v>6.1628233059739301E-2</v>
      </c>
      <c r="L8" s="14">
        <v>9.186737729499718E-2</v>
      </c>
    </row>
    <row r="9" spans="1:12" x14ac:dyDescent="0.3">
      <c r="A9" s="11">
        <v>19057.24490869261</v>
      </c>
      <c r="B9" s="12">
        <v>0.91570274430326404</v>
      </c>
      <c r="C9" s="12">
        <v>1.6361799717367309</v>
      </c>
      <c r="D9" s="14">
        <f t="shared" si="0"/>
        <v>6.4837752854760469E-2</v>
      </c>
      <c r="E9" s="14"/>
      <c r="H9" s="17">
        <f t="shared" si="1"/>
        <v>20759.329546588589</v>
      </c>
      <c r="I9" s="18">
        <f t="shared" si="2"/>
        <v>3.2349019933911149E-2</v>
      </c>
      <c r="L9" s="14">
        <v>7.627970924089468E-2</v>
      </c>
    </row>
    <row r="10" spans="1:12" x14ac:dyDescent="0.3">
      <c r="A10" s="11">
        <v>22868.388998903916</v>
      </c>
      <c r="B10" s="12">
        <v>0.94805176423717519</v>
      </c>
      <c r="C10" s="12">
        <v>1.6472904669658135</v>
      </c>
      <c r="D10" s="14">
        <f t="shared" si="0"/>
        <v>6.3836951652521096E-2</v>
      </c>
      <c r="E10" s="14"/>
      <c r="H10" s="17">
        <f t="shared" si="1"/>
        <v>25998.75551782953</v>
      </c>
      <c r="I10" s="18">
        <f t="shared" si="2"/>
        <v>2.7394764215950995E-2</v>
      </c>
      <c r="L10" s="14">
        <v>7.5102296061789531E-2</v>
      </c>
    </row>
    <row r="11" spans="1:12" x14ac:dyDescent="0.3">
      <c r="A11" s="11">
        <v>30490.677179326525</v>
      </c>
      <c r="B11" s="12">
        <v>0.97544652845312618</v>
      </c>
      <c r="C11" s="12">
        <v>1.6625962111411881</v>
      </c>
      <c r="D11" s="14">
        <f t="shared" si="0"/>
        <v>6.4451558161061406E-2</v>
      </c>
      <c r="E11" s="14"/>
      <c r="H11" s="17">
        <f t="shared" si="1"/>
        <v>39957.749351428894</v>
      </c>
      <c r="I11" s="18">
        <f t="shared" si="2"/>
        <v>2.0287146751979623E-2</v>
      </c>
      <c r="L11" s="14">
        <v>7.5825362542425181E-2</v>
      </c>
    </row>
    <row r="12" spans="1:12" x14ac:dyDescent="0.3">
      <c r="A12" s="11">
        <v>60979.606894964156</v>
      </c>
      <c r="B12" s="12">
        <v>0.99573367520510581</v>
      </c>
      <c r="C12" s="12">
        <v>1.6685086054884699</v>
      </c>
      <c r="D12" s="14">
        <f t="shared" si="0"/>
        <v>7.1922508904526103E-2</v>
      </c>
      <c r="E12" s="14"/>
      <c r="H12" s="17">
        <f>C12*A12</f>
        <v>101744.99886355172</v>
      </c>
      <c r="I12" s="18">
        <f>1-B12</f>
        <v>4.266324794894194E-3</v>
      </c>
      <c r="L12" s="14">
        <v>8.4614716358266007E-2</v>
      </c>
    </row>
    <row r="13" spans="1:12" x14ac:dyDescent="0.3">
      <c r="A13" s="13"/>
      <c r="B13" s="13"/>
      <c r="C13" s="13"/>
      <c r="D13" s="13"/>
      <c r="E13" s="13"/>
      <c r="H13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1984</v>
      </c>
      <c r="C1" s="8" t="s">
        <v>24</v>
      </c>
      <c r="D1" s="10">
        <v>24572.248139758773</v>
      </c>
      <c r="E1" s="8" t="s">
        <v>30</v>
      </c>
      <c r="F1" s="21">
        <f>(SUMPRODUCT(D4:D14,H4:H14,I4:I14)/(D2*B2))/((1-SUMPRODUCT(D4:D14,H4:H14,I4:I14)/B2)/(1-D2))</f>
        <v>0.56432425935908093</v>
      </c>
      <c r="G1" s="19"/>
      <c r="H1" s="16"/>
    </row>
    <row r="2" spans="1:12" x14ac:dyDescent="0.3">
      <c r="A2" s="8" t="s">
        <v>12</v>
      </c>
      <c r="B2" s="11">
        <v>9801.0511254081466</v>
      </c>
      <c r="C2" s="8" t="s">
        <v>15</v>
      </c>
      <c r="D2" s="14">
        <f>[1]TD1!$F$91</f>
        <v>0.34821444553596304</v>
      </c>
      <c r="E2" s="18" t="s">
        <v>26</v>
      </c>
      <c r="I2" s="8"/>
      <c r="L2" s="13">
        <f>D2/0.85</f>
        <v>0.40966405357172125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0.46093703030051858</v>
      </c>
      <c r="E4" s="14"/>
      <c r="F4" s="8"/>
      <c r="G4" s="8"/>
      <c r="H4" s="17">
        <f>((1-B4)*B2-(1-B5)*C5*A5)/(B5-B4)</f>
        <v>5014.7738785122892</v>
      </c>
      <c r="I4" s="18">
        <f>B5-B4</f>
        <v>0.63424465283963416</v>
      </c>
      <c r="L4" s="14"/>
    </row>
    <row r="5" spans="1:12" x14ac:dyDescent="0.3">
      <c r="A5" s="11">
        <v>9148.2423819273045</v>
      </c>
      <c r="B5" s="12">
        <v>0.63424465283963416</v>
      </c>
      <c r="C5" s="12">
        <v>1.9786075518127482</v>
      </c>
      <c r="D5" s="14">
        <f t="shared" ref="D5:D14" si="0">L5*D$2/L$2</f>
        <v>0.32017250661110686</v>
      </c>
      <c r="E5" s="14"/>
      <c r="F5" s="12"/>
      <c r="G5" s="12"/>
      <c r="H5" s="17">
        <f t="shared" ref="H5:H13" si="1">((1-B5)*C5*A5-(1-B6)*C6*A6)/(B6-B5)</f>
        <v>9819.3732258901528</v>
      </c>
      <c r="I5" s="18">
        <f t="shared" ref="I5:I13" si="2">B6-B5</f>
        <v>5.740798676342207E-2</v>
      </c>
      <c r="L5" s="14">
        <v>0.37667353718953756</v>
      </c>
    </row>
    <row r="6" spans="1:12" x14ac:dyDescent="0.3">
      <c r="A6" s="11">
        <v>10672.695370083829</v>
      </c>
      <c r="B6" s="12">
        <v>0.69165263960305623</v>
      </c>
      <c r="C6" s="12">
        <v>1.8404545445572951</v>
      </c>
      <c r="D6" s="14">
        <f t="shared" si="0"/>
        <v>0.23237850727789985</v>
      </c>
      <c r="E6" s="14"/>
      <c r="F6" s="12"/>
      <c r="G6" s="12"/>
      <c r="H6" s="17">
        <f t="shared" si="1"/>
        <v>11368.810071284295</v>
      </c>
      <c r="I6" s="18">
        <f t="shared" si="2"/>
        <v>5.1566302135338082E-2</v>
      </c>
      <c r="L6" s="14">
        <v>0.27338647915047043</v>
      </c>
    </row>
    <row r="7" spans="1:12" x14ac:dyDescent="0.3">
      <c r="A7" s="11">
        <v>12197.148358240354</v>
      </c>
      <c r="B7" s="12">
        <v>0.74321894173839431</v>
      </c>
      <c r="C7" s="12">
        <v>1.7466492633282771</v>
      </c>
      <c r="D7" s="14">
        <f t="shared" si="0"/>
        <v>0.15521421575969499</v>
      </c>
      <c r="E7" s="14"/>
      <c r="F7" s="12"/>
      <c r="G7" s="12"/>
      <c r="H7" s="17">
        <f t="shared" si="1"/>
        <v>12941.064490010724</v>
      </c>
      <c r="I7" s="18">
        <f t="shared" si="2"/>
        <v>4.8735747514137895E-2</v>
      </c>
      <c r="L7" s="14">
        <v>0.18260495971728824</v>
      </c>
    </row>
    <row r="8" spans="1:12" x14ac:dyDescent="0.3">
      <c r="A8" s="11">
        <v>13721.601346396879</v>
      </c>
      <c r="B8" s="12">
        <v>0.79195468925253221</v>
      </c>
      <c r="C8" s="12">
        <v>1.6953732771294341</v>
      </c>
      <c r="D8" s="14">
        <f t="shared" si="0"/>
        <v>0.12048419554136017</v>
      </c>
      <c r="E8" s="14"/>
      <c r="F8" s="12"/>
      <c r="G8" s="12"/>
      <c r="H8" s="17">
        <f t="shared" si="1"/>
        <v>14458.088325093195</v>
      </c>
      <c r="I8" s="18">
        <f t="shared" si="2"/>
        <v>4.0365537347603064E-2</v>
      </c>
      <c r="L8" s="14">
        <v>0.1417461124016002</v>
      </c>
    </row>
    <row r="9" spans="1:12" x14ac:dyDescent="0.3">
      <c r="A9" s="11">
        <v>15246.054334553404</v>
      </c>
      <c r="B9" s="12">
        <v>0.83232022660013527</v>
      </c>
      <c r="C9" s="12">
        <v>1.6648831351115614</v>
      </c>
      <c r="D9" s="14">
        <f t="shared" si="0"/>
        <v>9.1714070666248232E-2</v>
      </c>
      <c r="E9" s="14"/>
      <c r="F9" s="12"/>
      <c r="G9" s="12"/>
      <c r="H9" s="17">
        <f t="shared" si="1"/>
        <v>16965.118131766369</v>
      </c>
      <c r="I9" s="18">
        <f t="shared" si="2"/>
        <v>6.8343726241423375E-2</v>
      </c>
      <c r="L9" s="14">
        <v>0.10789890666617441</v>
      </c>
    </row>
    <row r="10" spans="1:12" x14ac:dyDescent="0.3">
      <c r="A10" s="11">
        <v>19057.186804944715</v>
      </c>
      <c r="B10" s="12">
        <v>0.90066395284155865</v>
      </c>
      <c r="C10" s="12">
        <v>1.6358330676708863</v>
      </c>
      <c r="D10" s="14">
        <f t="shared" si="0"/>
        <v>7.1530116986915818E-2</v>
      </c>
      <c r="E10" s="14"/>
      <c r="F10" s="12"/>
      <c r="G10" s="12"/>
      <c r="H10" s="17">
        <f t="shared" si="1"/>
        <v>20775.934156665444</v>
      </c>
      <c r="I10" s="18">
        <f t="shared" si="2"/>
        <v>3.759786222023187E-2</v>
      </c>
      <c r="L10" s="14">
        <v>8.4153078808136259E-2</v>
      </c>
    </row>
    <row r="11" spans="1:12" x14ac:dyDescent="0.3">
      <c r="A11" s="11">
        <v>22868.319275336027</v>
      </c>
      <c r="B11" s="12">
        <v>0.93826181506179052</v>
      </c>
      <c r="C11" s="12">
        <v>1.6401253881882005</v>
      </c>
      <c r="D11" s="14">
        <f t="shared" si="0"/>
        <v>6.6086149326490054E-2</v>
      </c>
      <c r="E11" s="14"/>
      <c r="F11" s="12"/>
      <c r="G11" s="12"/>
      <c r="H11" s="17">
        <f t="shared" si="1"/>
        <v>25997.317866078149</v>
      </c>
      <c r="I11" s="18">
        <f t="shared" si="2"/>
        <v>3.2858694711518033E-2</v>
      </c>
      <c r="L11" s="14">
        <v>7.7748410972341253E-2</v>
      </c>
    </row>
    <row r="12" spans="1:12" x14ac:dyDescent="0.3">
      <c r="A12" s="11">
        <v>30490.584216118652</v>
      </c>
      <c r="B12" s="12">
        <v>0.97112050977330855</v>
      </c>
      <c r="C12" s="12">
        <v>1.6596064749658799</v>
      </c>
      <c r="D12" s="14">
        <f t="shared" si="0"/>
        <v>6.6559937397088306E-2</v>
      </c>
      <c r="E12" s="14"/>
      <c r="F12" s="12"/>
      <c r="G12" s="12"/>
      <c r="H12" s="17">
        <f t="shared" si="1"/>
        <v>33781.296708533104</v>
      </c>
      <c r="I12" s="18">
        <f t="shared" si="2"/>
        <v>1.2481356946080879E-2</v>
      </c>
      <c r="L12" s="14">
        <v>7.8305808702456833E-2</v>
      </c>
    </row>
    <row r="13" spans="1:12" x14ac:dyDescent="0.3">
      <c r="A13" s="11">
        <v>38112.849156901277</v>
      </c>
      <c r="B13" s="12">
        <v>0.98360186671938943</v>
      </c>
      <c r="C13" s="12">
        <v>1.6636291634543696</v>
      </c>
      <c r="D13" s="14">
        <f t="shared" si="0"/>
        <v>6.6312183220384194E-2</v>
      </c>
      <c r="E13" s="14"/>
      <c r="F13" s="12"/>
      <c r="G13" s="12"/>
      <c r="H13" s="17">
        <f t="shared" si="1"/>
        <v>49933.548322677569</v>
      </c>
      <c r="I13" s="18">
        <f t="shared" si="2"/>
        <v>1.3577552941123505E-2</v>
      </c>
      <c r="L13" s="14">
        <v>7.8014333200451993E-2</v>
      </c>
    </row>
    <row r="14" spans="1:12" x14ac:dyDescent="0.3">
      <c r="A14" s="11">
        <v>76224.173860814393</v>
      </c>
      <c r="B14" s="12">
        <v>0.99717941966051293</v>
      </c>
      <c r="C14" s="12">
        <v>1.6826274758627873</v>
      </c>
      <c r="D14" s="14">
        <f t="shared" si="0"/>
        <v>7.6675131297974236E-2</v>
      </c>
      <c r="E14" s="14"/>
      <c r="F14" s="12"/>
      <c r="G14" s="12"/>
      <c r="H14" s="17">
        <f>C14*A14</f>
        <v>128256.88926314838</v>
      </c>
      <c r="I14" s="18">
        <f>1-B14</f>
        <v>2.8205803394870665E-3</v>
      </c>
      <c r="L14" s="16">
        <v>9.0206036821146182E-2</v>
      </c>
    </row>
    <row r="15" spans="1:12" x14ac:dyDescent="0.3">
      <c r="A15" s="13"/>
      <c r="B15" s="13"/>
      <c r="C15" s="13"/>
      <c r="D15" s="13"/>
      <c r="E15" s="13"/>
      <c r="G15" s="13"/>
      <c r="H15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F2" sqref="F2"/>
    </sheetView>
  </sheetViews>
  <sheetFormatPr baseColWidth="10" defaultRowHeight="15.6" x14ac:dyDescent="0.3"/>
  <cols>
    <col min="1" max="11" width="12.5" customWidth="1"/>
    <col min="12" max="12" width="11.296875" bestFit="1" customWidth="1"/>
  </cols>
  <sheetData>
    <row r="1" spans="1:12" x14ac:dyDescent="0.3">
      <c r="A1" s="8" t="s">
        <v>9</v>
      </c>
      <c r="B1" s="8">
        <v>1985</v>
      </c>
      <c r="C1" s="8" t="s">
        <v>24</v>
      </c>
      <c r="D1" s="10">
        <v>24988434</v>
      </c>
      <c r="E1" s="8" t="s">
        <v>30</v>
      </c>
      <c r="F1" s="21">
        <f>(SUMPRODUCT(D4:D16,H4:H16,I4:I16)/(D2*B2))/((1-SUMPRODUCT(D4:D16,H4:H16,I4:I16)/B2)/(1-D2))</f>
        <v>0.48467217622037778</v>
      </c>
      <c r="G1" s="19"/>
      <c r="H1" s="16"/>
    </row>
    <row r="2" spans="1:12" x14ac:dyDescent="0.3">
      <c r="A2" s="8" t="s">
        <v>12</v>
      </c>
      <c r="B2" s="11">
        <v>10326.336707449753</v>
      </c>
      <c r="C2" s="8" t="s">
        <v>15</v>
      </c>
      <c r="D2" s="14">
        <f>[1]TD1!$F$92</f>
        <v>0.35933850529087441</v>
      </c>
      <c r="E2" s="18" t="s">
        <v>26</v>
      </c>
      <c r="F2">
        <f>B2/(D2+2*(1-D2))</f>
        <v>6294.0080819538698</v>
      </c>
      <c r="I2" s="8"/>
      <c r="L2" s="62">
        <v>0.46790799295386015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0.56858221659750419</v>
      </c>
      <c r="E4" s="14"/>
      <c r="F4" s="8"/>
      <c r="G4" s="8"/>
      <c r="H4" s="17">
        <f>((1-B4)*B2-(1-B5)*C5*A5)/(B5-B4)</f>
        <v>3215.9572648768553</v>
      </c>
      <c r="I4" s="18">
        <f t="shared" ref="I4:I15" si="1">B5-B4</f>
        <v>0.37550980585658145</v>
      </c>
      <c r="L4" s="14">
        <v>0.7403719887520539</v>
      </c>
    </row>
    <row r="5" spans="1:12" x14ac:dyDescent="0.3">
      <c r="A5" s="11">
        <v>6099.3550019741724</v>
      </c>
      <c r="B5" s="12">
        <v>0.37550980585658145</v>
      </c>
      <c r="C5" s="12">
        <v>2.3939993198220644</v>
      </c>
      <c r="D5" s="14">
        <f t="shared" si="0"/>
        <v>0.43357488839552472</v>
      </c>
      <c r="E5" s="14"/>
      <c r="F5" s="12"/>
      <c r="G5" s="12"/>
      <c r="H5" s="17">
        <f t="shared" ref="H5:H15" si="2">((1-B5)*C5*A5-(1-B6)*C6*A6)/(B6-B5)</f>
        <v>6870.0225768171513</v>
      </c>
      <c r="I5" s="18">
        <f t="shared" si="1"/>
        <v>0.11455243653924052</v>
      </c>
      <c r="L5" s="14">
        <v>0.56457394027429308</v>
      </c>
    </row>
    <row r="6" spans="1:12" x14ac:dyDescent="0.3">
      <c r="A6" s="11">
        <v>7623.8126380586946</v>
      </c>
      <c r="B6" s="12">
        <v>0.49006224239582197</v>
      </c>
      <c r="C6" s="12">
        <v>2.1431180021005978</v>
      </c>
      <c r="D6" s="14">
        <f t="shared" si="0"/>
        <v>0.3584633445865239</v>
      </c>
      <c r="E6" s="14"/>
      <c r="F6" s="12"/>
      <c r="G6" s="12"/>
      <c r="H6" s="17">
        <f t="shared" si="2"/>
        <v>8355.5116229592695</v>
      </c>
      <c r="I6" s="18">
        <f t="shared" si="1"/>
        <v>9.7856432299839313E-2</v>
      </c>
      <c r="L6" s="14">
        <v>0.46676841374747013</v>
      </c>
    </row>
    <row r="7" spans="1:12" x14ac:dyDescent="0.3">
      <c r="A7" s="11">
        <v>9148.2702741432167</v>
      </c>
      <c r="B7" s="12">
        <v>0.58791867469566128</v>
      </c>
      <c r="C7" s="12">
        <v>1.9932177758715444</v>
      </c>
      <c r="D7" s="14">
        <f t="shared" si="0"/>
        <v>0.28797579709184101</v>
      </c>
      <c r="E7" s="14"/>
      <c r="F7" s="12"/>
      <c r="G7" s="12"/>
      <c r="H7" s="17">
        <f t="shared" si="2"/>
        <v>9864.8407986424463</v>
      </c>
      <c r="I7" s="18">
        <f t="shared" si="1"/>
        <v>7.2683986519523236E-2</v>
      </c>
      <c r="L7" s="14">
        <v>0.37498396429143643</v>
      </c>
    </row>
    <row r="8" spans="1:12" x14ac:dyDescent="0.3">
      <c r="A8" s="11">
        <v>10672.727910227739</v>
      </c>
      <c r="B8" s="12">
        <v>0.66060266121518452</v>
      </c>
      <c r="C8" s="12">
        <v>1.8764562345008913</v>
      </c>
      <c r="D8" s="14">
        <f t="shared" si="0"/>
        <v>0.20737455447065009</v>
      </c>
      <c r="E8" s="14"/>
      <c r="F8" s="12"/>
      <c r="G8" s="12"/>
      <c r="H8" s="17">
        <f t="shared" si="2"/>
        <v>11455.474490800512</v>
      </c>
      <c r="I8" s="18">
        <f t="shared" si="1"/>
        <v>5.6323337428828113E-2</v>
      </c>
      <c r="L8" s="14">
        <v>0.27003009736882494</v>
      </c>
    </row>
    <row r="9" spans="1:12" x14ac:dyDescent="0.3">
      <c r="A9" s="11">
        <v>12197.185546312261</v>
      </c>
      <c r="B9" s="12">
        <v>0.71692599864401263</v>
      </c>
      <c r="C9" s="12">
        <v>1.7817526646496304</v>
      </c>
      <c r="D9" s="14">
        <f t="shared" si="0"/>
        <v>0.16081297059666477</v>
      </c>
      <c r="E9" s="14"/>
      <c r="F9" s="12"/>
      <c r="G9" s="12"/>
      <c r="H9" s="17">
        <f t="shared" si="2"/>
        <v>12938.18876176392</v>
      </c>
      <c r="I9" s="18">
        <f t="shared" si="1"/>
        <v>5.1580943407658175E-2</v>
      </c>
      <c r="L9" s="14">
        <v>0.20940053238080977</v>
      </c>
    </row>
    <row r="10" spans="1:12" x14ac:dyDescent="0.3">
      <c r="A10" s="11">
        <v>13721.643182396783</v>
      </c>
      <c r="B10" s="12">
        <v>0.7685069420516708</v>
      </c>
      <c r="C10" s="12">
        <v>1.7266061804861004</v>
      </c>
      <c r="D10" s="14">
        <f t="shared" si="0"/>
        <v>0.12703253977763132</v>
      </c>
      <c r="E10" s="14"/>
      <c r="F10" s="12"/>
      <c r="G10" s="12"/>
      <c r="H10" s="17">
        <f t="shared" si="2"/>
        <v>14460.419381867849</v>
      </c>
      <c r="I10" s="18">
        <f t="shared" si="1"/>
        <v>4.2651972508561342E-2</v>
      </c>
      <c r="L10" s="14">
        <v>0.1654137807443381</v>
      </c>
    </row>
    <row r="11" spans="1:12" x14ac:dyDescent="0.3">
      <c r="A11" s="11">
        <v>15246.100818481305</v>
      </c>
      <c r="B11" s="12">
        <v>0.81115891456023215</v>
      </c>
      <c r="C11" s="12">
        <v>1.6907212172055572</v>
      </c>
      <c r="D11" s="14">
        <f t="shared" si="0"/>
        <v>9.5683028244268151E-2</v>
      </c>
      <c r="E11" s="14"/>
      <c r="F11" s="12"/>
      <c r="G11" s="12"/>
      <c r="H11" s="17">
        <f t="shared" si="2"/>
        <v>16974.975901636448</v>
      </c>
      <c r="I11" s="18">
        <f t="shared" si="1"/>
        <v>7.4117769845041148E-2</v>
      </c>
      <c r="L11" s="14">
        <v>0.12459241925460306</v>
      </c>
    </row>
    <row r="12" spans="1:12" x14ac:dyDescent="0.3">
      <c r="A12" s="11">
        <v>19057.24490869261</v>
      </c>
      <c r="B12" s="12">
        <v>0.8852766844052733</v>
      </c>
      <c r="C12" s="12">
        <v>1.6509969056791625</v>
      </c>
      <c r="D12" s="14">
        <f t="shared" si="0"/>
        <v>7.2184901582308933E-2</v>
      </c>
      <c r="E12" s="14"/>
      <c r="F12" s="12"/>
      <c r="G12" s="12"/>
      <c r="H12" s="17">
        <f t="shared" si="2"/>
        <v>20783.310223347638</v>
      </c>
      <c r="I12" s="18">
        <f t="shared" si="1"/>
        <v>4.2265793846865241E-2</v>
      </c>
      <c r="L12" s="14">
        <v>9.3994637155874694E-2</v>
      </c>
    </row>
    <row r="13" spans="1:12" x14ac:dyDescent="0.3">
      <c r="A13" s="11">
        <v>22868.388998903916</v>
      </c>
      <c r="B13" s="12">
        <v>0.92754247825213854</v>
      </c>
      <c r="C13" s="12">
        <v>1.6482741337035058</v>
      </c>
      <c r="D13" s="14">
        <f t="shared" si="0"/>
        <v>6.3572845735253444E-2</v>
      </c>
      <c r="E13" s="14"/>
      <c r="F13" s="12"/>
      <c r="G13" s="12"/>
      <c r="H13" s="17">
        <f t="shared" si="2"/>
        <v>26011.634660729422</v>
      </c>
      <c r="I13" s="18">
        <f t="shared" si="1"/>
        <v>3.8406008155613125E-2</v>
      </c>
      <c r="L13" s="14">
        <v>8.2780559879796517E-2</v>
      </c>
    </row>
    <row r="14" spans="1:12" x14ac:dyDescent="0.3">
      <c r="A14" s="11">
        <v>30490.677179326525</v>
      </c>
      <c r="B14" s="12">
        <v>0.96594848640775166</v>
      </c>
      <c r="C14" s="12">
        <v>1.6683450337950916</v>
      </c>
      <c r="D14" s="14">
        <f t="shared" si="0"/>
        <v>6.3387448927745393E-2</v>
      </c>
      <c r="E14" s="14"/>
      <c r="F14" s="12"/>
      <c r="G14" s="12"/>
      <c r="H14" s="17">
        <f t="shared" si="2"/>
        <v>33785.140710118547</v>
      </c>
      <c r="I14" s="18">
        <f t="shared" si="1"/>
        <v>1.4730494916168069E-2</v>
      </c>
      <c r="L14" s="14">
        <v>8.2539147821740211E-2</v>
      </c>
    </row>
    <row r="15" spans="1:12" x14ac:dyDescent="0.3">
      <c r="A15" s="11">
        <v>38112.965359749134</v>
      </c>
      <c r="B15" s="12">
        <v>0.98067898132391973</v>
      </c>
      <c r="C15" s="12">
        <v>1.6764325068523185</v>
      </c>
      <c r="D15" s="14">
        <f t="shared" si="0"/>
        <v>6.2718429048412891E-2</v>
      </c>
      <c r="E15" s="14"/>
      <c r="F15" s="12"/>
      <c r="G15" s="12"/>
      <c r="H15" s="17">
        <f t="shared" si="2"/>
        <v>50001.575719632689</v>
      </c>
      <c r="I15" s="18">
        <f t="shared" si="1"/>
        <v>1.5899995974137493E-2</v>
      </c>
      <c r="L15" s="14">
        <v>8.166799222784886E-2</v>
      </c>
    </row>
    <row r="16" spans="1:12" x14ac:dyDescent="0.3">
      <c r="A16" s="11">
        <v>76224.406261862183</v>
      </c>
      <c r="B16" s="12">
        <v>0.99657897729805722</v>
      </c>
      <c r="C16" s="12">
        <v>1.6853028861796018</v>
      </c>
      <c r="D16" s="14">
        <f t="shared" si="0"/>
        <v>7.1814549513425904E-2</v>
      </c>
      <c r="E16" s="16"/>
      <c r="F16" s="12"/>
      <c r="G16" s="12"/>
      <c r="H16" s="17">
        <f>C16*A16</f>
        <v>128461.21187044284</v>
      </c>
      <c r="I16" s="18">
        <f>1-B16</f>
        <v>3.4210227019427775E-3</v>
      </c>
      <c r="L16" s="16">
        <v>9.3512387993355636E-2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F3" sqref="F3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1986</v>
      </c>
      <c r="C1" s="8" t="s">
        <v>24</v>
      </c>
      <c r="D1" s="10">
        <v>25534326</v>
      </c>
      <c r="E1" s="8" t="s">
        <v>30</v>
      </c>
      <c r="F1" s="21">
        <f>(SUMPRODUCT(D4:D16,H4:H16,I4:I16)/(D2*B2))/((1-SUMPRODUCT(D4:D16,H4:H16,I4:I16)/B2)/(1-D2))</f>
        <v>0.4790335794933947</v>
      </c>
      <c r="G1" s="19"/>
      <c r="H1" s="16"/>
    </row>
    <row r="2" spans="1:12" x14ac:dyDescent="0.3">
      <c r="A2" s="8" t="s">
        <v>12</v>
      </c>
      <c r="B2" s="11">
        <v>10716.062917773896</v>
      </c>
      <c r="C2" s="8" t="s">
        <v>15</v>
      </c>
      <c r="D2" s="14">
        <f>[1]TD1!$F$93</f>
        <v>0.37932658503068284</v>
      </c>
      <c r="E2" s="18" t="s">
        <v>26</v>
      </c>
      <c r="I2" s="8"/>
      <c r="L2" s="14">
        <v>0.4764695962603438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0.59797529395405724</v>
      </c>
      <c r="E4" s="14"/>
      <c r="F4" s="8"/>
      <c r="G4" s="8"/>
      <c r="H4" s="17">
        <f>((1-B4)*B2-(1-B5)*C5*A5)/(B5-B4)</f>
        <v>3225.4534428826801</v>
      </c>
      <c r="I4" s="18">
        <f t="shared" ref="I4:I15" si="1">B5-B4</f>
        <v>0.3652492335219657</v>
      </c>
      <c r="L4" s="14">
        <v>0.75111278283040395</v>
      </c>
    </row>
    <row r="5" spans="1:12" x14ac:dyDescent="0.3">
      <c r="A5" s="11">
        <v>6099.3550019741724</v>
      </c>
      <c r="B5" s="12">
        <v>0.3652492335219657</v>
      </c>
      <c r="C5" s="12">
        <v>2.4635917401070975</v>
      </c>
      <c r="D5" s="14">
        <f t="shared" si="0"/>
        <v>0.46431717737962708</v>
      </c>
      <c r="E5" s="14"/>
      <c r="F5" s="12"/>
      <c r="G5" s="12"/>
      <c r="H5" s="17">
        <f t="shared" ref="H5:H15" si="2">((1-B5)*C5*A5-(1-B6)*C6*A6)/(B6-B5)</f>
        <v>6885.8070110282742</v>
      </c>
      <c r="I5" s="18">
        <f t="shared" si="1"/>
        <v>0.10877565360448516</v>
      </c>
      <c r="L5" s="14">
        <v>0.58322571307497029</v>
      </c>
    </row>
    <row r="6" spans="1:12" x14ac:dyDescent="0.3">
      <c r="A6" s="11">
        <v>7623.8126380586946</v>
      </c>
      <c r="B6" s="12">
        <v>0.47402488712645086</v>
      </c>
      <c r="C6" s="12">
        <v>2.1917958269657927</v>
      </c>
      <c r="D6" s="14">
        <f t="shared" si="0"/>
        <v>0.39195305481522802</v>
      </c>
      <c r="E6" s="14"/>
      <c r="F6" s="12"/>
      <c r="G6" s="12"/>
      <c r="H6" s="17">
        <f t="shared" si="2"/>
        <v>8357.801067012022</v>
      </c>
      <c r="I6" s="18">
        <f t="shared" si="1"/>
        <v>9.8446342386323438E-2</v>
      </c>
      <c r="L6" s="14">
        <v>0.49232962083507542</v>
      </c>
    </row>
    <row r="7" spans="1:12" x14ac:dyDescent="0.3">
      <c r="A7" s="11">
        <v>9148.2702741432167</v>
      </c>
      <c r="B7" s="12">
        <v>0.57247122951277429</v>
      </c>
      <c r="C7" s="12">
        <v>2.0367840603972946</v>
      </c>
      <c r="D7" s="14">
        <f t="shared" si="0"/>
        <v>0.32160837563717465</v>
      </c>
      <c r="E7" s="14"/>
      <c r="F7" s="12"/>
      <c r="G7" s="12"/>
      <c r="H7" s="17">
        <f t="shared" si="2"/>
        <v>9867.8672055295356</v>
      </c>
      <c r="I7" s="18">
        <f t="shared" si="1"/>
        <v>7.5377709206031152E-2</v>
      </c>
      <c r="L7" s="14">
        <v>0.40397013797858283</v>
      </c>
    </row>
    <row r="8" spans="1:12" x14ac:dyDescent="0.3">
      <c r="A8" s="11">
        <v>10672.727910227739</v>
      </c>
      <c r="B8" s="12">
        <v>0.64784893871880544</v>
      </c>
      <c r="C8" s="12">
        <v>1.9216486396393608</v>
      </c>
      <c r="D8" s="14">
        <f t="shared" si="0"/>
        <v>0.24390045105529193</v>
      </c>
      <c r="E8" s="14"/>
      <c r="F8" s="12"/>
      <c r="G8" s="12"/>
      <c r="H8" s="17">
        <f t="shared" si="2"/>
        <v>11442.395226176046</v>
      </c>
      <c r="I8" s="18">
        <f t="shared" si="1"/>
        <v>5.5476851043571695E-2</v>
      </c>
      <c r="L8" s="14">
        <v>0.30636173162666847</v>
      </c>
    </row>
    <row r="9" spans="1:12" x14ac:dyDescent="0.3">
      <c r="A9" s="11">
        <v>12197.185546312261</v>
      </c>
      <c r="B9" s="12">
        <v>0.70332578976237714</v>
      </c>
      <c r="C9" s="12">
        <v>1.8204768785065257</v>
      </c>
      <c r="D9" s="14">
        <f t="shared" si="0"/>
        <v>0.18763591554806219</v>
      </c>
      <c r="E9" s="14"/>
      <c r="F9" s="12"/>
      <c r="G9" s="12"/>
      <c r="H9" s="17">
        <f t="shared" si="2"/>
        <v>12938.240251722984</v>
      </c>
      <c r="I9" s="18">
        <f t="shared" si="1"/>
        <v>5.1702519972526395E-2</v>
      </c>
      <c r="L9" s="14">
        <v>0.23568822342861515</v>
      </c>
    </row>
    <row r="10" spans="1:12" x14ac:dyDescent="0.3">
      <c r="A10" s="11">
        <v>13721.643182396783</v>
      </c>
      <c r="B10" s="12">
        <v>0.75502830973490354</v>
      </c>
      <c r="C10" s="12">
        <v>1.7607531513318038</v>
      </c>
      <c r="D10" s="14">
        <f t="shared" si="0"/>
        <v>0.14856151811370991</v>
      </c>
      <c r="E10" s="14"/>
      <c r="F10" s="12"/>
      <c r="G10" s="12"/>
      <c r="H10" s="17">
        <f t="shared" si="2"/>
        <v>14460.365386793439</v>
      </c>
      <c r="I10" s="18">
        <f t="shared" si="1"/>
        <v>4.3171219792525584E-2</v>
      </c>
      <c r="L10" s="14">
        <v>0.18660713313762986</v>
      </c>
    </row>
    <row r="11" spans="1:12" x14ac:dyDescent="0.3">
      <c r="A11" s="11">
        <v>15246.100818481305</v>
      </c>
      <c r="B11" s="12">
        <v>0.79819952952742912</v>
      </c>
      <c r="C11" s="12">
        <v>1.720804750392372</v>
      </c>
      <c r="D11" s="14">
        <f t="shared" si="0"/>
        <v>0.11181139969127854</v>
      </c>
      <c r="E11" s="14"/>
      <c r="F11" s="12"/>
      <c r="G11" s="12"/>
      <c r="H11" s="17">
        <f t="shared" si="2"/>
        <v>16984.06543716431</v>
      </c>
      <c r="I11" s="18">
        <f t="shared" si="1"/>
        <v>7.6757107275907677E-2</v>
      </c>
      <c r="L11" s="14">
        <v>0.14044555422841809</v>
      </c>
    </row>
    <row r="12" spans="1:12" x14ac:dyDescent="0.3">
      <c r="A12" s="11">
        <v>19057.24490869261</v>
      </c>
      <c r="B12" s="12">
        <v>0.8749566368033368</v>
      </c>
      <c r="C12" s="12">
        <v>1.674666938967168</v>
      </c>
      <c r="D12" s="14">
        <f t="shared" si="0"/>
        <v>8.2715784018610392E-2</v>
      </c>
      <c r="E12" s="14"/>
      <c r="F12" s="12"/>
      <c r="G12" s="12"/>
      <c r="H12" s="17">
        <f t="shared" si="2"/>
        <v>20794.305012434274</v>
      </c>
      <c r="I12" s="18">
        <f t="shared" si="1"/>
        <v>4.4866075572153385E-2</v>
      </c>
      <c r="L12" s="14">
        <v>0.1038987452264048</v>
      </c>
    </row>
    <row r="13" spans="1:12" x14ac:dyDescent="0.3">
      <c r="A13" s="11">
        <v>22868.388998903916</v>
      </c>
      <c r="B13" s="12">
        <v>0.91982271237549018</v>
      </c>
      <c r="C13" s="12">
        <v>1.6676847247302646</v>
      </c>
      <c r="D13" s="14">
        <f t="shared" si="0"/>
        <v>7.1177365867671233E-2</v>
      </c>
      <c r="E13" s="14"/>
      <c r="F13" s="12"/>
      <c r="G13" s="12"/>
      <c r="H13" s="17">
        <f t="shared" si="2"/>
        <v>26037.362678491001</v>
      </c>
      <c r="I13" s="18">
        <f t="shared" si="1"/>
        <v>4.2100269261072354E-2</v>
      </c>
      <c r="L13" s="14">
        <v>8.9405415059692905E-2</v>
      </c>
    </row>
    <row r="14" spans="1:12" x14ac:dyDescent="0.3">
      <c r="A14" s="11">
        <v>30490.677179326525</v>
      </c>
      <c r="B14" s="12">
        <v>0.96192298163656254</v>
      </c>
      <c r="C14" s="12">
        <v>1.6895541231623241</v>
      </c>
      <c r="D14" s="14">
        <f t="shared" si="0"/>
        <v>6.8850966130569777E-2</v>
      </c>
      <c r="E14" s="14"/>
      <c r="F14" s="12"/>
      <c r="G14" s="12"/>
      <c r="H14" s="17">
        <f t="shared" si="2"/>
        <v>33788.215159039566</v>
      </c>
      <c r="I14" s="18">
        <f t="shared" si="1"/>
        <v>1.6366047805608797E-2</v>
      </c>
      <c r="L14" s="14">
        <v>8.6483239849149074E-2</v>
      </c>
    </row>
    <row r="15" spans="1:12" x14ac:dyDescent="0.3">
      <c r="A15" s="11">
        <v>38112.965359749134</v>
      </c>
      <c r="B15" s="12">
        <v>0.97828902944217133</v>
      </c>
      <c r="C15" s="12">
        <v>1.7022776485684654</v>
      </c>
      <c r="D15" s="14">
        <f t="shared" si="0"/>
        <v>6.8470617236779094E-2</v>
      </c>
      <c r="E15" s="14"/>
      <c r="F15" s="12"/>
      <c r="G15" s="12"/>
      <c r="H15" s="17">
        <f t="shared" si="2"/>
        <v>50033.30071248101</v>
      </c>
      <c r="I15" s="18">
        <f t="shared" si="1"/>
        <v>1.7717835982825614E-2</v>
      </c>
      <c r="L15" s="14">
        <v>8.6005486137666246E-2</v>
      </c>
    </row>
    <row r="16" spans="1:12" x14ac:dyDescent="0.3">
      <c r="A16" s="11">
        <v>76224.406261862183</v>
      </c>
      <c r="B16" s="12">
        <v>0.99600686542499695</v>
      </c>
      <c r="C16" s="12">
        <v>1.7153253252386551</v>
      </c>
      <c r="D16" s="14">
        <f t="shared" si="0"/>
        <v>7.6643316986299587E-2</v>
      </c>
      <c r="E16" s="16"/>
      <c r="F16" s="12"/>
      <c r="G16" s="12"/>
      <c r="H16" s="17">
        <f>C16*A16</f>
        <v>130749.65446225213</v>
      </c>
      <c r="I16" s="18">
        <f>1-B16</f>
        <v>3.9931345750030545E-3</v>
      </c>
      <c r="L16" s="16">
        <v>9.6271159843863405E-2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F3" sqref="F3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1987</v>
      </c>
      <c r="C1" s="8" t="s">
        <v>24</v>
      </c>
      <c r="D1" s="10">
        <v>26341302</v>
      </c>
      <c r="E1" s="8" t="s">
        <v>30</v>
      </c>
      <c r="F1" s="21">
        <f>(SUMPRODUCT(D4:D16,H4:H16,I4:I16)/(D2*B2))/((1-SUMPRODUCT(D4:D16,H4:H16,I4:I16)/B2)/(1-D2))</f>
        <v>0.46574607253407085</v>
      </c>
      <c r="G1" s="19"/>
      <c r="H1" s="16"/>
    </row>
    <row r="2" spans="1:12" x14ac:dyDescent="0.3">
      <c r="A2" s="8" t="s">
        <v>12</v>
      </c>
      <c r="B2" s="11">
        <v>10927.89677077448</v>
      </c>
      <c r="C2" s="8" t="s">
        <v>15</v>
      </c>
      <c r="D2" s="14">
        <f>[1]TD1!$F$94</f>
        <v>0.414179474356827</v>
      </c>
      <c r="E2" s="18" t="s">
        <v>26</v>
      </c>
      <c r="I2" s="8"/>
      <c r="L2" s="14">
        <v>0.48424341363232537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0.64767798312436475</v>
      </c>
      <c r="E4" s="14"/>
      <c r="F4" s="8"/>
      <c r="G4" s="8"/>
      <c r="H4" s="17">
        <f>((1-B4)*B2-(1-B5)*C5*A5)/(B5-B4)</f>
        <v>3209.6838133762249</v>
      </c>
      <c r="I4" s="18">
        <f t="shared" ref="I4:I15" si="1">B5-B4</f>
        <v>0.36237669648979387</v>
      </c>
      <c r="L4" s="14">
        <v>0.75724128524157108</v>
      </c>
    </row>
    <row r="5" spans="1:12" x14ac:dyDescent="0.3">
      <c r="A5" s="11">
        <v>6099.3550019741724</v>
      </c>
      <c r="B5" s="12">
        <v>0.36237669648979387</v>
      </c>
      <c r="C5" s="12">
        <v>2.5108135656487329</v>
      </c>
      <c r="D5" s="14">
        <f t="shared" si="0"/>
        <v>0.51412865401648644</v>
      </c>
      <c r="E5" s="14"/>
      <c r="F5" s="12"/>
      <c r="G5" s="12"/>
      <c r="H5" s="17">
        <f t="shared" ref="H5:H15" si="2">((1-B5)*C5*A5-(1-B6)*C6*A6)/(B6-B5)</f>
        <v>6885.4627862963434</v>
      </c>
      <c r="I5" s="18">
        <f t="shared" si="1"/>
        <v>0.10509989217693183</v>
      </c>
      <c r="L5" s="14">
        <v>0.60110031974362721</v>
      </c>
    </row>
    <row r="6" spans="1:12" x14ac:dyDescent="0.3">
      <c r="A6" s="11">
        <v>7623.8126380586946</v>
      </c>
      <c r="B6" s="12">
        <v>0.4674765886667257</v>
      </c>
      <c r="C6" s="12">
        <v>2.2269545310705512</v>
      </c>
      <c r="D6" s="14">
        <f t="shared" si="0"/>
        <v>0.43489900777785756</v>
      </c>
      <c r="E6" s="14"/>
      <c r="F6" s="12"/>
      <c r="G6" s="12"/>
      <c r="H6" s="17">
        <f t="shared" si="2"/>
        <v>8358.4327752859172</v>
      </c>
      <c r="I6" s="18">
        <f t="shared" si="1"/>
        <v>9.8560314140888061E-2</v>
      </c>
      <c r="L6" s="14">
        <v>0.50846793033067084</v>
      </c>
    </row>
    <row r="7" spans="1:12" x14ac:dyDescent="0.3">
      <c r="A7" s="11">
        <v>9148.2702741432167</v>
      </c>
      <c r="B7" s="12">
        <v>0.56603690280761376</v>
      </c>
      <c r="C7" s="12">
        <v>2.0698455354255483</v>
      </c>
      <c r="D7" s="14">
        <f t="shared" si="0"/>
        <v>0.35419004624954309</v>
      </c>
      <c r="E7" s="14"/>
      <c r="F7" s="12"/>
      <c r="G7" s="12"/>
      <c r="H7" s="17">
        <f t="shared" si="2"/>
        <v>9877.4956117259335</v>
      </c>
      <c r="I7" s="18">
        <f t="shared" si="1"/>
        <v>7.6943804827870554E-2</v>
      </c>
      <c r="L7" s="14">
        <v>0.4141059798697454</v>
      </c>
    </row>
    <row r="8" spans="1:12" x14ac:dyDescent="0.3">
      <c r="A8" s="11">
        <v>10672.727910227739</v>
      </c>
      <c r="B8" s="12">
        <v>0.64298070763548432</v>
      </c>
      <c r="C8" s="12">
        <v>1.9571063598638585</v>
      </c>
      <c r="D8" s="14">
        <f t="shared" si="0"/>
        <v>0.28637076250756094</v>
      </c>
      <c r="E8" s="14"/>
      <c r="F8" s="12"/>
      <c r="G8" s="12"/>
      <c r="H8" s="17">
        <f t="shared" si="2"/>
        <v>11412.662405961153</v>
      </c>
      <c r="I8" s="18">
        <f t="shared" si="1"/>
        <v>5.3981652083864406E-2</v>
      </c>
      <c r="L8" s="14">
        <v>0.33481416677274189</v>
      </c>
    </row>
    <row r="9" spans="1:12" x14ac:dyDescent="0.3">
      <c r="A9" s="11">
        <v>12197.185546312261</v>
      </c>
      <c r="B9" s="12">
        <v>0.69696235971934872</v>
      </c>
      <c r="C9" s="12">
        <v>1.8508773396050495</v>
      </c>
      <c r="D9" s="14">
        <f t="shared" si="0"/>
        <v>0.21708511056458699</v>
      </c>
      <c r="E9" s="14"/>
      <c r="F9" s="12"/>
      <c r="G9" s="12"/>
      <c r="H9" s="17">
        <f t="shared" si="2"/>
        <v>12938.414470031772</v>
      </c>
      <c r="I9" s="18">
        <f t="shared" si="1"/>
        <v>5.1729295689332266E-2</v>
      </c>
      <c r="L9" s="14">
        <v>0.2538079298878555</v>
      </c>
    </row>
    <row r="10" spans="1:12" x14ac:dyDescent="0.3">
      <c r="A10" s="11">
        <v>13721.643182396783</v>
      </c>
      <c r="B10" s="12">
        <v>0.74869165540868099</v>
      </c>
      <c r="C10" s="12">
        <v>1.7898140909303037</v>
      </c>
      <c r="D10" s="14">
        <f t="shared" si="0"/>
        <v>0.17211424864528549</v>
      </c>
      <c r="E10" s="14"/>
      <c r="F10" s="12"/>
      <c r="G10" s="12"/>
      <c r="H10" s="17">
        <f t="shared" si="2"/>
        <v>14460.894649864764</v>
      </c>
      <c r="I10" s="18">
        <f t="shared" si="1"/>
        <v>4.3308831127633729E-2</v>
      </c>
      <c r="L10" s="14">
        <v>0.20122965153737121</v>
      </c>
    </row>
    <row r="11" spans="1:12" x14ac:dyDescent="0.3">
      <c r="A11" s="11">
        <v>15246.100818481305</v>
      </c>
      <c r="B11" s="12">
        <v>0.79200048653631472</v>
      </c>
      <c r="C11" s="12">
        <v>1.7487630169933641</v>
      </c>
      <c r="D11" s="14">
        <f t="shared" si="0"/>
        <v>0.1293779260436142</v>
      </c>
      <c r="E11" s="14"/>
      <c r="F11" s="12"/>
      <c r="G11" s="12"/>
      <c r="H11" s="17">
        <f t="shared" si="2"/>
        <v>16988.353365112456</v>
      </c>
      <c r="I11" s="18">
        <f t="shared" si="1"/>
        <v>7.7645098940059998E-2</v>
      </c>
      <c r="L11" s="14">
        <v>0.1512639144016471</v>
      </c>
    </row>
    <row r="12" spans="1:12" x14ac:dyDescent="0.3">
      <c r="A12" s="11">
        <v>19057.24490869261</v>
      </c>
      <c r="B12" s="12">
        <v>0.86964558547637472</v>
      </c>
      <c r="C12" s="12">
        <v>1.7013885526711177</v>
      </c>
      <c r="D12" s="14">
        <f t="shared" si="0"/>
        <v>9.5926337538707745E-2</v>
      </c>
      <c r="E12" s="14"/>
      <c r="F12" s="12"/>
      <c r="G12" s="12"/>
      <c r="H12" s="17">
        <f t="shared" si="2"/>
        <v>20798.992896113301</v>
      </c>
      <c r="I12" s="18">
        <f t="shared" si="1"/>
        <v>4.595923162795823E-2</v>
      </c>
      <c r="L12" s="14">
        <v>0.11215354700791161</v>
      </c>
    </row>
    <row r="13" spans="1:12" x14ac:dyDescent="0.3">
      <c r="A13" s="11">
        <v>22868.388998903916</v>
      </c>
      <c r="B13" s="12">
        <v>0.91560481710433295</v>
      </c>
      <c r="C13" s="12">
        <v>1.694667165743603</v>
      </c>
      <c r="D13" s="14">
        <f t="shared" si="0"/>
        <v>8.106992610587202E-2</v>
      </c>
      <c r="E13" s="14"/>
      <c r="F13" s="12"/>
      <c r="G13" s="12"/>
      <c r="H13" s="17">
        <f t="shared" si="2"/>
        <v>26049.940964144163</v>
      </c>
      <c r="I13" s="18">
        <f t="shared" si="1"/>
        <v>4.3789217404667458E-2</v>
      </c>
      <c r="L13" s="14">
        <v>9.4783976973726994E-2</v>
      </c>
    </row>
    <row r="14" spans="1:12" x14ac:dyDescent="0.3">
      <c r="A14" s="11">
        <v>30490.677179326525</v>
      </c>
      <c r="B14" s="12">
        <v>0.9593940345090004</v>
      </c>
      <c r="C14" s="12">
        <v>1.7203493715268932</v>
      </c>
      <c r="D14" s="14">
        <f t="shared" si="0"/>
        <v>7.7854235971979047E-2</v>
      </c>
      <c r="E14" s="14"/>
      <c r="F14" s="12"/>
      <c r="G14" s="12"/>
      <c r="H14" s="17">
        <f t="shared" si="2"/>
        <v>33793.020220036771</v>
      </c>
      <c r="I14" s="18">
        <f t="shared" si="1"/>
        <v>1.7372907383241709E-2</v>
      </c>
      <c r="L14" s="14">
        <v>9.1024310297732863E-2</v>
      </c>
    </row>
    <row r="15" spans="1:12" x14ac:dyDescent="0.3">
      <c r="A15" s="11">
        <v>38112.965359749134</v>
      </c>
      <c r="B15" s="12">
        <v>0.97676694189224211</v>
      </c>
      <c r="C15" s="12">
        <v>1.7424290587695368</v>
      </c>
      <c r="D15" s="14">
        <f t="shared" si="0"/>
        <v>7.6760837174334351E-2</v>
      </c>
      <c r="E15" s="14"/>
      <c r="F15" s="12"/>
      <c r="G15" s="12"/>
      <c r="H15" s="17">
        <f t="shared" si="2"/>
        <v>49989.092474251513</v>
      </c>
      <c r="I15" s="18">
        <f t="shared" si="1"/>
        <v>1.8776027092358594E-2</v>
      </c>
      <c r="L15" s="14">
        <v>8.9745948623593516E-2</v>
      </c>
    </row>
    <row r="16" spans="1:12" x14ac:dyDescent="0.3">
      <c r="A16" s="11">
        <v>76224.406261862183</v>
      </c>
      <c r="B16" s="12">
        <v>0.99554296898460071</v>
      </c>
      <c r="C16" s="12">
        <v>1.7787146714733246</v>
      </c>
      <c r="D16" s="14">
        <f t="shared" si="0"/>
        <v>8.6184010757427501E-2</v>
      </c>
      <c r="E16" s="16"/>
      <c r="F16" s="12"/>
      <c r="G16" s="12"/>
      <c r="H16" s="17">
        <f>C16*A16</f>
        <v>135581.46974231742</v>
      </c>
      <c r="I16" s="18">
        <f>1-B16</f>
        <v>4.4570310153992931E-3</v>
      </c>
      <c r="L16" s="16">
        <v>0.10076317672310994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B2" sqref="B2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1988</v>
      </c>
      <c r="C1" s="8" t="s">
        <v>24</v>
      </c>
      <c r="D1" s="10">
        <v>26791368</v>
      </c>
      <c r="E1" s="8" t="s">
        <v>30</v>
      </c>
      <c r="F1" s="21">
        <f>(SUMPRODUCT(D4:D16,H4:H16,I4:I16)/(D2*B2))/((1-SUMPRODUCT(D4:D16,H4:H16,I4:I16)/B2)/(1-D2))</f>
        <v>0.45829259068439682</v>
      </c>
      <c r="G1" s="19"/>
      <c r="H1" s="16"/>
    </row>
    <row r="2" spans="1:12" x14ac:dyDescent="0.3">
      <c r="A2" s="8" t="s">
        <v>12</v>
      </c>
      <c r="B2" s="11">
        <v>11473.731080368883</v>
      </c>
      <c r="C2" s="8" t="s">
        <v>15</v>
      </c>
      <c r="D2" s="14">
        <f>[1]TD1!$F$95</f>
        <v>0.42621654951867183</v>
      </c>
      <c r="E2" s="18" t="s">
        <v>26</v>
      </c>
      <c r="I2" s="8"/>
      <c r="L2" s="14">
        <v>0.49227023420379279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0.66249420144895743</v>
      </c>
      <c r="E4" s="14"/>
      <c r="F4" s="8"/>
      <c r="G4" s="8"/>
      <c r="H4" s="17">
        <f>((1-B4)*B2-(1-B5)*C5*A5)/(B5-B4)</f>
        <v>3191.0774767738885</v>
      </c>
      <c r="I4" s="18">
        <f t="shared" ref="I4:I15" si="1">B5-B4</f>
        <v>0.35222049878154782</v>
      </c>
      <c r="L4" s="14">
        <v>0.76516544482899274</v>
      </c>
    </row>
    <row r="5" spans="1:12" x14ac:dyDescent="0.3">
      <c r="A5" s="11">
        <v>6099.3550019741724</v>
      </c>
      <c r="B5" s="12">
        <v>0.35222049878154782</v>
      </c>
      <c r="C5" s="12">
        <v>2.6195066790500374</v>
      </c>
      <c r="D5" s="14">
        <f t="shared" si="0"/>
        <v>0.5435740228779119</v>
      </c>
      <c r="E5" s="14"/>
      <c r="F5" s="12"/>
      <c r="G5" s="12"/>
      <c r="H5" s="17">
        <f t="shared" ref="H5:H15" si="2">((1-B5)*C5*A5-(1-B6)*C6*A6)/(B6-B5)</f>
        <v>6879.5766248118098</v>
      </c>
      <c r="I5" s="18">
        <f t="shared" si="1"/>
        <v>0.10081097762533064</v>
      </c>
      <c r="L5" s="14">
        <v>0.62781539536977793</v>
      </c>
    </row>
    <row r="6" spans="1:12" x14ac:dyDescent="0.3">
      <c r="A6" s="11">
        <v>7623.8126380586946</v>
      </c>
      <c r="B6" s="12">
        <v>0.45303147640687846</v>
      </c>
      <c r="C6" s="12">
        <v>2.3156510341745111</v>
      </c>
      <c r="D6" s="14">
        <f t="shared" si="0"/>
        <v>0.4613202596291619</v>
      </c>
      <c r="E6" s="14"/>
      <c r="F6" s="12"/>
      <c r="G6" s="12"/>
      <c r="H6" s="17">
        <f t="shared" si="2"/>
        <v>8361.8156624126768</v>
      </c>
      <c r="I6" s="18">
        <f t="shared" si="1"/>
        <v>9.8580147157845799E-2</v>
      </c>
      <c r="L6" s="14">
        <v>0.53281420561228909</v>
      </c>
    </row>
    <row r="7" spans="1:12" x14ac:dyDescent="0.3">
      <c r="A7" s="11">
        <v>9148.2702741432167</v>
      </c>
      <c r="B7" s="12">
        <v>0.55161162356472426</v>
      </c>
      <c r="C7" s="12">
        <v>2.1530886311029276</v>
      </c>
      <c r="D7" s="14">
        <f t="shared" si="0"/>
        <v>0.38095420235936256</v>
      </c>
      <c r="E7" s="14"/>
      <c r="F7" s="12"/>
      <c r="G7" s="12"/>
      <c r="H7" s="17">
        <f t="shared" si="2"/>
        <v>9878.0882750546461</v>
      </c>
      <c r="I7" s="18">
        <f t="shared" si="1"/>
        <v>7.8340456523160795E-2</v>
      </c>
      <c r="L7" s="14">
        <v>0.4399932724999619</v>
      </c>
    </row>
    <row r="8" spans="1:12" x14ac:dyDescent="0.3">
      <c r="A8" s="11">
        <v>10672.727910227739</v>
      </c>
      <c r="B8" s="12">
        <v>0.62995208008788506</v>
      </c>
      <c r="C8" s="12">
        <v>2.0403165058176631</v>
      </c>
      <c r="D8" s="14">
        <f t="shared" si="0"/>
        <v>0.31713054671132346</v>
      </c>
      <c r="E8" s="14"/>
      <c r="F8" s="12"/>
      <c r="G8" s="12"/>
      <c r="H8" s="17">
        <f t="shared" si="2"/>
        <v>11368.774323270965</v>
      </c>
      <c r="I8" s="18">
        <f t="shared" si="1"/>
        <v>5.4592023819015179E-2</v>
      </c>
      <c r="L8" s="14">
        <v>0.36627842977721103</v>
      </c>
    </row>
    <row r="9" spans="1:12" x14ac:dyDescent="0.3">
      <c r="A9" s="11">
        <v>12197.185546312261</v>
      </c>
      <c r="B9" s="12">
        <v>0.68454410390690024</v>
      </c>
      <c r="C9" s="12">
        <v>1.9329661988668145</v>
      </c>
      <c r="D9" s="14">
        <f t="shared" si="0"/>
        <v>0.2416747816799148</v>
      </c>
      <c r="E9" s="14"/>
      <c r="F9" s="12"/>
      <c r="G9" s="12"/>
      <c r="H9" s="17">
        <f t="shared" si="2"/>
        <v>12942.623103768734</v>
      </c>
      <c r="I9" s="18">
        <f t="shared" si="1"/>
        <v>5.15204001527656E-2</v>
      </c>
      <c r="L9" s="14">
        <v>0.27912877037054212</v>
      </c>
    </row>
    <row r="10" spans="1:12" x14ac:dyDescent="0.3">
      <c r="A10" s="11">
        <v>13721.643182396783</v>
      </c>
      <c r="B10" s="12">
        <v>0.73606450405966584</v>
      </c>
      <c r="C10" s="12">
        <v>1.8694944774419815</v>
      </c>
      <c r="D10" s="14">
        <f t="shared" si="0"/>
        <v>0.19256831398873203</v>
      </c>
      <c r="E10" s="14"/>
      <c r="F10" s="12"/>
      <c r="G10" s="12"/>
      <c r="H10" s="17">
        <f t="shared" si="2"/>
        <v>14461.373689824462</v>
      </c>
      <c r="I10" s="18">
        <f t="shared" si="1"/>
        <v>4.3480310523897003E-2</v>
      </c>
      <c r="L10" s="14">
        <v>0.22241193856624233</v>
      </c>
    </row>
    <row r="11" spans="1:12" x14ac:dyDescent="0.3">
      <c r="A11" s="11">
        <v>15246.100818481305</v>
      </c>
      <c r="B11" s="12">
        <v>0.77954481458356284</v>
      </c>
      <c r="C11" s="12">
        <v>1.8273371086708896</v>
      </c>
      <c r="D11" s="14">
        <f t="shared" si="0"/>
        <v>0.14414985156960178</v>
      </c>
      <c r="E11" s="14"/>
      <c r="F11" s="12"/>
      <c r="G11" s="12"/>
      <c r="H11" s="17">
        <f t="shared" si="2"/>
        <v>17001.746840256485</v>
      </c>
      <c r="I11" s="18">
        <f t="shared" si="1"/>
        <v>7.9638150616273107E-2</v>
      </c>
      <c r="L11" s="14">
        <v>0.16648973690192467</v>
      </c>
    </row>
    <row r="12" spans="1:12" x14ac:dyDescent="0.3">
      <c r="A12" s="11">
        <v>19057.24490869261</v>
      </c>
      <c r="B12" s="12">
        <v>0.85918296519983595</v>
      </c>
      <c r="C12" s="12">
        <v>1.7841218583805671</v>
      </c>
      <c r="D12" s="14">
        <f t="shared" si="0"/>
        <v>0.10573790192460301</v>
      </c>
      <c r="E12" s="14"/>
      <c r="F12" s="12"/>
      <c r="G12" s="12"/>
      <c r="H12" s="17">
        <f t="shared" si="2"/>
        <v>20805.043014161503</v>
      </c>
      <c r="I12" s="18">
        <f t="shared" si="1"/>
        <v>4.8427650279000423E-2</v>
      </c>
      <c r="L12" s="14">
        <v>0.12212482552220021</v>
      </c>
    </row>
    <row r="13" spans="1:12" x14ac:dyDescent="0.3">
      <c r="A13" s="11">
        <v>22868.388998903916</v>
      </c>
      <c r="B13" s="12">
        <v>0.90761061547883637</v>
      </c>
      <c r="C13" s="12">
        <v>1.7892414230291807</v>
      </c>
      <c r="D13" s="14">
        <f t="shared" si="0"/>
        <v>8.719803485492239E-2</v>
      </c>
      <c r="E13" s="14"/>
      <c r="F13" s="12"/>
      <c r="G13" s="12"/>
      <c r="H13" s="17">
        <f t="shared" si="2"/>
        <v>26061.455287124441</v>
      </c>
      <c r="I13" s="18">
        <f t="shared" si="1"/>
        <v>4.715839818257872E-2</v>
      </c>
      <c r="L13" s="14">
        <v>0.10071170884523023</v>
      </c>
    </row>
    <row r="14" spans="1:12" x14ac:dyDescent="0.3">
      <c r="A14" s="11">
        <v>30490.677179326525</v>
      </c>
      <c r="B14" s="12">
        <v>0.95476901366141509</v>
      </c>
      <c r="C14" s="12">
        <v>1.8499333117268877</v>
      </c>
      <c r="D14" s="14">
        <f t="shared" si="0"/>
        <v>8.4051809341217018E-2</v>
      </c>
      <c r="E14" s="14"/>
      <c r="F14" s="12"/>
      <c r="G14" s="12"/>
      <c r="H14" s="17">
        <f t="shared" si="2"/>
        <v>33797.797325171297</v>
      </c>
      <c r="I14" s="18">
        <f t="shared" si="1"/>
        <v>1.8907283868445979E-2</v>
      </c>
      <c r="L14" s="14">
        <v>9.7077891312244355E-2</v>
      </c>
    </row>
    <row r="15" spans="1:12" x14ac:dyDescent="0.3">
      <c r="A15" s="11">
        <v>38112.965359749134</v>
      </c>
      <c r="B15" s="12">
        <v>0.97367629752986107</v>
      </c>
      <c r="C15" s="12">
        <v>1.9060207770236313</v>
      </c>
      <c r="D15" s="14">
        <f t="shared" si="0"/>
        <v>8.4617654557204589E-2</v>
      </c>
      <c r="E15" s="14"/>
      <c r="F15" s="12"/>
      <c r="G15" s="12"/>
      <c r="H15" s="17">
        <f t="shared" si="2"/>
        <v>50034.69430429527</v>
      </c>
      <c r="I15" s="18">
        <f t="shared" si="1"/>
        <v>2.0877582660206118E-2</v>
      </c>
      <c r="L15" s="14">
        <v>9.7731429419368215E-2</v>
      </c>
    </row>
    <row r="16" spans="1:12" x14ac:dyDescent="0.3">
      <c r="A16" s="11">
        <v>76224.406261862183</v>
      </c>
      <c r="B16" s="12">
        <v>0.99455388019006719</v>
      </c>
      <c r="C16" s="12">
        <v>2.0901020396550583</v>
      </c>
      <c r="D16" s="14">
        <f t="shared" si="0"/>
        <v>0.10056282870174148</v>
      </c>
      <c r="E16" s="16"/>
      <c r="F16" s="12"/>
      <c r="G16" s="12"/>
      <c r="H16" s="17">
        <f>C16*A16</f>
        <v>159316.78699941395</v>
      </c>
      <c r="I16" s="18">
        <f>1-B16</f>
        <v>5.4461198099328145E-3</v>
      </c>
      <c r="L16" s="16">
        <v>0.11614773591759248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F3" sqref="F3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1989</v>
      </c>
      <c r="C1" s="8" t="s">
        <v>24</v>
      </c>
      <c r="D1" s="10">
        <v>27360033</v>
      </c>
      <c r="E1" s="8" t="s">
        <v>30</v>
      </c>
      <c r="F1" s="21">
        <f>(SUMPRODUCT(D4:D16,H4:H16,I4:I16)/(D2*B2))/((1-SUMPRODUCT(D4:D16,H4:H16,I4:I16)/B2)/(1-D2))</f>
        <v>0.45674579284563599</v>
      </c>
      <c r="G1" s="19"/>
      <c r="H1" s="16"/>
    </row>
    <row r="2" spans="1:12" x14ac:dyDescent="0.3">
      <c r="A2" s="8" t="s">
        <v>12</v>
      </c>
      <c r="B2" s="11">
        <v>11764.997380296878</v>
      </c>
      <c r="C2" s="8" t="s">
        <v>15</v>
      </c>
      <c r="D2" s="14">
        <f>[1]TD1!$F$96</f>
        <v>0.44415176486692154</v>
      </c>
      <c r="E2" s="18" t="s">
        <v>26</v>
      </c>
      <c r="I2" s="8"/>
      <c r="L2" s="14">
        <v>0.49971588119064037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0.68458787472175398</v>
      </c>
      <c r="E4" s="14"/>
      <c r="F4" s="8"/>
      <c r="G4" s="8"/>
      <c r="H4" s="17">
        <f>((1-B4)*B2-(1-B5)*C5*A5)/(B5-B4)</f>
        <v>3173.2895469957666</v>
      </c>
      <c r="I4" s="18">
        <f t="shared" ref="I4:I15" si="1">B5-B4</f>
        <v>0.34035850760852515</v>
      </c>
      <c r="L4" s="14">
        <v>0.77023094385656699</v>
      </c>
    </row>
    <row r="5" spans="1:12" x14ac:dyDescent="0.3">
      <c r="A5" s="11">
        <v>6099.3550019741724</v>
      </c>
      <c r="B5" s="12">
        <v>0.34035850760852515</v>
      </c>
      <c r="C5" s="12">
        <v>2.6557076404786826</v>
      </c>
      <c r="D5" s="14">
        <f t="shared" si="0"/>
        <v>0.58350276863212969</v>
      </c>
      <c r="E5" s="14"/>
      <c r="F5" s="12"/>
      <c r="G5" s="12"/>
      <c r="H5" s="17">
        <f t="shared" ref="H5:H15" si="2">((1-B5)*C5*A5-(1-B6)*C6*A6)/(B6-B5)</f>
        <v>6866.965204303664</v>
      </c>
      <c r="I5" s="18">
        <f t="shared" si="1"/>
        <v>9.5903210350660073E-2</v>
      </c>
      <c r="L5" s="14">
        <v>0.65649992473079344</v>
      </c>
    </row>
    <row r="6" spans="1:12" x14ac:dyDescent="0.3">
      <c r="A6" s="11">
        <v>7623.8126380586946</v>
      </c>
      <c r="B6" s="12">
        <v>0.43626171795918522</v>
      </c>
      <c r="C6" s="12">
        <v>2.3328902077463236</v>
      </c>
      <c r="D6" s="14">
        <f t="shared" si="0"/>
        <v>0.49579988737486447</v>
      </c>
      <c r="E6" s="14"/>
      <c r="F6" s="12"/>
      <c r="G6" s="12"/>
      <c r="H6" s="17">
        <f t="shared" si="2"/>
        <v>8366.3911164518249</v>
      </c>
      <c r="I6" s="18">
        <f t="shared" si="1"/>
        <v>9.7617645417313659E-2</v>
      </c>
      <c r="L6" s="14">
        <v>0.55782526877493144</v>
      </c>
    </row>
    <row r="7" spans="1:12" x14ac:dyDescent="0.3">
      <c r="A7" s="11">
        <v>9148.2702741432167</v>
      </c>
      <c r="B7" s="12">
        <v>0.53387936337649888</v>
      </c>
      <c r="C7" s="12">
        <v>2.1597662250292919</v>
      </c>
      <c r="D7" s="14">
        <f t="shared" si="0"/>
        <v>0.41658321188047759</v>
      </c>
      <c r="E7" s="14"/>
      <c r="F7" s="12"/>
      <c r="G7" s="12"/>
      <c r="H7" s="17">
        <f t="shared" si="2"/>
        <v>9879.808683264544</v>
      </c>
      <c r="I7" s="18">
        <f t="shared" si="1"/>
        <v>7.9730386290104205E-2</v>
      </c>
      <c r="L7" s="14">
        <v>0.46869845688095768</v>
      </c>
    </row>
    <row r="8" spans="1:12" x14ac:dyDescent="0.3">
      <c r="A8" s="11">
        <v>10672.727910227739</v>
      </c>
      <c r="B8" s="12">
        <v>0.61360974966660309</v>
      </c>
      <c r="C8" s="12">
        <v>2.0422598789937538</v>
      </c>
      <c r="D8" s="14">
        <f t="shared" si="0"/>
        <v>0.35524983847299291</v>
      </c>
      <c r="E8" s="14"/>
      <c r="F8" s="12"/>
      <c r="G8" s="12"/>
      <c r="H8" s="17">
        <f t="shared" si="2"/>
        <v>11377.991163871011</v>
      </c>
      <c r="I8" s="18">
        <f t="shared" si="1"/>
        <v>5.8774417413897106E-2</v>
      </c>
      <c r="L8" s="14">
        <v>0.39969217757933423</v>
      </c>
    </row>
    <row r="9" spans="1:12" x14ac:dyDescent="0.3">
      <c r="A9" s="11">
        <v>12197.185546312261</v>
      </c>
      <c r="B9" s="12">
        <v>0.67238416708050019</v>
      </c>
      <c r="C9" s="12">
        <v>1.9402480919594609</v>
      </c>
      <c r="D9" s="14">
        <f t="shared" si="0"/>
        <v>0.27727244080850655</v>
      </c>
      <c r="E9" s="14"/>
      <c r="F9" s="12"/>
      <c r="G9" s="12"/>
      <c r="H9" s="17">
        <f t="shared" si="2"/>
        <v>12979.069983160753</v>
      </c>
      <c r="I9" s="18">
        <f t="shared" si="1"/>
        <v>4.8391096604305961E-2</v>
      </c>
      <c r="L9" s="14">
        <v>0.31195967921014034</v>
      </c>
    </row>
    <row r="10" spans="1:12" x14ac:dyDescent="0.3">
      <c r="A10" s="11">
        <v>13721.643182396783</v>
      </c>
      <c r="B10" s="12">
        <v>0.72077526368480616</v>
      </c>
      <c r="C10" s="12">
        <v>1.8596600194296855</v>
      </c>
      <c r="D10" s="14">
        <f t="shared" si="0"/>
        <v>0.22571688193081424</v>
      </c>
      <c r="E10" s="14"/>
      <c r="F10" s="12"/>
      <c r="G10" s="12"/>
      <c r="H10" s="17">
        <f t="shared" si="2"/>
        <v>14461.960049431615</v>
      </c>
      <c r="I10" s="18">
        <f t="shared" si="1"/>
        <v>4.4207841415980775E-2</v>
      </c>
      <c r="L10" s="14">
        <v>0.25395443511849253</v>
      </c>
    </row>
    <row r="11" spans="1:12" x14ac:dyDescent="0.3">
      <c r="A11" s="11">
        <v>15246.100818481305</v>
      </c>
      <c r="B11" s="12">
        <v>0.76498310510078693</v>
      </c>
      <c r="C11" s="12">
        <v>1.8101159445817576</v>
      </c>
      <c r="D11" s="14">
        <f t="shared" si="0"/>
        <v>0.16690215292272023</v>
      </c>
      <c r="E11" s="14"/>
      <c r="F11" s="12"/>
      <c r="G11" s="12"/>
      <c r="H11" s="17">
        <f t="shared" si="2"/>
        <v>17010.700724798091</v>
      </c>
      <c r="I11" s="18">
        <f t="shared" si="1"/>
        <v>8.2002349924066298E-2</v>
      </c>
      <c r="L11" s="14">
        <v>0.18778188677327867</v>
      </c>
    </row>
    <row r="12" spans="1:12" x14ac:dyDescent="0.3">
      <c r="A12" s="11">
        <v>19057.24490869261</v>
      </c>
      <c r="B12" s="12">
        <v>0.84698545502485323</v>
      </c>
      <c r="C12" s="12">
        <v>1.7458268035248889</v>
      </c>
      <c r="D12" s="14">
        <f t="shared" si="0"/>
        <v>0.12022406143230396</v>
      </c>
      <c r="E12" s="14"/>
      <c r="F12" s="12"/>
      <c r="G12" s="12"/>
      <c r="H12" s="17">
        <f t="shared" si="2"/>
        <v>20810.722101792617</v>
      </c>
      <c r="I12" s="18">
        <f t="shared" si="1"/>
        <v>5.1298147191562227E-2</v>
      </c>
      <c r="L12" s="14">
        <v>0.135264289261492</v>
      </c>
    </row>
    <row r="13" spans="1:12" x14ac:dyDescent="0.3">
      <c r="A13" s="11">
        <v>22868.388998903916</v>
      </c>
      <c r="B13" s="12">
        <v>0.89828360221641546</v>
      </c>
      <c r="C13" s="12">
        <v>1.7296585529795994</v>
      </c>
      <c r="D13" s="14">
        <f t="shared" si="0"/>
        <v>9.6348112237768374E-2</v>
      </c>
      <c r="E13" s="14"/>
      <c r="F13" s="12"/>
      <c r="G13" s="12"/>
      <c r="H13" s="17">
        <f t="shared" si="2"/>
        <v>26086.347802269021</v>
      </c>
      <c r="I13" s="18">
        <f t="shared" si="1"/>
        <v>5.165944061544081E-2</v>
      </c>
      <c r="L13" s="14">
        <v>0.10840141955166392</v>
      </c>
    </row>
    <row r="14" spans="1:12" x14ac:dyDescent="0.3">
      <c r="A14" s="11">
        <v>30490.677179326525</v>
      </c>
      <c r="B14" s="12">
        <v>0.94994304283185627</v>
      </c>
      <c r="C14" s="12">
        <v>1.7531201405845769</v>
      </c>
      <c r="D14" s="14">
        <f t="shared" si="0"/>
        <v>8.9828216701399746E-2</v>
      </c>
      <c r="E14" s="14"/>
      <c r="F14" s="12"/>
      <c r="G14" s="12"/>
      <c r="H14" s="17">
        <f t="shared" si="2"/>
        <v>33798.765318573423</v>
      </c>
      <c r="I14" s="18">
        <f t="shared" si="1"/>
        <v>2.1109404363656936E-2</v>
      </c>
      <c r="L14" s="14">
        <v>0.10106587435980012</v>
      </c>
    </row>
    <row r="15" spans="1:12" x14ac:dyDescent="0.3">
      <c r="A15" s="11">
        <v>38112.965359749134</v>
      </c>
      <c r="B15" s="12">
        <v>0.9710524471955132</v>
      </c>
      <c r="C15" s="12">
        <v>1.7785775012284029</v>
      </c>
      <c r="D15" s="14">
        <f t="shared" si="0"/>
        <v>8.7094498121317268E-2</v>
      </c>
      <c r="E15" s="14"/>
      <c r="F15" s="12"/>
      <c r="G15" s="12"/>
      <c r="H15" s="17">
        <f t="shared" si="2"/>
        <v>49968.384490516903</v>
      </c>
      <c r="I15" s="18">
        <f t="shared" si="1"/>
        <v>2.3244562607069974E-2</v>
      </c>
      <c r="L15" s="14">
        <v>9.7990163088941026E-2</v>
      </c>
    </row>
    <row r="16" spans="1:12" x14ac:dyDescent="0.3">
      <c r="A16" s="11">
        <v>76224.406261862183</v>
      </c>
      <c r="B16" s="12">
        <v>0.99429700980258318</v>
      </c>
      <c r="C16" s="12">
        <v>1.8420924180565315</v>
      </c>
      <c r="D16" s="14">
        <f t="shared" si="0"/>
        <v>9.579382673400022E-2</v>
      </c>
      <c r="E16" s="16"/>
      <c r="F16" s="12"/>
      <c r="G16" s="12"/>
      <c r="H16" s="17">
        <f>C16*A16</f>
        <v>140412.40084583714</v>
      </c>
      <c r="I16" s="18">
        <f>1-B16</f>
        <v>5.702990197416824E-3</v>
      </c>
      <c r="L16" s="16">
        <v>0.10777779201968801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F3" sqref="F3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1990</v>
      </c>
      <c r="C1" s="8" t="s">
        <v>24</v>
      </c>
      <c r="D1" s="10">
        <v>28029464</v>
      </c>
      <c r="E1" s="8" t="s">
        <v>30</v>
      </c>
      <c r="F1" s="21">
        <f>(SUMPRODUCT(D4:D16,H4:H16,I4:I16)/(D2*B2))/((1-SUMPRODUCT(D4:D16,H4:H16,I4:I16)/B2)/(1-D2))</f>
        <v>0.4489939508060386</v>
      </c>
      <c r="G1" s="19"/>
      <c r="H1" s="16"/>
    </row>
    <row r="2" spans="1:12" x14ac:dyDescent="0.3">
      <c r="A2" s="8" t="s">
        <v>12</v>
      </c>
      <c r="B2" s="11">
        <v>12242.067487538863</v>
      </c>
      <c r="C2" s="8" t="s">
        <v>15</v>
      </c>
      <c r="D2" s="14">
        <f>[1]TD1!$F$97</f>
        <v>0.46622294512600337</v>
      </c>
      <c r="E2" s="18" t="s">
        <v>26</v>
      </c>
      <c r="I2" s="8"/>
      <c r="L2" s="14">
        <v>0.50770539172636342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0.70980351668246333</v>
      </c>
      <c r="E4" s="14"/>
      <c r="F4" s="8"/>
      <c r="G4" s="8"/>
      <c r="H4" s="17">
        <f>((1-B4)*B2-(1-B5)*C5*A5)/(B5-B4)</f>
        <v>3137.450655423112</v>
      </c>
      <c r="I4" s="18">
        <f t="shared" ref="I4:I15" si="1">B5-B4</f>
        <v>0.32793217166050692</v>
      </c>
      <c r="L4" s="14">
        <v>0.7729586805055787</v>
      </c>
    </row>
    <row r="5" spans="1:12" x14ac:dyDescent="0.3">
      <c r="A5" s="11">
        <v>6099.3550019741724</v>
      </c>
      <c r="B5" s="12">
        <v>0.32793217166050692</v>
      </c>
      <c r="C5" s="12">
        <v>2.7354728850218817</v>
      </c>
      <c r="D5" s="14">
        <f t="shared" si="0"/>
        <v>0.63397373250109068</v>
      </c>
      <c r="E5" s="14"/>
      <c r="F5" s="12"/>
      <c r="G5" s="12"/>
      <c r="H5" s="17">
        <f t="shared" ref="H5:H15" si="2">((1-B5)*C5*A5-(1-B6)*C6*A6)/(B6-B5)</f>
        <v>6852.0581452321167</v>
      </c>
      <c r="I5" s="18">
        <f t="shared" si="1"/>
        <v>9.1330465684252848E-2</v>
      </c>
      <c r="L5" s="14">
        <v>0.69038189897904012</v>
      </c>
    </row>
    <row r="6" spans="1:12" x14ac:dyDescent="0.3">
      <c r="A6" s="11">
        <v>7623.8126380586946</v>
      </c>
      <c r="B6" s="12">
        <v>0.41926263734475977</v>
      </c>
      <c r="C6" s="12">
        <v>2.3913168624915873</v>
      </c>
      <c r="D6" s="14">
        <f t="shared" si="0"/>
        <v>0.54167090105851434</v>
      </c>
      <c r="E6" s="14"/>
      <c r="F6" s="12"/>
      <c r="G6" s="12"/>
      <c r="H6" s="17">
        <f t="shared" si="2"/>
        <v>8369.9618446547029</v>
      </c>
      <c r="I6" s="18">
        <f t="shared" si="1"/>
        <v>9.557521328270846E-2</v>
      </c>
      <c r="L6" s="14">
        <v>0.58986637162261535</v>
      </c>
    </row>
    <row r="7" spans="1:12" x14ac:dyDescent="0.3">
      <c r="A7" s="11">
        <v>9148.2702741432167</v>
      </c>
      <c r="B7" s="12">
        <v>0.51483785062746823</v>
      </c>
      <c r="C7" s="12">
        <v>2.2051744158117605</v>
      </c>
      <c r="D7" s="14">
        <f t="shared" si="0"/>
        <v>0.46141100657336137</v>
      </c>
      <c r="E7" s="14"/>
      <c r="F7" s="12"/>
      <c r="G7" s="12"/>
      <c r="H7" s="17">
        <f t="shared" si="2"/>
        <v>9884.5633266962923</v>
      </c>
      <c r="I7" s="18">
        <f t="shared" si="1"/>
        <v>8.0230075038181248E-2</v>
      </c>
      <c r="L7" s="14">
        <v>0.50246530825691504</v>
      </c>
    </row>
    <row r="8" spans="1:12" x14ac:dyDescent="0.3">
      <c r="A8" s="11">
        <v>10672.727910227739</v>
      </c>
      <c r="B8" s="12">
        <v>0.59506792566564948</v>
      </c>
      <c r="C8" s="12">
        <v>2.081202431088216</v>
      </c>
      <c r="D8" s="14">
        <f t="shared" si="0"/>
        <v>0.39738342314533248</v>
      </c>
      <c r="E8" s="14"/>
      <c r="F8" s="12"/>
      <c r="G8" s="12"/>
      <c r="H8" s="17">
        <f t="shared" si="2"/>
        <v>11393.000280026268</v>
      </c>
      <c r="I8" s="18">
        <f t="shared" si="1"/>
        <v>6.2321562766951333E-2</v>
      </c>
      <c r="L8" s="14">
        <v>0.43274083487898146</v>
      </c>
    </row>
    <row r="9" spans="1:12" x14ac:dyDescent="0.3">
      <c r="A9" s="11">
        <v>12197.185546312261</v>
      </c>
      <c r="B9" s="12">
        <v>0.65738948843260081</v>
      </c>
      <c r="C9" s="12">
        <v>1.982434815519178</v>
      </c>
      <c r="D9" s="14">
        <f t="shared" si="0"/>
        <v>0.32224136675572196</v>
      </c>
      <c r="E9" s="14"/>
      <c r="F9" s="12"/>
      <c r="G9" s="12"/>
      <c r="H9" s="17">
        <f t="shared" si="2"/>
        <v>12975.067202383303</v>
      </c>
      <c r="I9" s="18">
        <f t="shared" si="1"/>
        <v>4.6445661608084943E-2</v>
      </c>
      <c r="L9" s="14">
        <v>0.35091297210808953</v>
      </c>
    </row>
    <row r="10" spans="1:12" x14ac:dyDescent="0.3">
      <c r="A10" s="11">
        <v>13721.643182396783</v>
      </c>
      <c r="B10" s="12">
        <v>0.70383515004068575</v>
      </c>
      <c r="C10" s="12">
        <v>1.8902505606513895</v>
      </c>
      <c r="D10" s="14">
        <f t="shared" si="0"/>
        <v>0.26031934930930434</v>
      </c>
      <c r="E10" s="14"/>
      <c r="F10" s="12"/>
      <c r="G10" s="12"/>
      <c r="H10" s="17">
        <f t="shared" si="2"/>
        <v>14463.656242017039</v>
      </c>
      <c r="I10" s="18">
        <f t="shared" si="1"/>
        <v>4.4902535417730483E-2</v>
      </c>
      <c r="L10" s="14">
        <v>0.28348140861945947</v>
      </c>
    </row>
    <row r="11" spans="1:12" x14ac:dyDescent="0.3">
      <c r="A11" s="11">
        <v>15246.100818481305</v>
      </c>
      <c r="B11" s="12">
        <v>0.74873768545841624</v>
      </c>
      <c r="C11" s="12">
        <v>1.8357337064042429</v>
      </c>
      <c r="D11" s="14">
        <f t="shared" si="0"/>
        <v>0.1955405639925536</v>
      </c>
      <c r="E11" s="14"/>
      <c r="F11" s="12"/>
      <c r="G11" s="12"/>
      <c r="H11" s="17">
        <f t="shared" si="2"/>
        <v>17017.659211188868</v>
      </c>
      <c r="I11" s="18">
        <f t="shared" si="1"/>
        <v>8.423132886165785E-2</v>
      </c>
      <c r="L11" s="14">
        <v>0.2129388947457368</v>
      </c>
    </row>
    <row r="12" spans="1:12" x14ac:dyDescent="0.3">
      <c r="A12" s="11">
        <v>19057.24490869261</v>
      </c>
      <c r="B12" s="12">
        <v>0.83296901432007409</v>
      </c>
      <c r="C12" s="12">
        <v>1.7589035761771408</v>
      </c>
      <c r="D12" s="14">
        <f t="shared" si="0"/>
        <v>0.13902405336043483</v>
      </c>
      <c r="E12" s="14"/>
      <c r="F12" s="12"/>
      <c r="G12" s="12"/>
      <c r="H12" s="17">
        <f t="shared" si="2"/>
        <v>20815.912967158292</v>
      </c>
      <c r="I12" s="18">
        <f t="shared" si="1"/>
        <v>5.424477613985057E-2</v>
      </c>
      <c r="L12" s="14">
        <v>0.15139379605538353</v>
      </c>
    </row>
    <row r="13" spans="1:12" x14ac:dyDescent="0.3">
      <c r="A13" s="11">
        <v>22868.388998903916</v>
      </c>
      <c r="B13" s="12">
        <v>0.88721379045992466</v>
      </c>
      <c r="C13" s="12">
        <v>1.7329531057424448</v>
      </c>
      <c r="D13" s="14">
        <f t="shared" si="0"/>
        <v>0.10821278729740773</v>
      </c>
      <c r="E13" s="14"/>
      <c r="F13" s="12"/>
      <c r="G13" s="12"/>
      <c r="H13" s="17">
        <f t="shared" si="2"/>
        <v>26114.586334880594</v>
      </c>
      <c r="I13" s="18">
        <f t="shared" si="1"/>
        <v>5.6440429970405326E-2</v>
      </c>
      <c r="L13" s="14">
        <v>0.1178410804079659</v>
      </c>
    </row>
    <row r="14" spans="1:12" x14ac:dyDescent="0.3">
      <c r="A14" s="11">
        <v>30490.677179326525</v>
      </c>
      <c r="B14" s="12">
        <v>0.94365422043032998</v>
      </c>
      <c r="C14" s="12">
        <v>1.743739830554387</v>
      </c>
      <c r="D14" s="14">
        <f t="shared" si="0"/>
        <v>9.454024060587092E-2</v>
      </c>
      <c r="E14" s="14"/>
      <c r="F14" s="12"/>
      <c r="G14" s="12"/>
      <c r="H14" s="17">
        <f t="shared" si="2"/>
        <v>33807.733865415401</v>
      </c>
      <c r="I14" s="18">
        <f t="shared" si="1"/>
        <v>2.3775945198238557E-2</v>
      </c>
      <c r="L14" s="14">
        <v>0.10295201124804366</v>
      </c>
    </row>
    <row r="15" spans="1:12" x14ac:dyDescent="0.3">
      <c r="A15" s="11">
        <v>38112.965359749134</v>
      </c>
      <c r="B15" s="12">
        <v>0.96743016562856854</v>
      </c>
      <c r="C15" s="12">
        <v>1.7658201555059447</v>
      </c>
      <c r="D15" s="14">
        <f t="shared" si="0"/>
        <v>8.9792136565019109E-2</v>
      </c>
      <c r="E15" s="14"/>
      <c r="F15" s="12"/>
      <c r="G15" s="12"/>
      <c r="H15" s="17">
        <f t="shared" si="2"/>
        <v>49952.463258229975</v>
      </c>
      <c r="I15" s="18">
        <f t="shared" si="1"/>
        <v>2.6310207002174568E-2</v>
      </c>
      <c r="L15" s="14">
        <v>9.7781442001678737E-2</v>
      </c>
    </row>
    <row r="16" spans="1:12" x14ac:dyDescent="0.3">
      <c r="A16" s="11">
        <v>76224.406261862183</v>
      </c>
      <c r="B16" s="12">
        <v>0.99374037263074311</v>
      </c>
      <c r="C16" s="12">
        <v>1.8395393131042164</v>
      </c>
      <c r="D16" s="14">
        <f t="shared" si="0"/>
        <v>9.8092211930112264E-2</v>
      </c>
      <c r="E16" s="16"/>
      <c r="F16" s="12"/>
      <c r="G16" s="12"/>
      <c r="H16" s="17">
        <f>C16*A16</f>
        <v>140217.7919367227</v>
      </c>
      <c r="I16" s="18">
        <f>1-B16</f>
        <v>6.2596273692568927E-3</v>
      </c>
      <c r="L16" s="16">
        <v>0.10682002120213845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/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1919</v>
      </c>
      <c r="C1" s="8" t="s">
        <v>24</v>
      </c>
      <c r="D1" s="10">
        <f>1000*[1]TD1!$C$26</f>
        <v>15071193.626858557</v>
      </c>
      <c r="E1" s="8" t="s">
        <v>30</v>
      </c>
      <c r="F1" s="21">
        <f>(SUMPRODUCT(D4:D14,H4:H14,I4:I14)/(D2*B2))/((1-SUMPRODUCT(D4:D14,H4:H14,I4:I14)/B2)/(1-D2))</f>
        <v>0.76848595921753593</v>
      </c>
      <c r="G1" s="19"/>
      <c r="H1" s="16"/>
    </row>
    <row r="2" spans="1:12" x14ac:dyDescent="0.3">
      <c r="A2" s="8" t="s">
        <v>12</v>
      </c>
      <c r="B2" s="11">
        <f>[1]TD2!$M$26</f>
        <v>3406.2544341900502</v>
      </c>
      <c r="C2" s="8" t="s">
        <v>15</v>
      </c>
      <c r="D2" s="14">
        <f>[1]TD1!$F$26</f>
        <v>0.23672308353435034</v>
      </c>
      <c r="E2" s="18" t="s">
        <v>26</v>
      </c>
      <c r="I2" s="8"/>
      <c r="L2" s="14">
        <f>D2</f>
        <v>0.23672308353435034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0.24700419329871148</v>
      </c>
      <c r="E4" s="14"/>
      <c r="F4" s="8"/>
      <c r="G4" s="8"/>
      <c r="H4" s="17">
        <f>((1-B4)*B2-(1-B5)*C5*A5)/(B5-B4)</f>
        <v>2303.6651487875765</v>
      </c>
      <c r="I4" s="18">
        <f t="shared" ref="I4" si="0">B5-B4</f>
        <v>0.93006247282028198</v>
      </c>
      <c r="L4" s="14"/>
    </row>
    <row r="5" spans="1:12" x14ac:dyDescent="0.3">
      <c r="A5" s="11">
        <v>6000</v>
      </c>
      <c r="B5" s="12">
        <v>0.93006247282028198</v>
      </c>
      <c r="C5" s="12">
        <v>3.0115017890930176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8497.6025292369886</v>
      </c>
      <c r="I5" s="18">
        <f t="shared" ref="I5:I13" si="3">B6-B5</f>
        <v>4.1385412216186523E-2</v>
      </c>
      <c r="L5" s="14">
        <v>0.1</v>
      </c>
    </row>
    <row r="6" spans="1:12" x14ac:dyDescent="0.3">
      <c r="A6" s="11">
        <v>10000</v>
      </c>
      <c r="B6" s="12">
        <v>0.97144788503646851</v>
      </c>
      <c r="C6" s="12">
        <v>3.1942472457885742</v>
      </c>
      <c r="D6" s="14">
        <f t="shared" si="1"/>
        <v>0.1</v>
      </c>
      <c r="E6" s="14"/>
      <c r="F6" s="8"/>
      <c r="G6" s="8"/>
      <c r="H6" s="17">
        <f t="shared" si="2"/>
        <v>14900.089695321332</v>
      </c>
      <c r="I6" s="18">
        <f t="shared" si="3"/>
        <v>1.7008543014526367E-2</v>
      </c>
      <c r="L6" s="14">
        <v>0.1</v>
      </c>
    </row>
    <row r="7" spans="1:12" x14ac:dyDescent="0.3">
      <c r="A7" s="11">
        <v>20000</v>
      </c>
      <c r="B7" s="12">
        <v>0.98845642805099487</v>
      </c>
      <c r="C7" s="12">
        <v>2.852653980255127</v>
      </c>
      <c r="D7" s="14">
        <f t="shared" si="1"/>
        <v>0.1</v>
      </c>
      <c r="E7" s="14"/>
      <c r="G7" s="8"/>
      <c r="H7" s="17">
        <f t="shared" si="2"/>
        <v>24725.034411973258</v>
      </c>
      <c r="I7" s="18">
        <f t="shared" si="3"/>
        <v>4.7746896743774414E-3</v>
      </c>
      <c r="L7" s="14">
        <v>0.1</v>
      </c>
    </row>
    <row r="8" spans="1:12" x14ac:dyDescent="0.3">
      <c r="A8" s="11">
        <v>30000</v>
      </c>
      <c r="B8" s="12">
        <v>0.99323111772537231</v>
      </c>
      <c r="C8" s="12">
        <v>2.6618967056274414</v>
      </c>
      <c r="D8" s="14">
        <f t="shared" si="1"/>
        <v>0.1</v>
      </c>
      <c r="E8" s="14"/>
      <c r="G8" s="8"/>
      <c r="H8" s="17">
        <f t="shared" si="2"/>
        <v>36807.565998479164</v>
      </c>
      <c r="I8" s="18">
        <f t="shared" si="3"/>
        <v>3.4889578819274902E-3</v>
      </c>
      <c r="L8" s="14">
        <v>0.1</v>
      </c>
    </row>
    <row r="9" spans="1:12" x14ac:dyDescent="0.3">
      <c r="A9" s="11">
        <v>50000</v>
      </c>
      <c r="B9" s="12">
        <v>0.9967200756072998</v>
      </c>
      <c r="C9" s="12">
        <v>2.5129964351654053</v>
      </c>
      <c r="D9" s="14">
        <f t="shared" si="1"/>
        <v>0.1</v>
      </c>
      <c r="E9" s="14"/>
      <c r="G9" s="8"/>
      <c r="H9" s="17">
        <f t="shared" si="2"/>
        <v>64580.566619844678</v>
      </c>
      <c r="I9" s="18">
        <f t="shared" si="3"/>
        <v>2.0837783813476563E-3</v>
      </c>
      <c r="L9" s="14">
        <v>0.1</v>
      </c>
    </row>
    <row r="10" spans="1:12" x14ac:dyDescent="0.3">
      <c r="A10" s="11">
        <v>100000</v>
      </c>
      <c r="B10" s="12">
        <v>0.99880385398864746</v>
      </c>
      <c r="C10" s="12">
        <v>2.3203716278076172</v>
      </c>
      <c r="D10" s="14">
        <f t="shared" si="1"/>
        <v>0.1</v>
      </c>
      <c r="E10" s="14"/>
      <c r="G10" s="8"/>
      <c r="H10" s="17">
        <f t="shared" si="2"/>
        <v>139643.67378986906</v>
      </c>
      <c r="I10" s="18">
        <f t="shared" si="3"/>
        <v>8.0543756484985352E-4</v>
      </c>
      <c r="L10" s="14">
        <v>0.1</v>
      </c>
    </row>
    <row r="11" spans="1:12" x14ac:dyDescent="0.3">
      <c r="A11" s="11">
        <v>200000</v>
      </c>
      <c r="B11" s="12">
        <v>0.99960929155349731</v>
      </c>
      <c r="C11" s="12">
        <v>2.1125223636627197</v>
      </c>
      <c r="D11" s="14">
        <f t="shared" si="1"/>
        <v>0.1</v>
      </c>
      <c r="E11" s="14"/>
      <c r="G11" s="8"/>
      <c r="H11" s="17">
        <f t="shared" si="2"/>
        <v>242786.02497603805</v>
      </c>
      <c r="I11" s="18">
        <f t="shared" si="3"/>
        <v>2.0658969879150391E-4</v>
      </c>
      <c r="L11" s="14">
        <v>0.1</v>
      </c>
    </row>
    <row r="12" spans="1:12" x14ac:dyDescent="0.3">
      <c r="A12" s="11">
        <v>300000</v>
      </c>
      <c r="B12" s="12">
        <v>0.99981588125228882</v>
      </c>
      <c r="C12" s="12">
        <v>2.0805227756500244</v>
      </c>
      <c r="D12" s="14">
        <f t="shared" si="1"/>
        <v>0.1</v>
      </c>
      <c r="E12" s="14"/>
      <c r="G12" s="8"/>
      <c r="H12" s="17">
        <f t="shared" si="2"/>
        <v>380454.6558622985</v>
      </c>
      <c r="I12" s="18">
        <f t="shared" si="3"/>
        <v>1.1843442916870117E-4</v>
      </c>
      <c r="L12" s="14">
        <v>0.1</v>
      </c>
    </row>
    <row r="13" spans="1:12" x14ac:dyDescent="0.3">
      <c r="A13" s="11">
        <v>500000</v>
      </c>
      <c r="B13" s="12">
        <v>0.99993431568145752</v>
      </c>
      <c r="C13" s="12">
        <v>2.1271452903747559</v>
      </c>
      <c r="D13" s="14">
        <f t="shared" si="1"/>
        <v>0.1</v>
      </c>
      <c r="E13" s="14"/>
      <c r="G13" s="8"/>
      <c r="H13" s="17">
        <f t="shared" si="2"/>
        <v>676207.98970056954</v>
      </c>
      <c r="I13" s="18">
        <f t="shared" si="3"/>
        <v>5.0485134124755859E-5</v>
      </c>
      <c r="L13" s="14">
        <v>0.1</v>
      </c>
    </row>
    <row r="14" spans="1:12" x14ac:dyDescent="0.3">
      <c r="A14" s="17">
        <v>1000000</v>
      </c>
      <c r="B14" s="18">
        <v>0.99998480081558228</v>
      </c>
      <c r="C14" s="18">
        <v>2.3502309322357178</v>
      </c>
      <c r="D14" s="14">
        <f t="shared" si="1"/>
        <v>0.1</v>
      </c>
      <c r="E14" s="14"/>
      <c r="H14" s="17">
        <f>C14*A14</f>
        <v>2350230.9322357178</v>
      </c>
      <c r="I14" s="18">
        <f>1-B14</f>
        <v>1.5199184417724609E-5</v>
      </c>
      <c r="L14" s="14">
        <v>0.1</v>
      </c>
    </row>
    <row r="15" spans="1:12" x14ac:dyDescent="0.3">
      <c r="H15" s="17"/>
      <c r="I15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F3" sqref="F3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1991</v>
      </c>
      <c r="C1" s="8" t="s">
        <v>24</v>
      </c>
      <c r="D1" s="10">
        <v>28606643</v>
      </c>
      <c r="E1" s="8" t="s">
        <v>30</v>
      </c>
      <c r="F1" s="21">
        <f>(SUMPRODUCT(D4:D16,H4:H16,I4:I16)/(D2*B2))/((1-SUMPRODUCT(D4:D16,H4:H16,I4:I16)/B2)/(1-D2))</f>
        <v>0.44608524885397205</v>
      </c>
      <c r="G1" s="19"/>
      <c r="H1" s="16"/>
    </row>
    <row r="2" spans="1:12" x14ac:dyDescent="0.3">
      <c r="A2" s="8" t="s">
        <v>12</v>
      </c>
      <c r="B2" s="11">
        <v>12568.816245288463</v>
      </c>
      <c r="C2" s="8" t="s">
        <v>15</v>
      </c>
      <c r="D2" s="14">
        <f>[1]TD1!$F$98</f>
        <v>0.48249512445557241</v>
      </c>
      <c r="E2" s="18" t="s">
        <v>26</v>
      </c>
      <c r="I2" s="8"/>
      <c r="L2" s="14">
        <v>0.51498373996557378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0.72673857954511878</v>
      </c>
      <c r="E4" s="14"/>
      <c r="F4" s="8"/>
      <c r="G4" s="8"/>
      <c r="H4" s="17">
        <f>((1-B4)*B2-(1-B5)*C5*A5)/(B5-B4)</f>
        <v>3108.119068833068</v>
      </c>
      <c r="I4" s="18">
        <f t="shared" ref="I4:I15" si="1">B5-B4</f>
        <v>0.31801480516256309</v>
      </c>
      <c r="L4" s="14">
        <v>0.77567323005328148</v>
      </c>
    </row>
    <row r="5" spans="1:12" x14ac:dyDescent="0.3">
      <c r="A5" s="11">
        <v>6099.3550019741724</v>
      </c>
      <c r="B5" s="12">
        <v>0.31801480516256309</v>
      </c>
      <c r="C5" s="12">
        <v>2.7839681743514562</v>
      </c>
      <c r="D5" s="14">
        <f t="shared" si="0"/>
        <v>0.6709753088456033</v>
      </c>
      <c r="E5" s="14"/>
      <c r="F5" s="12"/>
      <c r="G5" s="12"/>
      <c r="H5" s="17">
        <f t="shared" ref="H5:H15" si="2">((1-B5)*C5*A5-(1-B6)*C6*A6)/(B6-B5)</f>
        <v>6840.6548839120578</v>
      </c>
      <c r="I5" s="18">
        <f t="shared" si="1"/>
        <v>8.6734259591382368E-2</v>
      </c>
      <c r="L5" s="14">
        <v>0.71615516190709572</v>
      </c>
    </row>
    <row r="6" spans="1:12" x14ac:dyDescent="0.3">
      <c r="A6" s="11">
        <v>7623.8126380586946</v>
      </c>
      <c r="B6" s="12">
        <v>0.40474906475394545</v>
      </c>
      <c r="C6" s="12">
        <v>2.4210823405169233</v>
      </c>
      <c r="D6" s="14">
        <f t="shared" si="0"/>
        <v>0.57568669813136952</v>
      </c>
      <c r="E6" s="14"/>
      <c r="F6" s="12"/>
      <c r="G6" s="12"/>
      <c r="H6" s="17">
        <f t="shared" si="2"/>
        <v>8379.309794960107</v>
      </c>
      <c r="I6" s="18">
        <f t="shared" si="1"/>
        <v>9.3493214146098902E-2</v>
      </c>
      <c r="L6" s="14">
        <v>0.61445033084354728</v>
      </c>
    </row>
    <row r="7" spans="1:12" x14ac:dyDescent="0.3">
      <c r="A7" s="11">
        <v>9148.2702741432167</v>
      </c>
      <c r="B7" s="12">
        <v>0.49824227890004436</v>
      </c>
      <c r="C7" s="12">
        <v>2.2229155016870483</v>
      </c>
      <c r="D7" s="14">
        <f t="shared" si="0"/>
        <v>0.49765080835623493</v>
      </c>
      <c r="E7" s="14"/>
      <c r="F7" s="12"/>
      <c r="G7" s="12"/>
      <c r="H7" s="17">
        <f t="shared" si="2"/>
        <v>9888.3332632137917</v>
      </c>
      <c r="I7" s="18">
        <f t="shared" si="1"/>
        <v>8.0383147368951913E-2</v>
      </c>
      <c r="L7" s="14">
        <v>0.53115992575751514</v>
      </c>
    </row>
    <row r="8" spans="1:12" x14ac:dyDescent="0.3">
      <c r="A8" s="11">
        <v>10672.727910227739</v>
      </c>
      <c r="B8" s="12">
        <v>0.57862542626899627</v>
      </c>
      <c r="C8" s="12">
        <v>2.0921398728198475</v>
      </c>
      <c r="D8" s="14">
        <f t="shared" si="0"/>
        <v>0.42962582686564843</v>
      </c>
      <c r="E8" s="14"/>
      <c r="F8" s="12"/>
      <c r="G8" s="12"/>
      <c r="H8" s="17">
        <f t="shared" si="2"/>
        <v>11406.949628676739</v>
      </c>
      <c r="I8" s="18">
        <f t="shared" si="1"/>
        <v>6.590032252298883E-2</v>
      </c>
      <c r="L8" s="14">
        <v>0.45855450944654297</v>
      </c>
    </row>
    <row r="9" spans="1:12" x14ac:dyDescent="0.3">
      <c r="A9" s="11">
        <v>12197.185546312261</v>
      </c>
      <c r="B9" s="12">
        <v>0.6445257487919851</v>
      </c>
      <c r="C9" s="12">
        <v>1.996658694489402</v>
      </c>
      <c r="D9" s="14">
        <f t="shared" si="0"/>
        <v>0.37500068966908046</v>
      </c>
      <c r="E9" s="14"/>
      <c r="F9" s="12"/>
      <c r="G9" s="12"/>
      <c r="H9" s="17">
        <f t="shared" si="2"/>
        <v>12932.046508650417</v>
      </c>
      <c r="I9" s="18">
        <f t="shared" si="1"/>
        <v>4.5725952534870995E-2</v>
      </c>
      <c r="L9" s="14">
        <v>0.40025121056582774</v>
      </c>
    </row>
    <row r="10" spans="1:12" x14ac:dyDescent="0.3">
      <c r="A10" s="11">
        <v>13721.643182396783</v>
      </c>
      <c r="B10" s="12">
        <v>0.69025170132685609</v>
      </c>
      <c r="C10" s="12">
        <v>1.8977102014787335</v>
      </c>
      <c r="D10" s="14">
        <f t="shared" si="0"/>
        <v>0.29250364977007781</v>
      </c>
      <c r="E10" s="14"/>
      <c r="F10" s="12"/>
      <c r="G10" s="12"/>
      <c r="H10" s="17">
        <f t="shared" si="2"/>
        <v>14464.405395169493</v>
      </c>
      <c r="I10" s="18">
        <f t="shared" si="1"/>
        <v>4.5514637981115103E-2</v>
      </c>
      <c r="L10" s="14">
        <v>0.31219926560324296</v>
      </c>
    </row>
    <row r="11" spans="1:12" x14ac:dyDescent="0.3">
      <c r="A11" s="11">
        <v>15246.100818481305</v>
      </c>
      <c r="B11" s="12">
        <v>0.7357663393079712</v>
      </c>
      <c r="C11" s="12">
        <v>1.8387366413581467</v>
      </c>
      <c r="D11" s="14">
        <f t="shared" si="0"/>
        <v>0.22159337723174846</v>
      </c>
      <c r="E11" s="14"/>
      <c r="F11" s="12"/>
      <c r="G11" s="12"/>
      <c r="H11" s="17">
        <f t="shared" si="2"/>
        <v>17021.971755321643</v>
      </c>
      <c r="I11" s="18">
        <f t="shared" si="1"/>
        <v>8.6024144811399195E-2</v>
      </c>
      <c r="L11" s="14">
        <v>0.2365142783301136</v>
      </c>
    </row>
    <row r="12" spans="1:12" x14ac:dyDescent="0.3">
      <c r="A12" s="11">
        <v>19057.24490869261</v>
      </c>
      <c r="B12" s="12">
        <v>0.82179048411937039</v>
      </c>
      <c r="C12" s="12">
        <v>1.7499386222124622</v>
      </c>
      <c r="D12" s="14">
        <f t="shared" si="0"/>
        <v>0.15426021973696097</v>
      </c>
      <c r="E12" s="14"/>
      <c r="F12" s="12"/>
      <c r="G12" s="12"/>
      <c r="H12" s="17">
        <f t="shared" si="2"/>
        <v>20826.740637975701</v>
      </c>
      <c r="I12" s="18">
        <f t="shared" si="1"/>
        <v>5.6798870108596855E-2</v>
      </c>
      <c r="L12" s="14">
        <v>0.16464726970596832</v>
      </c>
    </row>
    <row r="13" spans="1:12" x14ac:dyDescent="0.3">
      <c r="A13" s="11">
        <v>22868.388998903916</v>
      </c>
      <c r="B13" s="12">
        <v>0.87858935422796725</v>
      </c>
      <c r="C13" s="12">
        <v>1.7144728611966034</v>
      </c>
      <c r="D13" s="14">
        <f t="shared" si="0"/>
        <v>0.1156872974894312</v>
      </c>
      <c r="E13" s="14"/>
      <c r="F13" s="12"/>
      <c r="G13" s="12"/>
      <c r="H13" s="17">
        <f t="shared" si="2"/>
        <v>26127.348854514075</v>
      </c>
      <c r="I13" s="18">
        <f t="shared" si="1"/>
        <v>6.0459523335191778E-2</v>
      </c>
      <c r="L13" s="14">
        <v>0.12347705522380466</v>
      </c>
    </row>
    <row r="14" spans="1:12" x14ac:dyDescent="0.3">
      <c r="A14" s="11">
        <v>30490.677179326525</v>
      </c>
      <c r="B14" s="12">
        <v>0.93904887756315902</v>
      </c>
      <c r="C14" s="12">
        <v>1.711395917557637</v>
      </c>
      <c r="D14" s="14">
        <f t="shared" si="0"/>
        <v>9.8071441160484357E-2</v>
      </c>
      <c r="E14" s="14"/>
      <c r="F14" s="12"/>
      <c r="G14" s="12"/>
      <c r="H14" s="17">
        <f t="shared" si="2"/>
        <v>33808.277929176322</v>
      </c>
      <c r="I14" s="18">
        <f t="shared" si="1"/>
        <v>2.6043601131387595E-2</v>
      </c>
      <c r="L14" s="14">
        <v>0.10467504228074415</v>
      </c>
    </row>
    <row r="15" spans="1:12" x14ac:dyDescent="0.3">
      <c r="A15" s="11">
        <v>38112.965359749134</v>
      </c>
      <c r="B15" s="12">
        <v>0.96509247869454662</v>
      </c>
      <c r="C15" s="12">
        <v>1.7287948261157404</v>
      </c>
      <c r="D15" s="14">
        <f t="shared" si="0"/>
        <v>9.0506135350615066E-2</v>
      </c>
      <c r="E15" s="14"/>
      <c r="F15" s="12"/>
      <c r="G15" s="12"/>
      <c r="H15" s="17">
        <f t="shared" si="2"/>
        <v>49877.383093976394</v>
      </c>
      <c r="I15" s="18">
        <f t="shared" si="1"/>
        <v>2.8504987460430065E-2</v>
      </c>
      <c r="L15" s="14">
        <v>9.6600329641220853E-2</v>
      </c>
    </row>
    <row r="16" spans="1:12" x14ac:dyDescent="0.3">
      <c r="A16" s="11">
        <v>76224.406261862183</v>
      </c>
      <c r="B16" s="12">
        <v>0.99359746615497668</v>
      </c>
      <c r="C16" s="12">
        <v>1.7996558368414952</v>
      </c>
      <c r="D16" s="14">
        <f t="shared" si="0"/>
        <v>9.9003687335209506E-2</v>
      </c>
      <c r="E16" s="16"/>
      <c r="F16" s="12"/>
      <c r="G16" s="12"/>
      <c r="H16" s="17">
        <f>C16*A16</f>
        <v>137177.69763893771</v>
      </c>
      <c r="I16" s="18">
        <f>1-B16</f>
        <v>6.4025338450233171E-3</v>
      </c>
      <c r="L16" s="16">
        <v>0.10567006087739893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2" sqref="D2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1992</v>
      </c>
      <c r="C1" s="8" t="s">
        <v>24</v>
      </c>
      <c r="D1" s="10">
        <v>29052122</v>
      </c>
      <c r="E1" s="8" t="s">
        <v>30</v>
      </c>
      <c r="F1" s="21">
        <f>(SUMPRODUCT(D4:D16,H4:H16,I4:I16)/(D2*B2))/((1-SUMPRODUCT(D4:D16,H4:H16,I4:I16)/B2)/(1-D2))</f>
        <v>0.44587094825978035</v>
      </c>
      <c r="G1" s="19"/>
      <c r="H1" s="16"/>
    </row>
    <row r="2" spans="1:12" x14ac:dyDescent="0.3">
      <c r="A2" s="8" t="s">
        <v>12</v>
      </c>
      <c r="B2" s="11">
        <v>12776.786052148625</v>
      </c>
      <c r="C2" s="8" t="s">
        <v>15</v>
      </c>
      <c r="D2" s="14">
        <f>[1]TD1!$F$99</f>
        <v>0.49042994831087006</v>
      </c>
      <c r="E2" s="18" t="s">
        <v>26</v>
      </c>
      <c r="I2" s="8"/>
      <c r="L2" s="14">
        <v>0.52050838145316891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0.7323870142956177</v>
      </c>
      <c r="E4" s="14"/>
      <c r="F4" s="8"/>
      <c r="G4" s="8"/>
      <c r="H4" s="17">
        <f>((1-B4)*B2-(1-B5)*C5*A5)/(B5-B4)</f>
        <v>3097.0908393387226</v>
      </c>
      <c r="I4" s="18">
        <f t="shared" ref="I4:I15" si="1">B5-B4</f>
        <v>0.31294344006954122</v>
      </c>
      <c r="L4" s="14">
        <v>0.77730485408017957</v>
      </c>
    </row>
    <row r="5" spans="1:12" x14ac:dyDescent="0.3">
      <c r="A5" s="11">
        <v>6099.3550019741724</v>
      </c>
      <c r="B5" s="12">
        <v>0.31294344006954122</v>
      </c>
      <c r="C5" s="12">
        <v>2.8176314929901647</v>
      </c>
      <c r="D5" s="14">
        <f t="shared" si="0"/>
        <v>0.69427902843615741</v>
      </c>
      <c r="E5" s="14"/>
      <c r="F5" s="12"/>
      <c r="G5" s="12"/>
      <c r="H5" s="17">
        <f t="shared" ref="H5:H15" si="2">((1-B5)*C5*A5-(1-B6)*C6*A6)/(B6-B5)</f>
        <v>6844.7370426542657</v>
      </c>
      <c r="I5" s="18">
        <f t="shared" si="1"/>
        <v>8.5571408518799408E-2</v>
      </c>
      <c r="L5" s="14">
        <v>0.73685967713194245</v>
      </c>
    </row>
    <row r="6" spans="1:12" x14ac:dyDescent="0.3">
      <c r="A6" s="11">
        <v>7623.8126380586946</v>
      </c>
      <c r="B6" s="12">
        <v>0.39851484858834063</v>
      </c>
      <c r="C6" s="12">
        <v>2.4471897433231602</v>
      </c>
      <c r="D6" s="14">
        <f t="shared" si="0"/>
        <v>0.58968730183488582</v>
      </c>
      <c r="E6" s="14"/>
      <c r="F6" s="12"/>
      <c r="G6" s="12"/>
      <c r="H6" s="17">
        <f t="shared" si="2"/>
        <v>8398.6741881327052</v>
      </c>
      <c r="I6" s="18">
        <f t="shared" si="1"/>
        <v>8.8547060348982409E-2</v>
      </c>
      <c r="L6" s="14">
        <v>0.62585326222166937</v>
      </c>
    </row>
    <row r="7" spans="1:12" x14ac:dyDescent="0.3">
      <c r="A7" s="11">
        <v>9148.2702741432167</v>
      </c>
      <c r="B7" s="12">
        <v>0.48706190893732304</v>
      </c>
      <c r="C7" s="12">
        <v>2.2329650235483545</v>
      </c>
      <c r="D7" s="14">
        <f t="shared" si="0"/>
        <v>0.51913279510143684</v>
      </c>
      <c r="E7" s="14"/>
      <c r="F7" s="12"/>
      <c r="G7" s="12"/>
      <c r="H7" s="17">
        <f t="shared" si="2"/>
        <v>9887.2988808656046</v>
      </c>
      <c r="I7" s="18">
        <f t="shared" si="1"/>
        <v>8.0143405703721027E-2</v>
      </c>
      <c r="L7" s="14">
        <v>0.55097159516495897</v>
      </c>
    </row>
    <row r="8" spans="1:12" x14ac:dyDescent="0.3">
      <c r="A8" s="11">
        <v>10672.727910227739</v>
      </c>
      <c r="B8" s="12">
        <v>0.56720531464104407</v>
      </c>
      <c r="C8" s="12">
        <v>2.0968973301272631</v>
      </c>
      <c r="D8" s="14">
        <f t="shared" si="0"/>
        <v>0.45143326070131035</v>
      </c>
      <c r="E8" s="14"/>
      <c r="F8" s="12"/>
      <c r="G8" s="12"/>
      <c r="H8" s="17">
        <f t="shared" si="2"/>
        <v>11409.400445317367</v>
      </c>
      <c r="I8" s="18">
        <f t="shared" si="1"/>
        <v>6.6626183106349379E-2</v>
      </c>
      <c r="L8" s="14">
        <v>0.47911999801615185</v>
      </c>
    </row>
    <row r="9" spans="1:12" x14ac:dyDescent="0.3">
      <c r="A9" s="11">
        <v>12197.185546312261</v>
      </c>
      <c r="B9" s="12">
        <v>0.63383149774739345</v>
      </c>
      <c r="C9" s="12">
        <v>1.9984692119075993</v>
      </c>
      <c r="D9" s="14">
        <f t="shared" si="0"/>
        <v>0.4032045869634287</v>
      </c>
      <c r="E9" s="14"/>
      <c r="F9" s="12"/>
      <c r="G9" s="12"/>
      <c r="H9" s="17">
        <f t="shared" si="2"/>
        <v>12893.810102365405</v>
      </c>
      <c r="I9" s="18">
        <f t="shared" si="1"/>
        <v>4.7846694296547421E-2</v>
      </c>
      <c r="L9" s="14">
        <v>0.42793342388176525</v>
      </c>
    </row>
    <row r="10" spans="1:12" x14ac:dyDescent="0.3">
      <c r="A10" s="11">
        <v>13721.643182396783</v>
      </c>
      <c r="B10" s="12">
        <v>0.68167819204394087</v>
      </c>
      <c r="C10" s="12">
        <v>1.902216303106361</v>
      </c>
      <c r="D10" s="14">
        <f t="shared" si="0"/>
        <v>0.31484239030228656</v>
      </c>
      <c r="E10" s="14"/>
      <c r="F10" s="12"/>
      <c r="G10" s="12"/>
      <c r="H10" s="17">
        <f t="shared" si="2"/>
        <v>14484.836145805275</v>
      </c>
      <c r="I10" s="18">
        <f t="shared" si="1"/>
        <v>4.4656875666431506E-2</v>
      </c>
      <c r="L10" s="14">
        <v>0.33415190804214967</v>
      </c>
    </row>
    <row r="11" spans="1:12" x14ac:dyDescent="0.3">
      <c r="A11" s="11">
        <v>15246.100818481305</v>
      </c>
      <c r="B11" s="12">
        <v>0.72633506771037237</v>
      </c>
      <c r="C11" s="12">
        <v>1.8363485983450003</v>
      </c>
      <c r="D11" s="14">
        <f t="shared" si="0"/>
        <v>0.24094743278510511</v>
      </c>
      <c r="E11" s="14"/>
      <c r="F11" s="12"/>
      <c r="G11" s="12"/>
      <c r="H11" s="17">
        <f t="shared" si="2"/>
        <v>17024.284631959817</v>
      </c>
      <c r="I11" s="18">
        <f t="shared" si="1"/>
        <v>8.7595666850084131E-2</v>
      </c>
      <c r="L11" s="14">
        <v>0.25572491787302937</v>
      </c>
    </row>
    <row r="12" spans="1:12" x14ac:dyDescent="0.3">
      <c r="A12" s="11">
        <v>19057.24490869261</v>
      </c>
      <c r="B12" s="12">
        <v>0.8139307345604565</v>
      </c>
      <c r="C12" s="12">
        <v>1.7401699516560722</v>
      </c>
      <c r="D12" s="14">
        <f t="shared" si="0"/>
        <v>0.16677033086766072</v>
      </c>
      <c r="E12" s="14"/>
      <c r="F12" s="12"/>
      <c r="G12" s="12"/>
      <c r="H12" s="17">
        <f t="shared" si="2"/>
        <v>20834.402695447505</v>
      </c>
      <c r="I12" s="18">
        <f t="shared" si="1"/>
        <v>5.8438622831062048E-2</v>
      </c>
      <c r="L12" s="14">
        <v>0.17699847917793146</v>
      </c>
    </row>
    <row r="13" spans="1:12" x14ac:dyDescent="0.3">
      <c r="A13" s="11">
        <v>22868.388998903916</v>
      </c>
      <c r="B13" s="12">
        <v>0.87236935739151855</v>
      </c>
      <c r="C13" s="12">
        <v>1.6970021615142246</v>
      </c>
      <c r="D13" s="14">
        <f t="shared" si="0"/>
        <v>0.12053192609665743</v>
      </c>
      <c r="E13" s="14"/>
      <c r="F13" s="12"/>
      <c r="G13" s="12"/>
      <c r="H13" s="17">
        <f t="shared" si="2"/>
        <v>26146.412532814829</v>
      </c>
      <c r="I13" s="18">
        <f t="shared" si="1"/>
        <v>6.3461285203194495E-2</v>
      </c>
      <c r="L13" s="14">
        <v>0.12792423868502484</v>
      </c>
    </row>
    <row r="14" spans="1:12" x14ac:dyDescent="0.3">
      <c r="A14" s="11">
        <v>30490.677179326525</v>
      </c>
      <c r="B14" s="12">
        <v>0.93583064259471305</v>
      </c>
      <c r="C14" s="12">
        <v>1.6834420617322878</v>
      </c>
      <c r="D14" s="14">
        <f t="shared" si="0"/>
        <v>9.8639849551653946E-2</v>
      </c>
      <c r="E14" s="14"/>
      <c r="F14" s="12"/>
      <c r="G14" s="12"/>
      <c r="H14" s="17">
        <f t="shared" si="2"/>
        <v>33805.771418905584</v>
      </c>
      <c r="I14" s="18">
        <f t="shared" si="1"/>
        <v>2.7819275989547365E-2</v>
      </c>
      <c r="L14" s="14">
        <v>0.10468950481867932</v>
      </c>
    </row>
    <row r="15" spans="1:12" x14ac:dyDescent="0.3">
      <c r="A15" s="11">
        <v>38112.965359749134</v>
      </c>
      <c r="B15" s="12">
        <v>0.96364991858426041</v>
      </c>
      <c r="C15" s="12">
        <v>1.6986425684277893</v>
      </c>
      <c r="D15" s="14">
        <f t="shared" si="0"/>
        <v>9.0081037440600739E-2</v>
      </c>
      <c r="E15" s="14"/>
      <c r="F15" s="12"/>
      <c r="G15" s="12"/>
      <c r="H15" s="17">
        <f t="shared" si="2"/>
        <v>49773.73072150557</v>
      </c>
      <c r="I15" s="18">
        <f t="shared" si="1"/>
        <v>2.9957329795049059E-2</v>
      </c>
      <c r="L15" s="14">
        <v>9.5605774401257462E-2</v>
      </c>
    </row>
    <row r="16" spans="1:12" x14ac:dyDescent="0.3">
      <c r="A16" s="11">
        <v>76224.406261862183</v>
      </c>
      <c r="B16" s="12">
        <v>0.99360724837930947</v>
      </c>
      <c r="C16" s="12">
        <v>1.7694565005767022</v>
      </c>
      <c r="D16" s="14">
        <f t="shared" si="0"/>
        <v>9.8689318994876138E-2</v>
      </c>
      <c r="E16" s="16"/>
      <c r="F16" s="12"/>
      <c r="G16" s="12"/>
      <c r="H16" s="17">
        <f>C16*A16</f>
        <v>134875.77116265154</v>
      </c>
      <c r="I16" s="18">
        <f>1-B16</f>
        <v>6.3927516206905288E-3</v>
      </c>
      <c r="L16" s="16">
        <v>0.10474200825961244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2" sqref="D2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1993</v>
      </c>
      <c r="C1" s="8" t="s">
        <v>24</v>
      </c>
      <c r="D1" s="10">
        <v>29558170</v>
      </c>
      <c r="E1" s="8" t="s">
        <v>30</v>
      </c>
      <c r="F1" s="21">
        <f>(SUMPRODUCT(D4:D16,H4:H16,I4:I16)/(D2*B2))/((1-SUMPRODUCT(D4:D16,H4:H16,I4:I16)/B2)/(1-D2))</f>
        <v>0.44264727704191659</v>
      </c>
      <c r="G1" s="19"/>
      <c r="H1" s="16"/>
    </row>
    <row r="2" spans="1:12" x14ac:dyDescent="0.3">
      <c r="A2" s="8" t="s">
        <v>12</v>
      </c>
      <c r="B2" s="11">
        <v>12837.169191435256</v>
      </c>
      <c r="C2" s="8" t="s">
        <v>15</v>
      </c>
      <c r="D2" s="14">
        <f>[1]TD1!$F$100</f>
        <v>0.50112309753248652</v>
      </c>
      <c r="E2" s="18" t="s">
        <v>26</v>
      </c>
      <c r="I2" s="8"/>
      <c r="L2" s="14">
        <v>0.52715628200257325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14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0.741553152152997</v>
      </c>
      <c r="E4" s="14"/>
      <c r="F4" s="8"/>
      <c r="G4" s="8"/>
      <c r="H4" s="17">
        <f>((1-B4)*B2-(1-B5)*C5*A5)/(B5-B4)</f>
        <v>3071.0985791054886</v>
      </c>
      <c r="I4" s="18">
        <f t="shared" ref="I4:I15" si="1">B5-B4</f>
        <v>0.31539828074606779</v>
      </c>
      <c r="L4" s="14">
        <v>0.7800766009811001</v>
      </c>
    </row>
    <row r="5" spans="1:12" x14ac:dyDescent="0.3">
      <c r="A5" s="11">
        <v>6099.3550019741724</v>
      </c>
      <c r="B5" s="12">
        <v>0.31539828074606779</v>
      </c>
      <c r="C5" s="12">
        <v>2.8423382932260086</v>
      </c>
      <c r="D5" s="14">
        <f t="shared" si="0"/>
        <v>0.71424435032518474</v>
      </c>
      <c r="E5" s="14"/>
      <c r="F5" s="12"/>
      <c r="G5" s="12"/>
      <c r="H5" s="17">
        <f t="shared" ref="H5:H15" si="2">((1-B5)*C5*A5-(1-B6)*C6*A6)/(B6-B5)</f>
        <v>6843.778858334691</v>
      </c>
      <c r="I5" s="18">
        <f t="shared" si="1"/>
        <v>8.4659503616089982E-2</v>
      </c>
      <c r="L5" s="14">
        <v>0.75134911564190887</v>
      </c>
    </row>
    <row r="6" spans="1:12" x14ac:dyDescent="0.3">
      <c r="A6" s="11">
        <v>7623.8126380586946</v>
      </c>
      <c r="B6" s="12">
        <v>0.40005778436215778</v>
      </c>
      <c r="C6" s="12">
        <v>2.4681977656488887</v>
      </c>
      <c r="D6" s="14">
        <f t="shared" si="0"/>
        <v>0.59832174409934546</v>
      </c>
      <c r="E6" s="14"/>
      <c r="F6" s="12"/>
      <c r="G6" s="12"/>
      <c r="H6" s="17">
        <f t="shared" si="2"/>
        <v>8407.9244434686534</v>
      </c>
      <c r="I6" s="18">
        <f t="shared" si="1"/>
        <v>8.4149458508425923E-2</v>
      </c>
      <c r="L6" s="14">
        <v>0.62940436713807402</v>
      </c>
    </row>
    <row r="7" spans="1:12" x14ac:dyDescent="0.3">
      <c r="A7" s="11">
        <v>9148.2702741432167</v>
      </c>
      <c r="B7" s="12">
        <v>0.4842072428705837</v>
      </c>
      <c r="C7" s="12">
        <v>2.2425318682391926</v>
      </c>
      <c r="D7" s="14">
        <f t="shared" si="0"/>
        <v>0.53190379460926096</v>
      </c>
      <c r="E7" s="14"/>
      <c r="F7" s="12"/>
      <c r="G7" s="12"/>
      <c r="H7" s="17">
        <f t="shared" si="2"/>
        <v>9888.1821268927833</v>
      </c>
      <c r="I7" s="18">
        <f t="shared" si="1"/>
        <v>7.8890438751790137E-2</v>
      </c>
      <c r="L7" s="14">
        <v>0.55953602643729872</v>
      </c>
    </row>
    <row r="8" spans="1:12" x14ac:dyDescent="0.3">
      <c r="A8" s="11">
        <v>10672.727910227739</v>
      </c>
      <c r="B8" s="12">
        <v>0.56309768162237384</v>
      </c>
      <c r="C8" s="12">
        <v>2.1020117463188153</v>
      </c>
      <c r="D8" s="14">
        <f t="shared" si="0"/>
        <v>0.46751659406318169</v>
      </c>
      <c r="E8" s="14"/>
      <c r="F8" s="12"/>
      <c r="G8" s="12"/>
      <c r="H8" s="17">
        <f t="shared" si="2"/>
        <v>11411.024135135147</v>
      </c>
      <c r="I8" s="18">
        <f t="shared" si="1"/>
        <v>6.6273622487454276E-2</v>
      </c>
      <c r="L8" s="14">
        <v>0.49180393143797602</v>
      </c>
    </row>
    <row r="9" spans="1:12" x14ac:dyDescent="0.3">
      <c r="A9" s="11">
        <v>12197.185546312261</v>
      </c>
      <c r="B9" s="12">
        <v>0.62937130410982811</v>
      </c>
      <c r="C9" s="12">
        <v>2.0008958695796029</v>
      </c>
      <c r="D9" s="14">
        <f t="shared" si="0"/>
        <v>0.42234182205710191</v>
      </c>
      <c r="E9" s="14"/>
      <c r="F9" s="12"/>
      <c r="G9" s="12"/>
      <c r="H9" s="17">
        <f t="shared" si="2"/>
        <v>12899.133975613175</v>
      </c>
      <c r="I9" s="18">
        <f t="shared" si="1"/>
        <v>5.0298682225591085E-2</v>
      </c>
      <c r="L9" s="14">
        <v>0.44428234448998039</v>
      </c>
    </row>
    <row r="10" spans="1:12" x14ac:dyDescent="0.3">
      <c r="A10" s="11">
        <v>13721.643182396783</v>
      </c>
      <c r="B10" s="12">
        <v>0.6796699863354192</v>
      </c>
      <c r="C10" s="12">
        <v>1.9102677706413704</v>
      </c>
      <c r="D10" s="14">
        <f t="shared" si="0"/>
        <v>0.33598212053855175</v>
      </c>
      <c r="E10" s="14"/>
      <c r="F10" s="12"/>
      <c r="G10" s="12"/>
      <c r="H10" s="17">
        <f t="shared" si="2"/>
        <v>14508.487709230902</v>
      </c>
      <c r="I10" s="18">
        <f t="shared" si="1"/>
        <v>4.2659136204981629E-2</v>
      </c>
      <c r="L10" s="14">
        <v>0.35343628412769662</v>
      </c>
    </row>
    <row r="11" spans="1:12" x14ac:dyDescent="0.3">
      <c r="A11" s="11">
        <v>15246.100818481305</v>
      </c>
      <c r="B11" s="12">
        <v>0.72232912254040083</v>
      </c>
      <c r="C11" s="12">
        <v>1.8371942562995747</v>
      </c>
      <c r="D11" s="14">
        <f t="shared" si="0"/>
        <v>0.25846180836432442</v>
      </c>
      <c r="E11" s="14"/>
      <c r="F11" s="12"/>
      <c r="G11" s="12"/>
      <c r="H11" s="17">
        <f t="shared" si="2"/>
        <v>17024.497764691489</v>
      </c>
      <c r="I11" s="18">
        <f t="shared" si="1"/>
        <v>8.7775630223386636E-2</v>
      </c>
      <c r="L11" s="14">
        <v>0.2718888165560282</v>
      </c>
    </row>
    <row r="12" spans="1:12" x14ac:dyDescent="0.3">
      <c r="A12" s="11">
        <v>19057.24490869261</v>
      </c>
      <c r="B12" s="12">
        <v>0.81010475276378746</v>
      </c>
      <c r="C12" s="12">
        <v>1.7362383989208017</v>
      </c>
      <c r="D12" s="14">
        <f t="shared" si="0"/>
        <v>0.18085973748316536</v>
      </c>
      <c r="E12" s="14"/>
      <c r="F12" s="12"/>
      <c r="G12" s="12"/>
      <c r="H12" s="17">
        <f t="shared" si="2"/>
        <v>20837.145713492599</v>
      </c>
      <c r="I12" s="18">
        <f t="shared" si="1"/>
        <v>5.8941605654206586E-2</v>
      </c>
      <c r="L12" s="14">
        <v>0.19025534293877991</v>
      </c>
    </row>
    <row r="13" spans="1:12" x14ac:dyDescent="0.3">
      <c r="A13" s="11">
        <v>22868.388998903916</v>
      </c>
      <c r="B13" s="12">
        <v>0.86904635841799405</v>
      </c>
      <c r="C13" s="12">
        <v>1.6880041388943465</v>
      </c>
      <c r="D13" s="14">
        <f t="shared" si="0"/>
        <v>0.126741285689107</v>
      </c>
      <c r="E13" s="14"/>
      <c r="F13" s="12"/>
      <c r="G13" s="12"/>
      <c r="H13" s="17">
        <f t="shared" si="2"/>
        <v>26156.947547289132</v>
      </c>
      <c r="I13" s="18">
        <f t="shared" si="1"/>
        <v>6.4985619881068435E-2</v>
      </c>
      <c r="L13" s="14">
        <v>0.13332545490135647</v>
      </c>
    </row>
    <row r="14" spans="1:12" x14ac:dyDescent="0.3">
      <c r="A14" s="11">
        <v>30490.677179326525</v>
      </c>
      <c r="B14" s="12">
        <v>0.93403197829906248</v>
      </c>
      <c r="C14" s="12">
        <v>1.6681030341393519</v>
      </c>
      <c r="D14" s="14">
        <f t="shared" si="0"/>
        <v>0.10063292491880975</v>
      </c>
      <c r="E14" s="14"/>
      <c r="F14" s="12"/>
      <c r="G14" s="12"/>
      <c r="H14" s="17">
        <f t="shared" si="2"/>
        <v>33809.359622384589</v>
      </c>
      <c r="I14" s="18">
        <f t="shared" si="1"/>
        <v>2.8791159939874467E-2</v>
      </c>
      <c r="L14" s="14">
        <v>0.10586077314826783</v>
      </c>
    </row>
    <row r="15" spans="1:12" x14ac:dyDescent="0.3">
      <c r="A15" s="11">
        <v>38112.965359749134</v>
      </c>
      <c r="B15" s="12">
        <v>0.96282313823893695</v>
      </c>
      <c r="C15" s="12">
        <v>1.6809891306116829</v>
      </c>
      <c r="D15" s="14">
        <f t="shared" si="0"/>
        <v>9.0321512481594049E-2</v>
      </c>
      <c r="E15" s="14"/>
      <c r="F15" s="12"/>
      <c r="G15" s="12"/>
      <c r="H15" s="17">
        <f t="shared" si="2"/>
        <v>49686.888893255011</v>
      </c>
      <c r="I15" s="18">
        <f t="shared" si="1"/>
        <v>3.0862431605204299E-2</v>
      </c>
      <c r="L15" s="14">
        <v>9.5013686136387804E-2</v>
      </c>
    </row>
    <row r="16" spans="1:12" x14ac:dyDescent="0.3">
      <c r="A16" s="11">
        <v>76224.406261862183</v>
      </c>
      <c r="B16" s="12">
        <v>0.99368556984414125</v>
      </c>
      <c r="C16" s="12">
        <v>1.7626127709653818</v>
      </c>
      <c r="D16" s="14">
        <f t="shared" si="0"/>
        <v>0.10014309731902155</v>
      </c>
      <c r="E16" s="16"/>
      <c r="F16" s="12"/>
      <c r="G16" s="12"/>
      <c r="H16" s="17">
        <f>C16*A16</f>
        <v>134354.11193641191</v>
      </c>
      <c r="I16" s="18">
        <f>1-B16</f>
        <v>6.3144301558587523E-3</v>
      </c>
      <c r="L16" s="16">
        <v>0.10534549916150084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18" sqref="D18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1994</v>
      </c>
      <c r="C1" s="8" t="s">
        <v>24</v>
      </c>
      <c r="D1" s="10">
        <v>30038236</v>
      </c>
      <c r="E1" s="8" t="s">
        <v>30</v>
      </c>
      <c r="F1" s="21">
        <f>(SUMPRODUCT(D4:D16,H4:H16,I4:I16)/(D2*B2))/((1-SUMPRODUCT(D4:D16,H4:H16,I4:I16)/B2)/(1-D2))</f>
        <v>0.43725698374336763</v>
      </c>
      <c r="G1" s="19"/>
      <c r="H1" s="16"/>
    </row>
    <row r="2" spans="1:12" x14ac:dyDescent="0.3">
      <c r="A2" s="8" t="s">
        <v>12</v>
      </c>
      <c r="B2" s="11">
        <v>12912.74028602515</v>
      </c>
      <c r="C2" s="8" t="s">
        <v>15</v>
      </c>
      <c r="D2" s="14">
        <f>[1]TD1!$F$101</f>
        <v>0.51202786747255891</v>
      </c>
      <c r="E2" s="18" t="s">
        <v>26</v>
      </c>
      <c r="I2" s="8"/>
      <c r="L2" s="14">
        <v>0.5340441762292566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0.75147232700994315</v>
      </c>
      <c r="E4" s="14"/>
      <c r="F4" s="8"/>
      <c r="G4" s="8"/>
      <c r="H4" s="17">
        <f>((1-B4)*B2-(1-B5)*C5*A5)/(B5-B4)</f>
        <v>3033.6604849003297</v>
      </c>
      <c r="I4" s="18">
        <f t="shared" ref="I4:I15" si="1">B5-B4</f>
        <v>0.31866754758834703</v>
      </c>
      <c r="L4" s="14">
        <v>0.78378433154053961</v>
      </c>
    </row>
    <row r="5" spans="1:12" x14ac:dyDescent="0.3">
      <c r="A5" s="11">
        <v>6099.3550019741724</v>
      </c>
      <c r="B5" s="12">
        <v>0.31866754758834703</v>
      </c>
      <c r="C5" s="12">
        <v>2.8746165970853967</v>
      </c>
      <c r="D5" s="14">
        <f t="shared" si="0"/>
        <v>0.73275612015158342</v>
      </c>
      <c r="E5" s="14"/>
      <c r="F5" s="12"/>
      <c r="G5" s="12"/>
      <c r="H5" s="17">
        <f t="shared" ref="H5:H15" si="2">((1-B5)*C5*A5-(1-B6)*C6*A6)/(B6-B5)</f>
        <v>6847.3698191854655</v>
      </c>
      <c r="I5" s="18">
        <f t="shared" si="1"/>
        <v>8.3111371786279364E-2</v>
      </c>
      <c r="L5" s="14">
        <v>0.76426336030288577</v>
      </c>
    </row>
    <row r="6" spans="1:12" x14ac:dyDescent="0.3">
      <c r="A6" s="11">
        <v>7623.8126380586946</v>
      </c>
      <c r="B6" s="12">
        <v>0.4017789193746264</v>
      </c>
      <c r="C6" s="12">
        <v>2.4945410555552829</v>
      </c>
      <c r="D6" s="14">
        <f t="shared" si="0"/>
        <v>0.60958008867740143</v>
      </c>
      <c r="E6" s="14"/>
      <c r="F6" s="12"/>
      <c r="G6" s="12"/>
      <c r="H6" s="17">
        <f t="shared" si="2"/>
        <v>8415.4763939834556</v>
      </c>
      <c r="I6" s="18">
        <f t="shared" si="1"/>
        <v>8.0049840476651202E-2</v>
      </c>
      <c r="L6" s="14">
        <v>0.63579097346869862</v>
      </c>
    </row>
    <row r="7" spans="1:12" x14ac:dyDescent="0.3">
      <c r="A7" s="11">
        <v>9148.2702741432167</v>
      </c>
      <c r="B7" s="12">
        <v>0.4818287598512776</v>
      </c>
      <c r="C7" s="12">
        <v>2.2578950690380757</v>
      </c>
      <c r="D7" s="14">
        <f t="shared" si="0"/>
        <v>0.54774810458678524</v>
      </c>
      <c r="E7" s="14"/>
      <c r="F7" s="12"/>
      <c r="G7" s="12"/>
      <c r="H7" s="17">
        <f t="shared" si="2"/>
        <v>9890.0062009428566</v>
      </c>
      <c r="I7" s="18">
        <f t="shared" si="1"/>
        <v>7.761391181559385E-2</v>
      </c>
      <c r="L7" s="14">
        <v>0.57130032148272381</v>
      </c>
    </row>
    <row r="8" spans="1:12" x14ac:dyDescent="0.3">
      <c r="A8" s="11">
        <v>10672.727910227739</v>
      </c>
      <c r="B8" s="12">
        <v>0.55944267166687145</v>
      </c>
      <c r="C8" s="12">
        <v>2.1130935910133735</v>
      </c>
      <c r="D8" s="14">
        <f t="shared" si="0"/>
        <v>0.48301214172399948</v>
      </c>
      <c r="E8" s="14"/>
      <c r="F8" s="12"/>
      <c r="G8" s="12"/>
      <c r="H8" s="17">
        <f t="shared" si="2"/>
        <v>11413.508710730248</v>
      </c>
      <c r="I8" s="18">
        <f t="shared" si="1"/>
        <v>6.5981737409613661E-2</v>
      </c>
      <c r="L8" s="14">
        <v>0.50378082468245056</v>
      </c>
    </row>
    <row r="9" spans="1:12" x14ac:dyDescent="0.3">
      <c r="A9" s="11">
        <v>12197.185546312261</v>
      </c>
      <c r="B9" s="12">
        <v>0.62542440907648511</v>
      </c>
      <c r="C9" s="12">
        <v>2.0098578274355825</v>
      </c>
      <c r="D9" s="14">
        <f t="shared" si="0"/>
        <v>0.43882439808881252</v>
      </c>
      <c r="E9" s="14"/>
      <c r="F9" s="12"/>
      <c r="G9" s="12"/>
      <c r="H9" s="17">
        <f t="shared" si="2"/>
        <v>12912.284030169787</v>
      </c>
      <c r="I9" s="18">
        <f t="shared" si="1"/>
        <v>5.2228666157360104E-2</v>
      </c>
      <c r="L9" s="14">
        <v>0.45769308483819748</v>
      </c>
    </row>
    <row r="10" spans="1:12" x14ac:dyDescent="0.3">
      <c r="A10" s="11">
        <v>13721.643182396783</v>
      </c>
      <c r="B10" s="12">
        <v>0.67765307523384521</v>
      </c>
      <c r="C10" s="12">
        <v>1.9235662792968078</v>
      </c>
      <c r="D10" s="14">
        <f t="shared" si="0"/>
        <v>0.35571317919596385</v>
      </c>
      <c r="E10" s="14"/>
      <c r="F10" s="12"/>
      <c r="G10" s="12"/>
      <c r="H10" s="17">
        <f t="shared" si="2"/>
        <v>14519.045905702798</v>
      </c>
      <c r="I10" s="18">
        <f t="shared" si="1"/>
        <v>4.1140631560388607E-2</v>
      </c>
      <c r="L10" s="14">
        <v>0.37100822792185095</v>
      </c>
    </row>
    <row r="11" spans="1:12" x14ac:dyDescent="0.3">
      <c r="A11" s="11">
        <v>15246.100818481305</v>
      </c>
      <c r="B11" s="12">
        <v>0.71879370679423382</v>
      </c>
      <c r="C11" s="12">
        <v>1.845184832310151</v>
      </c>
      <c r="D11" s="14">
        <f t="shared" si="0"/>
        <v>0.27442791064325112</v>
      </c>
      <c r="E11" s="14"/>
      <c r="F11" s="12"/>
      <c r="G11" s="12"/>
      <c r="H11" s="17">
        <f t="shared" si="2"/>
        <v>17027.60314940484</v>
      </c>
      <c r="I11" s="18">
        <f t="shared" si="1"/>
        <v>8.7977136873150674E-2</v>
      </c>
      <c r="L11" s="14">
        <v>0.28622783403804775</v>
      </c>
    </row>
    <row r="12" spans="1:12" x14ac:dyDescent="0.3">
      <c r="A12" s="11">
        <v>19057.24490869261</v>
      </c>
      <c r="B12" s="12">
        <v>0.8067708436673845</v>
      </c>
      <c r="C12" s="12">
        <v>1.7414711842787209</v>
      </c>
      <c r="D12" s="14">
        <f t="shared" si="0"/>
        <v>0.19238898852301106</v>
      </c>
      <c r="E12" s="14"/>
      <c r="F12" s="12"/>
      <c r="G12" s="12"/>
      <c r="H12" s="17">
        <f t="shared" si="2"/>
        <v>20837.907765537315</v>
      </c>
      <c r="I12" s="18">
        <f t="shared" si="1"/>
        <v>5.9214628981542061E-2</v>
      </c>
      <c r="L12" s="14">
        <v>0.20066138079263374</v>
      </c>
    </row>
    <row r="13" spans="1:12" x14ac:dyDescent="0.3">
      <c r="A13" s="11">
        <v>22868.388998903916</v>
      </c>
      <c r="B13" s="12">
        <v>0.86598547264892656</v>
      </c>
      <c r="C13" s="12">
        <v>1.68986113921032</v>
      </c>
      <c r="D13" s="14">
        <f t="shared" si="0"/>
        <v>0.13263182925344469</v>
      </c>
      <c r="E13" s="14"/>
      <c r="F13" s="12"/>
      <c r="G13" s="12"/>
      <c r="H13" s="17">
        <f t="shared" si="2"/>
        <v>26163.96249483167</v>
      </c>
      <c r="I13" s="18">
        <f t="shared" si="1"/>
        <v>6.6156681104709292E-2</v>
      </c>
      <c r="L13" s="14">
        <v>0.13833476749042636</v>
      </c>
    </row>
    <row r="14" spans="1:12" x14ac:dyDescent="0.3">
      <c r="A14" s="11">
        <v>30490.677179326525</v>
      </c>
      <c r="B14" s="12">
        <v>0.93214215375363585</v>
      </c>
      <c r="C14" s="12">
        <v>1.6664753647561914</v>
      </c>
      <c r="D14" s="14">
        <f t="shared" si="0"/>
        <v>0.1031902854260472</v>
      </c>
      <c r="E14" s="14"/>
      <c r="F14" s="12"/>
      <c r="G14" s="12"/>
      <c r="H14" s="17">
        <f t="shared" si="2"/>
        <v>33812.101664841481</v>
      </c>
      <c r="I14" s="18">
        <f t="shared" si="1"/>
        <v>2.9744190038323182E-2</v>
      </c>
      <c r="L14" s="14">
        <v>0.10762728842716486</v>
      </c>
    </row>
    <row r="15" spans="1:12" x14ac:dyDescent="0.3">
      <c r="A15" s="11">
        <v>38112.965359749134</v>
      </c>
      <c r="B15" s="12">
        <v>0.96188634379195903</v>
      </c>
      <c r="C15" s="12">
        <v>1.6812857156321774</v>
      </c>
      <c r="D15" s="14">
        <f t="shared" si="0"/>
        <v>9.1015420186592685E-2</v>
      </c>
      <c r="E15" s="14"/>
      <c r="F15" s="12"/>
      <c r="G15" s="12"/>
      <c r="H15" s="17">
        <f t="shared" si="2"/>
        <v>49626.655503780356</v>
      </c>
      <c r="I15" s="18">
        <f t="shared" si="1"/>
        <v>3.1698432624339135E-2</v>
      </c>
      <c r="L15" s="14">
        <v>9.4928925133774086E-2</v>
      </c>
    </row>
    <row r="16" spans="1:12" x14ac:dyDescent="0.3">
      <c r="A16" s="11">
        <v>76224.406261862183</v>
      </c>
      <c r="B16" s="12">
        <v>0.99358477641629817</v>
      </c>
      <c r="C16" s="12">
        <v>1.7774960836368787</v>
      </c>
      <c r="D16" s="14">
        <f t="shared" si="0"/>
        <v>0.10289179109354125</v>
      </c>
      <c r="E16" s="16"/>
      <c r="F16" s="12"/>
      <c r="G16" s="12"/>
      <c r="H16" s="17">
        <f>C16*A16</f>
        <v>135488.58360800642</v>
      </c>
      <c r="I16" s="18">
        <f>1-B16</f>
        <v>6.4152235837018345E-3</v>
      </c>
      <c r="L16" s="16">
        <v>0.10731595935693454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18" sqref="D18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1995</v>
      </c>
      <c r="C1" s="8" t="s">
        <v>24</v>
      </c>
      <c r="D1" s="10">
        <v>30585130</v>
      </c>
      <c r="E1" s="8" t="s">
        <v>30</v>
      </c>
      <c r="F1" s="21">
        <f>(SUMPRODUCT(D4:D16,H4:H16,I4:I16)/(D2*B2))/((1-SUMPRODUCT(D4:D16,H4:H16,I4:I16)/B2)/(1-D2))</f>
        <v>0.44517493941622943</v>
      </c>
      <c r="G1" s="19"/>
      <c r="H1" s="16"/>
    </row>
    <row r="2" spans="1:12" x14ac:dyDescent="0.3">
      <c r="A2" s="8" t="s">
        <v>12</v>
      </c>
      <c r="B2" s="11">
        <v>13096.566883266414</v>
      </c>
      <c r="C2" s="8" t="s">
        <v>15</v>
      </c>
      <c r="D2" s="14">
        <f>[1]TD1!$F$102</f>
        <v>0.52796270024321856</v>
      </c>
      <c r="E2" s="18" t="s">
        <v>26</v>
      </c>
      <c r="I2" s="8"/>
      <c r="L2" s="14">
        <v>0.55757125898349891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0.74394091264924034</v>
      </c>
      <c r="E4" s="14"/>
      <c r="F4" s="8"/>
      <c r="G4" s="8"/>
      <c r="H4" s="17">
        <f>((1-B4)*B2-(1-B5)*C5*A5)/(B5-B4)</f>
        <v>3012.2259072604702</v>
      </c>
      <c r="I4" s="18">
        <f t="shared" ref="I4:I15" si="1">B5-B4</f>
        <v>0.31563835105490801</v>
      </c>
      <c r="L4" s="14">
        <v>0.78566169747234527</v>
      </c>
    </row>
    <row r="5" spans="1:12" x14ac:dyDescent="0.3">
      <c r="A5" s="11">
        <v>6099.3550019741724</v>
      </c>
      <c r="B5" s="12">
        <v>0.31563835105490801</v>
      </c>
      <c r="C5" s="12">
        <v>2.9097541407797922</v>
      </c>
      <c r="D5" s="14">
        <f t="shared" si="0"/>
        <v>0.75028693711352445</v>
      </c>
      <c r="E5" s="14"/>
      <c r="F5" s="12"/>
      <c r="G5" s="12"/>
      <c r="H5" s="17">
        <f t="shared" ref="H5:H15" si="2">((1-B5)*C5*A5-(1-B6)*C6*A6)/(B6-B5)</f>
        <v>6856.3983456582619</v>
      </c>
      <c r="I5" s="18">
        <f t="shared" si="1"/>
        <v>8.3446073304249579E-2</v>
      </c>
      <c r="L5" s="14">
        <v>0.79236361192285665</v>
      </c>
    </row>
    <row r="6" spans="1:12" x14ac:dyDescent="0.3">
      <c r="A6" s="11">
        <v>7623.8126380586946</v>
      </c>
      <c r="B6" s="12">
        <v>0.39908442435915759</v>
      </c>
      <c r="C6" s="12">
        <v>2.5262992587006292</v>
      </c>
      <c r="D6" s="14">
        <f t="shared" si="0"/>
        <v>0.65473851253771775</v>
      </c>
      <c r="E6" s="14"/>
      <c r="F6" s="12"/>
      <c r="G6" s="12"/>
      <c r="H6" s="17">
        <f t="shared" si="2"/>
        <v>8419.8257916723396</v>
      </c>
      <c r="I6" s="18">
        <f t="shared" si="1"/>
        <v>7.7137157828003344E-2</v>
      </c>
      <c r="L6" s="14">
        <v>0.69145675740438395</v>
      </c>
    </row>
    <row r="7" spans="1:12" x14ac:dyDescent="0.3">
      <c r="A7" s="11">
        <v>9148.2702741432167</v>
      </c>
      <c r="B7" s="12">
        <v>0.47622158218716093</v>
      </c>
      <c r="C7" s="12">
        <v>2.2798272473181185</v>
      </c>
      <c r="D7" s="14">
        <f t="shared" si="0"/>
        <v>0.58170894566007636</v>
      </c>
      <c r="E7" s="14"/>
      <c r="F7" s="12"/>
      <c r="G7" s="12"/>
      <c r="H7" s="17">
        <f t="shared" si="2"/>
        <v>9890.4756158338078</v>
      </c>
      <c r="I7" s="18">
        <f t="shared" si="1"/>
        <v>7.672744892697847E-2</v>
      </c>
      <c r="L7" s="14">
        <v>0.61433163563303939</v>
      </c>
    </row>
    <row r="8" spans="1:12" x14ac:dyDescent="0.3">
      <c r="A8" s="11">
        <v>10672.727910227739</v>
      </c>
      <c r="B8" s="12">
        <v>0.5529490311141394</v>
      </c>
      <c r="C8" s="12">
        <v>2.1305305336717337</v>
      </c>
      <c r="D8" s="14">
        <f t="shared" si="0"/>
        <v>0.52239024641868193</v>
      </c>
      <c r="E8" s="14"/>
      <c r="F8" s="12"/>
      <c r="G8" s="12"/>
      <c r="H8" s="17">
        <f t="shared" si="2"/>
        <v>11414.574763256433</v>
      </c>
      <c r="I8" s="18">
        <f t="shared" si="1"/>
        <v>6.5441507032992896E-2</v>
      </c>
      <c r="L8" s="14">
        <v>0.5516862976156921</v>
      </c>
    </row>
    <row r="9" spans="1:12" x14ac:dyDescent="0.3">
      <c r="A9" s="11">
        <v>12197.185546312261</v>
      </c>
      <c r="B9" s="12">
        <v>0.6183905381471323</v>
      </c>
      <c r="C9" s="12">
        <v>2.0234589562937328</v>
      </c>
      <c r="D9" s="14">
        <f t="shared" si="0"/>
        <v>0.4678720173483788</v>
      </c>
      <c r="E9" s="14"/>
      <c r="F9" s="12"/>
      <c r="G9" s="12"/>
      <c r="H9" s="17">
        <f t="shared" si="2"/>
        <v>12920.634623042044</v>
      </c>
      <c r="I9" s="18">
        <f t="shared" si="1"/>
        <v>5.351731380576108E-2</v>
      </c>
      <c r="L9" s="14">
        <v>0.49411064386917508</v>
      </c>
    </row>
    <row r="10" spans="1:12" x14ac:dyDescent="0.3">
      <c r="A10" s="11">
        <v>13721.643182396783</v>
      </c>
      <c r="B10" s="12">
        <v>0.67190785195289338</v>
      </c>
      <c r="C10" s="12">
        <v>1.9384511980294441</v>
      </c>
      <c r="D10" s="14">
        <f t="shared" si="0"/>
        <v>0.43702127123971202</v>
      </c>
      <c r="E10" s="14"/>
      <c r="F10" s="12"/>
      <c r="G10" s="12"/>
      <c r="H10" s="17">
        <f t="shared" si="2"/>
        <v>14501.213292488112</v>
      </c>
      <c r="I10" s="18">
        <f t="shared" si="1"/>
        <v>4.019737696063419E-2</v>
      </c>
      <c r="L10" s="14">
        <v>0.46152976393113149</v>
      </c>
    </row>
    <row r="11" spans="1:12" x14ac:dyDescent="0.3">
      <c r="A11" s="11">
        <v>15246.100818481305</v>
      </c>
      <c r="B11" s="12">
        <v>0.71210522891352757</v>
      </c>
      <c r="C11" s="12">
        <v>1.8554157214661671</v>
      </c>
      <c r="D11" s="14">
        <f t="shared" si="0"/>
        <v>0.31452888411095609</v>
      </c>
      <c r="E11" s="14"/>
      <c r="F11" s="12"/>
      <c r="G11" s="12"/>
      <c r="H11" s="17">
        <f t="shared" si="2"/>
        <v>17027.080142135324</v>
      </c>
      <c r="I11" s="18">
        <f t="shared" si="1"/>
        <v>8.8863084773548429E-2</v>
      </c>
      <c r="L11" s="14">
        <v>0.33216790848980698</v>
      </c>
    </row>
    <row r="12" spans="1:12" x14ac:dyDescent="0.3">
      <c r="A12" s="11">
        <v>19057.24490869261</v>
      </c>
      <c r="B12" s="12">
        <v>0.80096831368707599</v>
      </c>
      <c r="C12" s="12">
        <v>1.7481820261168859</v>
      </c>
      <c r="D12" s="14">
        <f t="shared" si="0"/>
        <v>0.22249875057079435</v>
      </c>
      <c r="E12" s="14"/>
      <c r="F12" s="12"/>
      <c r="G12" s="12"/>
      <c r="H12" s="17">
        <f t="shared" si="2"/>
        <v>20841.101968680636</v>
      </c>
      <c r="I12" s="18">
        <f t="shared" si="1"/>
        <v>6.0043491722938658E-2</v>
      </c>
      <c r="L12" s="14">
        <v>0.23497665350386043</v>
      </c>
    </row>
    <row r="13" spans="1:12" x14ac:dyDescent="0.3">
      <c r="A13" s="11">
        <v>22868.388998903916</v>
      </c>
      <c r="B13" s="12">
        <v>0.86101180541001465</v>
      </c>
      <c r="C13" s="12">
        <v>1.6924909023452186</v>
      </c>
      <c r="D13" s="14">
        <f t="shared" si="0"/>
        <v>0.14764853125747746</v>
      </c>
      <c r="E13" s="14"/>
      <c r="F13" s="12"/>
      <c r="G13" s="12"/>
      <c r="H13" s="17">
        <f t="shared" si="2"/>
        <v>26185.118817406335</v>
      </c>
      <c r="I13" s="18">
        <f t="shared" si="1"/>
        <v>6.8003863315277635E-2</v>
      </c>
      <c r="L13" s="14">
        <v>0.15592877569262265</v>
      </c>
    </row>
    <row r="14" spans="1:12" x14ac:dyDescent="0.3">
      <c r="A14" s="11">
        <v>30490.677179326525</v>
      </c>
      <c r="B14" s="12">
        <v>0.92901566872529229</v>
      </c>
      <c r="C14" s="12">
        <v>1.6627475993045653</v>
      </c>
      <c r="D14" s="14">
        <f t="shared" si="0"/>
        <v>0.11018097631280327</v>
      </c>
      <c r="E14" s="14"/>
      <c r="F14" s="12"/>
      <c r="G14" s="12"/>
      <c r="H14" s="17">
        <f t="shared" si="2"/>
        <v>33822.732927456025</v>
      </c>
      <c r="I14" s="18">
        <f t="shared" si="1"/>
        <v>3.1086642430488309E-2</v>
      </c>
      <c r="L14" s="14">
        <v>0.11636001113423329</v>
      </c>
    </row>
    <row r="15" spans="1:12" x14ac:dyDescent="0.3">
      <c r="A15" s="11">
        <v>38112.965359749134</v>
      </c>
      <c r="B15" s="12">
        <v>0.9601023111557806</v>
      </c>
      <c r="C15" s="12">
        <v>1.6752055232785001</v>
      </c>
      <c r="D15" s="14">
        <f t="shared" si="0"/>
        <v>9.4692985518033485E-2</v>
      </c>
      <c r="E15" s="14"/>
      <c r="F15" s="12"/>
      <c r="G15" s="12"/>
      <c r="H15" s="17">
        <f t="shared" si="2"/>
        <v>49631.353185315529</v>
      </c>
      <c r="I15" s="18">
        <f t="shared" si="1"/>
        <v>3.3213100614579716E-2</v>
      </c>
      <c r="L15" s="14">
        <v>0.10000344177320381</v>
      </c>
    </row>
    <row r="16" spans="1:12" x14ac:dyDescent="0.3">
      <c r="A16" s="11">
        <v>76224.406261862183</v>
      </c>
      <c r="B16" s="12">
        <v>0.99331541177036031</v>
      </c>
      <c r="C16" s="12">
        <v>1.7642548675372915</v>
      </c>
      <c r="D16" s="14">
        <f t="shared" si="0"/>
        <v>0.10282700936585613</v>
      </c>
      <c r="E16" s="16"/>
      <c r="F16" s="12"/>
      <c r="G16" s="12"/>
      <c r="H16" s="17">
        <f>C16*A16</f>
        <v>134479.27977263037</v>
      </c>
      <c r="I16" s="18">
        <f>1-B16</f>
        <v>6.6845882296396875E-3</v>
      </c>
      <c r="L16" s="16">
        <v>0.10859362800291848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18" sqref="D18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1996</v>
      </c>
      <c r="C1" s="8" t="s">
        <v>24</v>
      </c>
      <c r="D1" s="10">
        <v>31081429.042596404</v>
      </c>
      <c r="E1" s="8" t="s">
        <v>30</v>
      </c>
      <c r="F1" s="21">
        <f>(SUMPRODUCT(D4:D16,H4:H16,I4:I16)/(D2*B2))/((1-SUMPRODUCT(D4:D16,H4:H16,I4:I16)/B2)/(1-D2))</f>
        <v>0.42831092393847103</v>
      </c>
      <c r="G1" s="19"/>
      <c r="H1" s="16"/>
      <c r="L1" s="19"/>
    </row>
    <row r="2" spans="1:12" x14ac:dyDescent="0.3">
      <c r="A2" s="8" t="s">
        <v>12</v>
      </c>
      <c r="B2" s="11">
        <v>13316.225575572247</v>
      </c>
      <c r="C2" s="8" t="s">
        <v>15</v>
      </c>
      <c r="D2" s="14">
        <f>[1]TD1!$F$103</f>
        <v>0.54342688241357928</v>
      </c>
      <c r="E2" s="18" t="s">
        <v>26</v>
      </c>
      <c r="I2" s="8"/>
      <c r="L2" s="14">
        <v>0.56312829532118502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0.78394323716834735</v>
      </c>
      <c r="E4" s="14"/>
      <c r="F4" s="8"/>
      <c r="G4" s="8"/>
      <c r="H4" s="17">
        <f>((1-B4)*B2-(1-B5)*C5*A5)/(B5-B4)</f>
        <v>3015.8860164817256</v>
      </c>
      <c r="I4" s="18">
        <f t="shared" ref="I4:I15" si="1">B5-B4</f>
        <v>0.305418141225833</v>
      </c>
      <c r="L4" s="14">
        <v>0.81236433651290341</v>
      </c>
    </row>
    <row r="5" spans="1:12" x14ac:dyDescent="0.3">
      <c r="A5" s="11">
        <v>6099.3550019741724</v>
      </c>
      <c r="B5" s="12">
        <v>0.305418141225833</v>
      </c>
      <c r="C5" s="12">
        <v>2.9257914244125081</v>
      </c>
      <c r="D5" s="14">
        <f t="shared" si="0"/>
        <v>0.78646207922651512</v>
      </c>
      <c r="E5" s="14"/>
      <c r="F5" s="12"/>
      <c r="G5" s="12"/>
      <c r="H5" s="17">
        <f t="shared" ref="H5:H15" si="2">((1-B5)*C5*A5-(1-B6)*C6*A6)/(B6-B5)</f>
        <v>6847.9511459310907</v>
      </c>
      <c r="I5" s="18">
        <f t="shared" si="1"/>
        <v>8.4661865929251956E-2</v>
      </c>
      <c r="L5" s="14">
        <v>0.81497449673924238</v>
      </c>
    </row>
    <row r="6" spans="1:12" x14ac:dyDescent="0.3">
      <c r="A6" s="11">
        <v>7623.8126380586946</v>
      </c>
      <c r="B6" s="12">
        <v>0.39008000715508495</v>
      </c>
      <c r="C6" s="12">
        <v>2.5409834475683373</v>
      </c>
      <c r="D6" s="14">
        <f t="shared" si="0"/>
        <v>0.67284054642345381</v>
      </c>
      <c r="E6" s="14"/>
      <c r="F6" s="12"/>
      <c r="G6" s="12"/>
      <c r="H6" s="17">
        <f t="shared" si="2"/>
        <v>8398.0669767934978</v>
      </c>
      <c r="I6" s="18">
        <f t="shared" si="1"/>
        <v>7.6759734629146648E-2</v>
      </c>
      <c r="L6" s="14">
        <v>0.69723372580978205</v>
      </c>
    </row>
    <row r="7" spans="1:12" x14ac:dyDescent="0.3">
      <c r="A7" s="11">
        <v>9148.2702741432167</v>
      </c>
      <c r="B7" s="12">
        <v>0.4668397417842316</v>
      </c>
      <c r="C7" s="12">
        <v>2.2902591444804741</v>
      </c>
      <c r="D7" s="14">
        <f t="shared" si="0"/>
        <v>0.60165266218442182</v>
      </c>
      <c r="E7" s="14"/>
      <c r="F7" s="12"/>
      <c r="G7" s="12"/>
      <c r="H7" s="17">
        <f t="shared" si="2"/>
        <v>9881.0910944979933</v>
      </c>
      <c r="I7" s="18">
        <f t="shared" si="1"/>
        <v>7.7213501890089464E-2</v>
      </c>
      <c r="L7" s="14">
        <v>0.62346499408822775</v>
      </c>
    </row>
    <row r="8" spans="1:12" x14ac:dyDescent="0.3">
      <c r="A8" s="11">
        <v>10672.727910227739</v>
      </c>
      <c r="B8" s="12">
        <v>0.54405324367432106</v>
      </c>
      <c r="C8" s="12">
        <v>2.1387902616220216</v>
      </c>
      <c r="D8" s="14">
        <f t="shared" si="0"/>
        <v>0.53639447852895417</v>
      </c>
      <c r="E8" s="14"/>
      <c r="F8" s="12"/>
      <c r="G8" s="12"/>
      <c r="H8" s="17">
        <f t="shared" si="2"/>
        <v>11402.768947183737</v>
      </c>
      <c r="I8" s="18">
        <f t="shared" si="1"/>
        <v>6.5399051886147919E-2</v>
      </c>
      <c r="L8" s="14">
        <v>0.55584093847573346</v>
      </c>
    </row>
    <row r="9" spans="1:12" x14ac:dyDescent="0.3">
      <c r="A9" s="11">
        <v>12197.185546312261</v>
      </c>
      <c r="B9" s="12">
        <v>0.60945229556046898</v>
      </c>
      <c r="C9" s="12">
        <v>2.0283139833501331</v>
      </c>
      <c r="D9" s="14">
        <f t="shared" si="0"/>
        <v>0.48265830516303854</v>
      </c>
      <c r="E9" s="14"/>
      <c r="F9" s="12"/>
      <c r="G9" s="12"/>
      <c r="H9" s="17">
        <f t="shared" si="2"/>
        <v>12913.922178793622</v>
      </c>
      <c r="I9" s="18">
        <f t="shared" si="1"/>
        <v>5.4863788129289603E-2</v>
      </c>
      <c r="L9" s="14">
        <v>0.50015661242577214</v>
      </c>
    </row>
    <row r="10" spans="1:12" x14ac:dyDescent="0.3">
      <c r="A10" s="11">
        <v>13721.643182396783</v>
      </c>
      <c r="B10" s="12">
        <v>0.66431608368975859</v>
      </c>
      <c r="C10" s="12">
        <v>1.943828198242127</v>
      </c>
      <c r="D10" s="14">
        <f t="shared" si="0"/>
        <v>0.43265535597707133</v>
      </c>
      <c r="E10" s="14"/>
      <c r="F10" s="12"/>
      <c r="G10" s="12"/>
      <c r="H10" s="17">
        <f t="shared" si="2"/>
        <v>14453.536189348721</v>
      </c>
      <c r="I10" s="18">
        <f t="shared" si="1"/>
        <v>3.9578451451361962E-2</v>
      </c>
      <c r="L10" s="14">
        <v>0.44834085496625137</v>
      </c>
    </row>
    <row r="11" spans="1:12" x14ac:dyDescent="0.3">
      <c r="A11" s="11">
        <v>15246.100818481305</v>
      </c>
      <c r="B11" s="12">
        <v>0.70389453514112055</v>
      </c>
      <c r="C11" s="12">
        <v>1.8565892557657071</v>
      </c>
      <c r="D11" s="14">
        <f t="shared" si="0"/>
        <v>0.31605761060229542</v>
      </c>
      <c r="E11" s="14"/>
      <c r="F11" s="12"/>
      <c r="G11" s="12"/>
      <c r="H11" s="17">
        <f t="shared" si="2"/>
        <v>17008.444676988667</v>
      </c>
      <c r="I11" s="18">
        <f t="shared" si="1"/>
        <v>9.0650148696491573E-2</v>
      </c>
      <c r="L11" s="14">
        <v>0.32751597177392433</v>
      </c>
    </row>
    <row r="12" spans="1:12" x14ac:dyDescent="0.3">
      <c r="A12" s="11">
        <v>19057.24490869261</v>
      </c>
      <c r="B12" s="12">
        <v>0.79454468383761212</v>
      </c>
      <c r="C12" s="12">
        <v>1.7468577612726821</v>
      </c>
      <c r="D12" s="14">
        <f t="shared" si="0"/>
        <v>0.22273500020073131</v>
      </c>
      <c r="E12" s="14"/>
      <c r="F12" s="12"/>
      <c r="G12" s="12"/>
      <c r="H12" s="17">
        <f t="shared" si="2"/>
        <v>20817.878250950176</v>
      </c>
      <c r="I12" s="18">
        <f t="shared" si="1"/>
        <v>6.1470134322529901E-2</v>
      </c>
      <c r="L12" s="14">
        <v>0.23081004092827229</v>
      </c>
    </row>
    <row r="13" spans="1:12" x14ac:dyDescent="0.3">
      <c r="A13" s="11">
        <v>22868.388998903916</v>
      </c>
      <c r="B13" s="12">
        <v>0.85601481816014202</v>
      </c>
      <c r="C13" s="12">
        <v>1.6885762766355161</v>
      </c>
      <c r="D13" s="14">
        <f t="shared" si="0"/>
        <v>0.14963539514212912</v>
      </c>
      <c r="E13" s="14"/>
      <c r="F13" s="12"/>
      <c r="G13" s="12"/>
      <c r="H13" s="17">
        <f t="shared" si="2"/>
        <v>26163.384311356371</v>
      </c>
      <c r="I13" s="18">
        <f t="shared" si="1"/>
        <v>7.0070752151619065E-2</v>
      </c>
      <c r="L13" s="14">
        <v>0.15506028080879772</v>
      </c>
    </row>
    <row r="14" spans="1:12" x14ac:dyDescent="0.3">
      <c r="A14" s="11">
        <v>30490.677179326525</v>
      </c>
      <c r="B14" s="12">
        <v>0.92608557031176109</v>
      </c>
      <c r="C14" s="12">
        <v>1.6535922521663002</v>
      </c>
      <c r="D14" s="14">
        <f t="shared" si="0"/>
        <v>0.11337763440491531</v>
      </c>
      <c r="E14" s="14"/>
      <c r="F14" s="12"/>
      <c r="G14" s="12"/>
      <c r="H14" s="17">
        <f t="shared" si="2"/>
        <v>33795.089090654888</v>
      </c>
      <c r="I14" s="18">
        <f t="shared" si="1"/>
        <v>3.2227923044561568E-2</v>
      </c>
      <c r="L14" s="14">
        <v>0.11748803023218472</v>
      </c>
    </row>
    <row r="15" spans="1:12" x14ac:dyDescent="0.3">
      <c r="A15" s="11">
        <v>38112.965359749134</v>
      </c>
      <c r="B15" s="12">
        <v>0.95831349335632265</v>
      </c>
      <c r="C15" s="12">
        <v>1.6600975637296957</v>
      </c>
      <c r="D15" s="14">
        <f t="shared" si="0"/>
        <v>9.8212291257007631E-2</v>
      </c>
      <c r="E15" s="14"/>
      <c r="F15" s="12"/>
      <c r="G15" s="12"/>
      <c r="H15" s="17">
        <f t="shared" si="2"/>
        <v>49557.958216339888</v>
      </c>
      <c r="I15" s="18">
        <f t="shared" si="1"/>
        <v>3.4902455010417888E-2</v>
      </c>
      <c r="L15" s="14">
        <v>0.10177288232321065</v>
      </c>
    </row>
    <row r="16" spans="1:12" x14ac:dyDescent="0.3">
      <c r="A16" s="11">
        <v>76224.406261862183</v>
      </c>
      <c r="B16" s="12">
        <v>0.99321594836674054</v>
      </c>
      <c r="C16" s="12">
        <v>1.7556459135884606</v>
      </c>
      <c r="D16" s="14">
        <f t="shared" si="0"/>
        <v>0.10572379368735627</v>
      </c>
      <c r="E16" s="16"/>
      <c r="F16" s="12"/>
      <c r="G16" s="12"/>
      <c r="H16" s="17">
        <f>C16*A16</f>
        <v>133823.06736934499</v>
      </c>
      <c r="I16" s="18">
        <f>1-B16</f>
        <v>6.784051633259458E-3</v>
      </c>
      <c r="L16" s="16">
        <v>0.1095567069660334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18" sqref="D18"/>
    </sheetView>
  </sheetViews>
  <sheetFormatPr baseColWidth="10" defaultRowHeight="15.6" x14ac:dyDescent="0.3"/>
  <cols>
    <col min="1" max="9" width="12.5" customWidth="1"/>
    <col min="10" max="11" width="11.796875" bestFit="1" customWidth="1"/>
  </cols>
  <sheetData>
    <row r="1" spans="1:12" x14ac:dyDescent="0.3">
      <c r="A1" s="8" t="s">
        <v>9</v>
      </c>
      <c r="B1" s="8">
        <v>1997</v>
      </c>
      <c r="C1" s="8" t="s">
        <v>24</v>
      </c>
      <c r="D1" s="10">
        <v>31537614</v>
      </c>
      <c r="E1" s="8" t="s">
        <v>30</v>
      </c>
      <c r="F1" s="21">
        <f>(SUMPRODUCT(D4:D16,H4:H16,I4:I16)/(D2*B2))/((1-SUMPRODUCT(D4:D16,H4:H16,I4:I16)/B2)/(1-D2))</f>
        <v>0.42304426006471429</v>
      </c>
      <c r="J1" s="19" t="s">
        <v>41</v>
      </c>
      <c r="K1" s="20">
        <f>K2/((1-$D2*K2)/(1-$D2))</f>
        <v>0.42323963156138061</v>
      </c>
      <c r="L1" s="19"/>
    </row>
    <row r="2" spans="1:12" x14ac:dyDescent="0.3">
      <c r="A2" s="8" t="s">
        <v>12</v>
      </c>
      <c r="B2" s="11">
        <v>13466.717823543526</v>
      </c>
      <c r="C2" s="8" t="s">
        <v>15</v>
      </c>
      <c r="D2" s="14">
        <f>[1]TD1!$F$104</f>
        <v>0.55742857349837371</v>
      </c>
      <c r="E2" s="18" t="s">
        <v>26</v>
      </c>
      <c r="I2" s="8"/>
      <c r="J2" s="8" t="s">
        <v>40</v>
      </c>
      <c r="K2" s="13">
        <v>0.62378971507061076</v>
      </c>
      <c r="L2" s="14">
        <v>0.56849566996412604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F3" s="45"/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0.79632722440364989</v>
      </c>
      <c r="E4" s="14"/>
      <c r="H4" s="17">
        <f>((1-B4)*B2-(1-B5)*C5*A5)/(B5-B4)</f>
        <v>2959.9890906354085</v>
      </c>
      <c r="I4" s="18">
        <f t="shared" ref="I4:I15" si="1">B5-B4</f>
        <v>0.30276405818144603</v>
      </c>
      <c r="J4" s="8">
        <v>1.0035300579349704</v>
      </c>
      <c r="K4" s="8"/>
      <c r="L4" s="14">
        <v>0.8121373759275845</v>
      </c>
    </row>
    <row r="5" spans="1:12" x14ac:dyDescent="0.3">
      <c r="A5" s="11">
        <v>6099.3550019741724</v>
      </c>
      <c r="B5" s="12">
        <v>0.30276405818144603</v>
      </c>
      <c r="C5" s="12">
        <v>2.9559034177594898</v>
      </c>
      <c r="D5" s="14">
        <f t="shared" si="0"/>
        <v>0.80312011878775502</v>
      </c>
      <c r="E5" s="14"/>
      <c r="H5" s="17">
        <f t="shared" ref="H5:H15" si="2">((1-B5)*C5*A5-(1-B6)*C6*A6)/(B6-B5)</f>
        <v>6856.7313481457149</v>
      </c>
      <c r="I5" s="18">
        <f t="shared" si="1"/>
        <v>8.3407609719619968E-2</v>
      </c>
      <c r="J5" s="12">
        <v>0.99991063468542885</v>
      </c>
      <c r="K5" s="12"/>
      <c r="L5" s="14">
        <v>0.8190651353347701</v>
      </c>
    </row>
    <row r="6" spans="1:12" x14ac:dyDescent="0.3">
      <c r="A6" s="11">
        <v>7623.8126380586946</v>
      </c>
      <c r="B6" s="12">
        <v>0.386171667901066</v>
      </c>
      <c r="C6" s="12">
        <v>2.5639687741226602</v>
      </c>
      <c r="D6" s="14">
        <f t="shared" si="0"/>
        <v>0.70084343196374632</v>
      </c>
      <c r="E6" s="14"/>
      <c r="H6" s="17">
        <f t="shared" si="2"/>
        <v>8398.8943667838557</v>
      </c>
      <c r="I6" s="18">
        <f t="shared" si="1"/>
        <v>7.6616607711667006E-2</v>
      </c>
      <c r="J6" s="12">
        <v>0.99769210214839377</v>
      </c>
      <c r="K6" s="12"/>
      <c r="L6" s="14">
        <v>0.71475786376305972</v>
      </c>
    </row>
    <row r="7" spans="1:12" x14ac:dyDescent="0.3">
      <c r="A7" s="11">
        <v>9148.2702741432167</v>
      </c>
      <c r="B7" s="12">
        <v>0.462788275612733</v>
      </c>
      <c r="C7" s="12">
        <v>2.3105111453801102</v>
      </c>
      <c r="D7" s="14">
        <f t="shared" si="0"/>
        <v>0.62267132003623282</v>
      </c>
      <c r="E7" s="14"/>
      <c r="H7" s="17">
        <f t="shared" si="2"/>
        <v>9893.1274994826217</v>
      </c>
      <c r="I7" s="18">
        <f t="shared" si="1"/>
        <v>7.7457793731638025E-2</v>
      </c>
      <c r="J7" s="12">
        <v>0.99835590199572277</v>
      </c>
      <c r="K7" s="12"/>
      <c r="L7" s="14">
        <v>0.63503373540731789</v>
      </c>
    </row>
    <row r="8" spans="1:12" x14ac:dyDescent="0.3">
      <c r="A8" s="11">
        <v>10672.727910227739</v>
      </c>
      <c r="B8" s="12">
        <v>0.54024606934437103</v>
      </c>
      <c r="C8" s="12">
        <v>2.15798067648862</v>
      </c>
      <c r="D8" s="14">
        <f t="shared" si="0"/>
        <v>0.55917555804900854</v>
      </c>
      <c r="E8" s="14"/>
      <c r="H8" s="17">
        <f t="shared" si="2"/>
        <v>11414.864561682216</v>
      </c>
      <c r="I8" s="18">
        <f t="shared" si="1"/>
        <v>6.5359066161440937E-2</v>
      </c>
      <c r="J8" s="12">
        <v>0.99866589937243644</v>
      </c>
      <c r="K8" s="12"/>
      <c r="L8" s="14">
        <v>0.57027733886261323</v>
      </c>
    </row>
    <row r="9" spans="1:12" x14ac:dyDescent="0.3">
      <c r="A9" s="11">
        <v>12197.185546312261</v>
      </c>
      <c r="B9" s="12">
        <v>0.60560513550581196</v>
      </c>
      <c r="C9" s="12">
        <v>2.0460994511822599</v>
      </c>
      <c r="D9" s="14">
        <f t="shared" si="0"/>
        <v>0.50081830238961156</v>
      </c>
      <c r="E9" s="14"/>
      <c r="H9" s="17">
        <f t="shared" si="2"/>
        <v>12934.662184377565</v>
      </c>
      <c r="I9" s="18">
        <f t="shared" si="1"/>
        <v>5.5436058035335023E-2</v>
      </c>
      <c r="J9" s="12">
        <v>0.99923899968875252</v>
      </c>
      <c r="K9" s="12"/>
      <c r="L9" s="14">
        <v>0.5107614677167408</v>
      </c>
    </row>
    <row r="10" spans="1:12" x14ac:dyDescent="0.3">
      <c r="A10" s="11">
        <v>13721.643182396783</v>
      </c>
      <c r="B10" s="12">
        <v>0.66104119354114699</v>
      </c>
      <c r="C10" s="12">
        <v>1.96207028122269</v>
      </c>
      <c r="D10" s="14">
        <f t="shared" si="0"/>
        <v>0.46779512998199391</v>
      </c>
      <c r="E10" s="14"/>
      <c r="H10" s="17">
        <f t="shared" si="2"/>
        <v>14445.751075752305</v>
      </c>
      <c r="I10" s="18">
        <f t="shared" si="1"/>
        <v>3.9063544883263024E-2</v>
      </c>
      <c r="J10" s="12">
        <v>0.99769104866570635</v>
      </c>
      <c r="K10" s="12"/>
      <c r="L10" s="14">
        <v>0.47708265860154175</v>
      </c>
    </row>
    <row r="11" spans="1:12" x14ac:dyDescent="0.3">
      <c r="A11" s="11">
        <v>15246.100818481305</v>
      </c>
      <c r="B11" s="12">
        <v>0.70010473842441001</v>
      </c>
      <c r="C11" s="12">
        <v>1.87248260640919</v>
      </c>
      <c r="D11" s="14">
        <f t="shared" si="0"/>
        <v>0.33667715946272703</v>
      </c>
      <c r="E11" s="14"/>
      <c r="H11" s="17">
        <f t="shared" si="2"/>
        <v>17029.660662325976</v>
      </c>
      <c r="I11" s="18">
        <f t="shared" si="1"/>
        <v>9.0677341665732936E-2</v>
      </c>
      <c r="J11" s="12">
        <v>0.99347441096326627</v>
      </c>
      <c r="K11" s="12"/>
      <c r="L11" s="14">
        <v>0.34336149316705289</v>
      </c>
    </row>
    <row r="12" spans="1:12" x14ac:dyDescent="0.3">
      <c r="A12" s="11">
        <v>19057.24490869261</v>
      </c>
      <c r="B12" s="12">
        <v>0.79078208009014295</v>
      </c>
      <c r="C12" s="12">
        <v>1.75997416122739</v>
      </c>
      <c r="D12" s="14">
        <f t="shared" si="0"/>
        <v>0.23816651223597901</v>
      </c>
      <c r="E12" s="14"/>
      <c r="H12" s="17">
        <f t="shared" si="2"/>
        <v>20841.99710872849</v>
      </c>
      <c r="I12" s="18">
        <f t="shared" si="1"/>
        <v>6.1869138229670106E-2</v>
      </c>
      <c r="J12" s="12">
        <v>0.99476793884718195</v>
      </c>
      <c r="K12" s="12"/>
      <c r="L12" s="14">
        <v>0.24289503153179701</v>
      </c>
    </row>
    <row r="13" spans="1:12" x14ac:dyDescent="0.3">
      <c r="A13" s="11">
        <v>22868.388998903916</v>
      </c>
      <c r="B13" s="12">
        <v>0.85265121831981305</v>
      </c>
      <c r="C13" s="12">
        <v>1.6998151143131</v>
      </c>
      <c r="D13" s="14">
        <f t="shared" si="0"/>
        <v>0.15804554244078597</v>
      </c>
      <c r="E13" s="14"/>
      <c r="H13" s="17">
        <f t="shared" si="2"/>
        <v>26197.335005074488</v>
      </c>
      <c r="I13" s="18">
        <f t="shared" si="1"/>
        <v>7.091186416321793E-2</v>
      </c>
      <c r="J13" s="12">
        <v>0.99000628564976356</v>
      </c>
      <c r="K13" s="12"/>
      <c r="L13" s="14">
        <v>0.16118335300043687</v>
      </c>
    </row>
    <row r="14" spans="1:12" x14ac:dyDescent="0.3">
      <c r="A14" s="11">
        <v>30490.677179326525</v>
      </c>
      <c r="B14" s="12">
        <v>0.92356308248303098</v>
      </c>
      <c r="C14" s="12">
        <v>1.6605263317765799</v>
      </c>
      <c r="D14" s="14">
        <f t="shared" si="0"/>
        <v>0.11793962337251827</v>
      </c>
      <c r="E14" s="14"/>
      <c r="H14" s="17">
        <f t="shared" si="2"/>
        <v>33841.078886297844</v>
      </c>
      <c r="I14" s="18">
        <f t="shared" si="1"/>
        <v>3.3262408500528973E-2</v>
      </c>
      <c r="J14" s="12">
        <v>0.99703174937271166</v>
      </c>
      <c r="K14" s="12"/>
      <c r="L14" s="14">
        <v>0.12028117752143197</v>
      </c>
    </row>
    <row r="15" spans="1:12" x14ac:dyDescent="0.3">
      <c r="A15" s="11">
        <v>38112.965359749134</v>
      </c>
      <c r="B15" s="12">
        <v>0.95682549098355996</v>
      </c>
      <c r="C15" s="12">
        <v>1.66781817291454</v>
      </c>
      <c r="D15" s="14">
        <f t="shared" si="0"/>
        <v>0.10136101005594779</v>
      </c>
      <c r="E15" s="14"/>
      <c r="H15" s="17">
        <f t="shared" si="2"/>
        <v>49568.441480408314</v>
      </c>
      <c r="I15" s="18">
        <f t="shared" si="1"/>
        <v>3.6134217382457035E-2</v>
      </c>
      <c r="J15" s="12">
        <v>0.99411671481922548</v>
      </c>
      <c r="K15" s="12"/>
      <c r="L15" s="14">
        <v>0.10337341510564792</v>
      </c>
    </row>
    <row r="16" spans="1:12" x14ac:dyDescent="0.3">
      <c r="A16" s="11">
        <v>76224.406261862183</v>
      </c>
      <c r="B16" s="12">
        <v>0.99295970836601699</v>
      </c>
      <c r="C16" s="12">
        <v>1.7764024488194301</v>
      </c>
      <c r="D16" s="14">
        <f t="shared" si="0"/>
        <v>0.11006780991576905</v>
      </c>
      <c r="E16" s="16"/>
      <c r="H16" s="17">
        <f>C16*A16</f>
        <v>135405.22194337909</v>
      </c>
      <c r="I16" s="18">
        <f>1-B16</f>
        <v>7.0402916339830091E-3</v>
      </c>
      <c r="J16" s="12">
        <v>1.1117178541076167</v>
      </c>
      <c r="K16" s="12"/>
      <c r="L16" s="16">
        <v>0.1122530783573687</v>
      </c>
    </row>
    <row r="17" spans="1:9" x14ac:dyDescent="0.3">
      <c r="A17" s="13"/>
      <c r="B17" s="13"/>
      <c r="C17" s="13"/>
      <c r="D17" s="13"/>
      <c r="E17" s="13"/>
      <c r="G17" s="13"/>
      <c r="H17" s="13"/>
      <c r="I17" s="4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18" sqref="D18"/>
    </sheetView>
  </sheetViews>
  <sheetFormatPr baseColWidth="10" defaultRowHeight="15.6" x14ac:dyDescent="0.3"/>
  <cols>
    <col min="1" max="11" width="12.5" customWidth="1"/>
  </cols>
  <sheetData>
    <row r="1" spans="1:12" x14ac:dyDescent="0.3">
      <c r="A1" s="8" t="s">
        <v>9</v>
      </c>
      <c r="B1" s="8">
        <v>1998</v>
      </c>
      <c r="C1" s="8" t="s">
        <v>24</v>
      </c>
      <c r="D1" s="10">
        <v>31931590</v>
      </c>
      <c r="E1" s="8" t="s">
        <v>30</v>
      </c>
      <c r="F1" s="21">
        <f>(SUMPRODUCT(D4:D16,H4:H16,I4:I16)/(D2*B2))/((1-SUMPRODUCT(D4:D16,H4:H16,I4:I16)/B2)/(1-D2))</f>
        <v>0.42029201677470318</v>
      </c>
      <c r="G1" s="19"/>
      <c r="H1" s="16"/>
      <c r="L1" s="19"/>
    </row>
    <row r="2" spans="1:12" x14ac:dyDescent="0.3">
      <c r="A2" s="8" t="s">
        <v>12</v>
      </c>
      <c r="B2" s="11">
        <v>13775.167810111829</v>
      </c>
      <c r="C2" s="8" t="s">
        <v>15</v>
      </c>
      <c r="D2" s="14">
        <f>[1]TD1!$F$105</f>
        <v>0.56724318164670007</v>
      </c>
      <c r="E2" s="18" t="s">
        <v>26</v>
      </c>
      <c r="I2" s="8"/>
      <c r="L2" s="14">
        <v>0.57433275323903388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0.80571159275448967</v>
      </c>
      <c r="E4" s="14"/>
      <c r="F4" s="8"/>
      <c r="G4" s="8"/>
      <c r="H4" s="17">
        <f>((1-B4)*B2-(1-B5)*C5*A5)/(B5-B4)</f>
        <v>2955.2007138264753</v>
      </c>
      <c r="I4" s="18">
        <f t="shared" ref="I4:I15" si="1">B5-B4</f>
        <v>0.29332808043695902</v>
      </c>
      <c r="L4" s="14">
        <v>0.81578161246459702</v>
      </c>
    </row>
    <row r="5" spans="1:12" x14ac:dyDescent="0.3">
      <c r="A5" s="11">
        <v>6099.3550019741724</v>
      </c>
      <c r="B5" s="12">
        <v>0.29332808043695902</v>
      </c>
      <c r="C5" s="12">
        <v>2.99480208770433</v>
      </c>
      <c r="D5" s="14">
        <f t="shared" si="0"/>
        <v>0.81894161913843722</v>
      </c>
      <c r="E5" s="14"/>
      <c r="F5" s="12"/>
      <c r="G5" s="12"/>
      <c r="H5" s="17">
        <f t="shared" ref="H5:H15" si="2">((1-B5)*C5*A5-(1-B6)*C6*A6)/(B6-B5)</f>
        <v>6855.5831614445542</v>
      </c>
      <c r="I5" s="18">
        <f t="shared" si="1"/>
        <v>8.3133285877716012E-2</v>
      </c>
      <c r="L5" s="14">
        <v>0.82917699159715785</v>
      </c>
    </row>
    <row r="6" spans="1:12" x14ac:dyDescent="0.3">
      <c r="A6" s="11">
        <v>7623.8126380586946</v>
      </c>
      <c r="B6" s="12">
        <v>0.37646136631467503</v>
      </c>
      <c r="C6" s="12">
        <v>2.5955127645177698</v>
      </c>
      <c r="D6" s="14">
        <f t="shared" si="0"/>
        <v>0.72652371147140793</v>
      </c>
      <c r="E6" s="14"/>
      <c r="F6" s="12"/>
      <c r="G6" s="12"/>
      <c r="H6" s="17">
        <f t="shared" si="2"/>
        <v>8394.8836180064391</v>
      </c>
      <c r="I6" s="18">
        <f t="shared" si="1"/>
        <v>7.6884990694167987E-2</v>
      </c>
      <c r="L6" s="14">
        <v>0.73560401782441165</v>
      </c>
    </row>
    <row r="7" spans="1:12" x14ac:dyDescent="0.3">
      <c r="A7" s="11">
        <v>9148.2702741432167</v>
      </c>
      <c r="B7" s="12">
        <v>0.45334635700884302</v>
      </c>
      <c r="C7" s="12">
        <v>2.3381539885586302</v>
      </c>
      <c r="D7" s="14">
        <f t="shared" si="0"/>
        <v>0.64320432378347647</v>
      </c>
      <c r="E7" s="14"/>
      <c r="F7" s="12"/>
      <c r="G7" s="12"/>
      <c r="H7" s="17">
        <f t="shared" si="2"/>
        <v>9895.6775556183238</v>
      </c>
      <c r="I7" s="18">
        <f t="shared" si="1"/>
        <v>7.8105975931670957E-2</v>
      </c>
      <c r="L7" s="14">
        <v>0.65124328000102649</v>
      </c>
    </row>
    <row r="8" spans="1:12" x14ac:dyDescent="0.3">
      <c r="A8" s="11">
        <v>10672.727910227739</v>
      </c>
      <c r="B8" s="12">
        <v>0.53145233294051397</v>
      </c>
      <c r="C8" s="12">
        <v>2.1837112852240899</v>
      </c>
      <c r="D8" s="14">
        <f t="shared" si="0"/>
        <v>0.5805716947565247</v>
      </c>
      <c r="E8" s="14"/>
      <c r="F8" s="12"/>
      <c r="G8" s="12"/>
      <c r="H8" s="17">
        <f t="shared" si="2"/>
        <v>11415.640562690045</v>
      </c>
      <c r="I8" s="18">
        <f t="shared" si="1"/>
        <v>6.5676278569279045E-2</v>
      </c>
      <c r="L8" s="14">
        <v>0.58782785001344684</v>
      </c>
    </row>
    <row r="9" spans="1:12" x14ac:dyDescent="0.3">
      <c r="A9" s="11">
        <v>12197.185546312261</v>
      </c>
      <c r="B9" s="12">
        <v>0.59712861150979302</v>
      </c>
      <c r="C9" s="12">
        <v>2.0697031810687698</v>
      </c>
      <c r="D9" s="14">
        <f t="shared" si="0"/>
        <v>0.5188366801925498</v>
      </c>
      <c r="E9" s="14"/>
      <c r="F9" s="12"/>
      <c r="G9" s="12"/>
      <c r="H9" s="17">
        <f t="shared" si="2"/>
        <v>12941.153582559662</v>
      </c>
      <c r="I9" s="18">
        <f t="shared" si="1"/>
        <v>5.5982461255453031E-2</v>
      </c>
      <c r="L9" s="14">
        <v>0.52532125313757094</v>
      </c>
    </row>
    <row r="10" spans="1:12" x14ac:dyDescent="0.3">
      <c r="A10" s="11">
        <v>13721.643182396783</v>
      </c>
      <c r="B10" s="12">
        <v>0.65311107276524605</v>
      </c>
      <c r="C10" s="12">
        <v>1.98446572386458</v>
      </c>
      <c r="D10" s="14">
        <f t="shared" si="0"/>
        <v>0.50239925771140392</v>
      </c>
      <c r="E10" s="14"/>
      <c r="F10" s="12"/>
      <c r="G10" s="12"/>
      <c r="H10" s="17">
        <f t="shared" si="2"/>
        <v>14428.957821058113</v>
      </c>
      <c r="I10" s="18">
        <f t="shared" si="1"/>
        <v>3.9007296536126002E-2</v>
      </c>
      <c r="L10" s="14">
        <v>0.50867839093102329</v>
      </c>
    </row>
    <row r="11" spans="1:12" x14ac:dyDescent="0.3">
      <c r="A11" s="11">
        <v>15246.100818481305</v>
      </c>
      <c r="B11" s="12">
        <v>0.69211836930137205</v>
      </c>
      <c r="C11" s="12">
        <v>1.8924172939180099</v>
      </c>
      <c r="D11" s="14">
        <f t="shared" si="0"/>
        <v>0.35654774459240884</v>
      </c>
      <c r="E11" s="14"/>
      <c r="F11" s="12"/>
      <c r="G11" s="12"/>
      <c r="H11" s="17">
        <f t="shared" si="2"/>
        <v>17033.803342421121</v>
      </c>
      <c r="I11" s="18">
        <f t="shared" si="1"/>
        <v>9.130481758033393E-2</v>
      </c>
      <c r="L11" s="14">
        <v>0.36100398283935425</v>
      </c>
    </row>
    <row r="12" spans="1:12" x14ac:dyDescent="0.3">
      <c r="A12" s="11">
        <v>19057.24490869261</v>
      </c>
      <c r="B12" s="12">
        <v>0.78342318688170598</v>
      </c>
      <c r="C12" s="12">
        <v>1.77540425589596</v>
      </c>
      <c r="D12" s="14">
        <f t="shared" si="0"/>
        <v>0.25407192163622233</v>
      </c>
      <c r="E12" s="14"/>
      <c r="F12" s="12"/>
      <c r="G12" s="12"/>
      <c r="H12" s="17">
        <f t="shared" si="2"/>
        <v>20839.578085530404</v>
      </c>
      <c r="I12" s="18">
        <f t="shared" si="1"/>
        <v>6.2675926879932065E-2</v>
      </c>
      <c r="L12" s="14">
        <v>0.25724738700332078</v>
      </c>
    </row>
    <row r="13" spans="1:12" x14ac:dyDescent="0.3">
      <c r="A13" s="11">
        <v>22868.388998903916</v>
      </c>
      <c r="B13" s="12">
        <v>0.84609911376163804</v>
      </c>
      <c r="C13" s="12">
        <v>1.71093828050802</v>
      </c>
      <c r="D13" s="14">
        <f t="shared" si="0"/>
        <v>0.1686184909943037</v>
      </c>
      <c r="E13" s="14"/>
      <c r="F13" s="12"/>
      <c r="G13" s="12"/>
      <c r="H13" s="17">
        <f t="shared" si="2"/>
        <v>26223.372172749572</v>
      </c>
      <c r="I13" s="18">
        <f t="shared" si="1"/>
        <v>7.2638600207507009E-2</v>
      </c>
      <c r="L13" s="14">
        <v>0.17072593433143662</v>
      </c>
    </row>
    <row r="14" spans="1:12" x14ac:dyDescent="0.3">
      <c r="A14" s="11">
        <v>30490.677179326525</v>
      </c>
      <c r="B14" s="12">
        <v>0.91873771396914505</v>
      </c>
      <c r="C14" s="12">
        <v>1.6614961133023201</v>
      </c>
      <c r="D14" s="14">
        <f t="shared" si="0"/>
        <v>0.12367208626143715</v>
      </c>
      <c r="E14" s="14"/>
      <c r="F14" s="12"/>
      <c r="G14" s="12"/>
      <c r="H14" s="17">
        <f t="shared" si="2"/>
        <v>33850.97154168033</v>
      </c>
      <c r="I14" s="18">
        <f t="shared" si="1"/>
        <v>3.5088011589775925E-2</v>
      </c>
      <c r="L14" s="14">
        <v>0.12521777625453404</v>
      </c>
    </row>
    <row r="15" spans="1:12" x14ac:dyDescent="0.3">
      <c r="A15" s="11">
        <v>38112.965359749134</v>
      </c>
      <c r="B15" s="12">
        <v>0.95382572555892098</v>
      </c>
      <c r="C15" s="12">
        <v>1.6643547690646801</v>
      </c>
      <c r="D15" s="14">
        <f t="shared" si="0"/>
        <v>0.10482268192845191</v>
      </c>
      <c r="E15" s="14"/>
      <c r="F15" s="12"/>
      <c r="G15" s="12"/>
      <c r="H15" s="17">
        <f t="shared" si="2"/>
        <v>49574.494983749442</v>
      </c>
      <c r="I15" s="18">
        <f t="shared" si="1"/>
        <v>3.8640731639107972E-2</v>
      </c>
      <c r="L15" s="14">
        <v>0.10613278653980192</v>
      </c>
    </row>
    <row r="16" spans="1:12" x14ac:dyDescent="0.3">
      <c r="A16" s="11">
        <v>76224.406261862183</v>
      </c>
      <c r="B16" s="12">
        <v>0.99246645719802895</v>
      </c>
      <c r="C16" s="12">
        <v>1.7647694093316699</v>
      </c>
      <c r="D16" s="14">
        <f t="shared" si="0"/>
        <v>0.11123539282228211</v>
      </c>
      <c r="E16" s="16"/>
      <c r="F16" s="12"/>
      <c r="G16" s="12"/>
      <c r="H16" s="17">
        <f>C16*A16</f>
        <v>134518.50041540377</v>
      </c>
      <c r="I16" s="18">
        <f>1-B16</f>
        <v>7.5335428019710493E-3</v>
      </c>
      <c r="L16" s="16">
        <v>0.11262564537450427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18" sqref="D18"/>
    </sheetView>
  </sheetViews>
  <sheetFormatPr baseColWidth="10" defaultRowHeight="15.6" x14ac:dyDescent="0.3"/>
  <cols>
    <col min="4" max="4" width="11.296875" bestFit="1" customWidth="1"/>
  </cols>
  <sheetData>
    <row r="1" spans="1:12" x14ac:dyDescent="0.3">
      <c r="A1" s="8" t="s">
        <v>9</v>
      </c>
      <c r="B1" s="8">
        <v>1999</v>
      </c>
      <c r="C1" s="8" t="s">
        <v>24</v>
      </c>
      <c r="D1" s="10">
        <v>32434420</v>
      </c>
      <c r="E1" s="8" t="s">
        <v>30</v>
      </c>
      <c r="F1" s="21">
        <f>(SUMPRODUCT(D4:D16,H4:H16,I4:I16)/(D2*B2))/((1-SUMPRODUCT(D4:D16,H4:H16,I4:I16)/B2)/(1-D2))</f>
        <v>0.41627657764410214</v>
      </c>
      <c r="G1" s="19"/>
      <c r="H1" s="16"/>
    </row>
    <row r="2" spans="1:12" x14ac:dyDescent="0.3">
      <c r="A2" s="8" t="s">
        <v>12</v>
      </c>
      <c r="B2" s="11">
        <v>14054.021100495549</v>
      </c>
      <c r="C2" s="8" t="s">
        <v>15</v>
      </c>
      <c r="D2" s="14">
        <f>[1]TD1!$F$106</f>
        <v>0.58184928019494642</v>
      </c>
      <c r="E2" s="18" t="s">
        <v>26</v>
      </c>
      <c r="I2" s="8"/>
      <c r="L2" s="14">
        <v>0.58056194622872859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0.81874404767122633</v>
      </c>
      <c r="E4" s="14"/>
      <c r="F4" s="8"/>
      <c r="G4" s="8"/>
      <c r="H4" s="17">
        <f>((1-B4)*B2-(1-B5)*C5*A5)/(B5-B4)</f>
        <v>2950.571547405445</v>
      </c>
      <c r="I4" s="18">
        <f t="shared" ref="I4:I15" si="1">B5-B4</f>
        <v>0.28587907537733059</v>
      </c>
      <c r="L4" s="14">
        <v>0.81693258711248384</v>
      </c>
    </row>
    <row r="5" spans="1:12" x14ac:dyDescent="0.3">
      <c r="A5" s="11">
        <v>6099.3550019741724</v>
      </c>
      <c r="B5" s="12">
        <v>0.28587907537733059</v>
      </c>
      <c r="C5" s="12">
        <v>3.0329416834045078</v>
      </c>
      <c r="D5" s="14">
        <f t="shared" si="0"/>
        <v>0.83863005297469828</v>
      </c>
      <c r="E5" s="14"/>
      <c r="F5" s="12"/>
      <c r="G5" s="12"/>
      <c r="H5" s="17">
        <f t="shared" ref="H5:H15" si="2">((1-B5)*C5*A5-(1-B6)*C6*A6)/(B6-B5)</f>
        <v>6856.0848969775525</v>
      </c>
      <c r="I5" s="18">
        <f t="shared" si="1"/>
        <v>8.286795324226548E-2</v>
      </c>
      <c r="L5" s="14">
        <v>0.83677459488781425</v>
      </c>
    </row>
    <row r="6" spans="1:12" x14ac:dyDescent="0.3">
      <c r="A6" s="11">
        <v>7623.8126380586946</v>
      </c>
      <c r="B6" s="12">
        <v>0.36874702861959607</v>
      </c>
      <c r="C6" s="12">
        <v>2.6269551907559046</v>
      </c>
      <c r="D6" s="14">
        <f t="shared" si="0"/>
        <v>0.75487832481317141</v>
      </c>
      <c r="E6" s="14"/>
      <c r="F6" s="12"/>
      <c r="G6" s="12"/>
      <c r="H6" s="17">
        <f t="shared" si="2"/>
        <v>8388.3007942831482</v>
      </c>
      <c r="I6" s="18">
        <f t="shared" si="1"/>
        <v>7.7379740411575137E-2</v>
      </c>
      <c r="L6" s="14">
        <v>0.75320816633575949</v>
      </c>
    </row>
    <row r="7" spans="1:12" x14ac:dyDescent="0.3">
      <c r="A7" s="11">
        <v>9148.2702741432167</v>
      </c>
      <c r="B7" s="12">
        <v>0.44612676903117121</v>
      </c>
      <c r="C7" s="12">
        <v>2.3669474530809298</v>
      </c>
      <c r="D7" s="14">
        <f t="shared" si="0"/>
        <v>0.66985151471387006</v>
      </c>
      <c r="E7" s="14"/>
      <c r="F7" s="12"/>
      <c r="G7" s="12"/>
      <c r="H7" s="17">
        <f t="shared" si="2"/>
        <v>9896.0355378343556</v>
      </c>
      <c r="I7" s="18">
        <f t="shared" si="1"/>
        <v>7.8134340000530322E-2</v>
      </c>
      <c r="L7" s="14">
        <v>0.66836947694813675</v>
      </c>
    </row>
    <row r="8" spans="1:12" x14ac:dyDescent="0.3">
      <c r="A8" s="11">
        <v>10672.727910227739</v>
      </c>
      <c r="B8" s="12">
        <v>0.52426110903170153</v>
      </c>
      <c r="C8" s="12">
        <v>2.2097904106020283</v>
      </c>
      <c r="D8" s="14">
        <f t="shared" si="0"/>
        <v>0.60675900374305669</v>
      </c>
      <c r="E8" s="14"/>
      <c r="F8" s="12"/>
      <c r="G8" s="12"/>
      <c r="H8" s="17">
        <f t="shared" si="2"/>
        <v>11413.710240746914</v>
      </c>
      <c r="I8" s="18">
        <f t="shared" si="1"/>
        <v>6.5918767778181286E-2</v>
      </c>
      <c r="L8" s="14">
        <v>0.60541655733740807</v>
      </c>
    </row>
    <row r="9" spans="1:12" x14ac:dyDescent="0.3">
      <c r="A9" s="11">
        <v>12197.185546312261</v>
      </c>
      <c r="B9" s="12">
        <v>0.59017987680988282</v>
      </c>
      <c r="C9" s="12">
        <v>2.0941009855650758</v>
      </c>
      <c r="D9" s="14">
        <f t="shared" si="0"/>
        <v>0.54383456023477739</v>
      </c>
      <c r="E9" s="14"/>
      <c r="F9" s="12"/>
      <c r="G9" s="12"/>
      <c r="H9" s="17">
        <f t="shared" si="2"/>
        <v>12940.395122675231</v>
      </c>
      <c r="I9" s="18">
        <f t="shared" si="1"/>
        <v>5.602714646970719E-2</v>
      </c>
      <c r="L9" s="14">
        <v>0.54263133334213809</v>
      </c>
    </row>
    <row r="10" spans="1:12" x14ac:dyDescent="0.3">
      <c r="A10" s="11">
        <v>13721.643182396783</v>
      </c>
      <c r="B10" s="12">
        <v>0.64620702327959001</v>
      </c>
      <c r="C10" s="12">
        <v>2.0068855770680956</v>
      </c>
      <c r="D10" s="14">
        <f t="shared" si="0"/>
        <v>0.53019873167864506</v>
      </c>
      <c r="E10" s="14"/>
      <c r="F10" s="12"/>
      <c r="G10" s="12"/>
      <c r="H10" s="17">
        <f t="shared" si="2"/>
        <v>14426.582536121536</v>
      </c>
      <c r="I10" s="18">
        <f t="shared" si="1"/>
        <v>3.984785299074256E-2</v>
      </c>
      <c r="L10" s="14">
        <v>0.5290256738793695</v>
      </c>
    </row>
    <row r="11" spans="1:12" x14ac:dyDescent="0.3">
      <c r="A11" s="11">
        <v>15246.100818481305</v>
      </c>
      <c r="B11" s="12">
        <v>0.68605487627033257</v>
      </c>
      <c r="C11" s="12">
        <v>1.91536975313663</v>
      </c>
      <c r="D11" s="14">
        <f t="shared" si="0"/>
        <v>0.38096846569724041</v>
      </c>
      <c r="E11" s="14"/>
      <c r="F11" s="12"/>
      <c r="G11" s="12"/>
      <c r="H11" s="17">
        <f t="shared" si="2"/>
        <v>17045.490115370285</v>
      </c>
      <c r="I11" s="18">
        <f t="shared" si="1"/>
        <v>9.1626734808268551E-2</v>
      </c>
      <c r="L11" s="14">
        <v>0.38012557792089802</v>
      </c>
    </row>
    <row r="12" spans="1:12" x14ac:dyDescent="0.3">
      <c r="A12" s="11">
        <v>19057.24490869261</v>
      </c>
      <c r="B12" s="12">
        <v>0.77768161107860112</v>
      </c>
      <c r="C12" s="12">
        <v>1.7952277686244049</v>
      </c>
      <c r="D12" s="14">
        <f t="shared" si="0"/>
        <v>0.27379299799203621</v>
      </c>
      <c r="E12" s="14"/>
      <c r="F12" s="12"/>
      <c r="G12" s="12"/>
      <c r="H12" s="17">
        <f t="shared" si="2"/>
        <v>20838.070103203154</v>
      </c>
      <c r="I12" s="18">
        <f t="shared" si="1"/>
        <v>6.3538765299333222E-2</v>
      </c>
      <c r="L12" s="14">
        <v>0.27318723454431026</v>
      </c>
    </row>
    <row r="13" spans="1:12" x14ac:dyDescent="0.3">
      <c r="A13" s="11">
        <v>22868.388998903916</v>
      </c>
      <c r="B13" s="12">
        <v>0.84122037637793434</v>
      </c>
      <c r="C13" s="12">
        <v>1.7300725661369156</v>
      </c>
      <c r="D13" s="14">
        <f t="shared" si="0"/>
        <v>0.18170135869644952</v>
      </c>
      <c r="E13" s="14"/>
      <c r="F13" s="12"/>
      <c r="G13" s="12"/>
      <c r="H13" s="17">
        <f t="shared" si="2"/>
        <v>26231.835338598394</v>
      </c>
      <c r="I13" s="18">
        <f t="shared" si="1"/>
        <v>7.394012286947016E-2</v>
      </c>
      <c r="L13" s="14">
        <v>0.18129934680312984</v>
      </c>
    </row>
    <row r="14" spans="1:12" x14ac:dyDescent="0.3">
      <c r="A14" s="11">
        <v>30490.677179326525</v>
      </c>
      <c r="B14" s="12">
        <v>0.9151604992474045</v>
      </c>
      <c r="C14" s="12">
        <v>1.6786548282935017</v>
      </c>
      <c r="D14" s="14">
        <f t="shared" si="0"/>
        <v>0.13184390963503326</v>
      </c>
      <c r="E14" s="14"/>
      <c r="F14" s="12"/>
      <c r="G14" s="12"/>
      <c r="H14" s="17">
        <f t="shared" si="2"/>
        <v>33857.106319857965</v>
      </c>
      <c r="I14" s="18">
        <f t="shared" si="1"/>
        <v>3.6318855092830393E-2</v>
      </c>
      <c r="L14" s="14">
        <v>0.13155220669942894</v>
      </c>
    </row>
    <row r="15" spans="1:12" x14ac:dyDescent="0.3">
      <c r="A15" s="11">
        <v>38112.965359749134</v>
      </c>
      <c r="B15" s="12">
        <v>0.9514793543402349</v>
      </c>
      <c r="C15" s="12">
        <v>1.6832174024187831</v>
      </c>
      <c r="D15" s="14">
        <f t="shared" si="0"/>
        <v>0.11049288882488929</v>
      </c>
      <c r="E15" s="14"/>
      <c r="F15" s="12"/>
      <c r="G15" s="12"/>
      <c r="H15" s="17">
        <f t="shared" si="2"/>
        <v>49622.95493991649</v>
      </c>
      <c r="I15" s="18">
        <f t="shared" si="1"/>
        <v>4.0500092186017134E-2</v>
      </c>
      <c r="L15" s="14">
        <v>0.11024842474518441</v>
      </c>
    </row>
    <row r="16" spans="1:12" x14ac:dyDescent="0.3">
      <c r="A16" s="11">
        <v>76224.406261862183</v>
      </c>
      <c r="B16" s="12">
        <v>0.99197944652625203</v>
      </c>
      <c r="C16" s="12">
        <v>1.8041390691971508</v>
      </c>
      <c r="D16" s="14">
        <f t="shared" si="0"/>
        <v>0.11793127067360129</v>
      </c>
      <c r="E16" s="16"/>
      <c r="F16" s="12"/>
      <c r="G16" s="12"/>
      <c r="H16" s="17">
        <f>C16*A16</f>
        <v>137519.42936338153</v>
      </c>
      <c r="I16" s="18">
        <f>1-B16</f>
        <v>8.0205534737479711E-3</v>
      </c>
      <c r="L16" s="16">
        <v>0.11767034927078288</v>
      </c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18" sqref="D18"/>
    </sheetView>
  </sheetViews>
  <sheetFormatPr baseColWidth="10" defaultRowHeight="15.6" x14ac:dyDescent="0.3"/>
  <cols>
    <col min="4" max="4" width="11.296875" bestFit="1" customWidth="1"/>
  </cols>
  <sheetData>
    <row r="1" spans="1:12" x14ac:dyDescent="0.3">
      <c r="A1" s="8" t="s">
        <v>9</v>
      </c>
      <c r="B1" s="8">
        <v>2000</v>
      </c>
      <c r="C1" s="8" t="s">
        <v>24</v>
      </c>
      <c r="D1" s="10">
        <v>32922564</v>
      </c>
      <c r="E1" s="8" t="s">
        <v>30</v>
      </c>
      <c r="F1" s="21">
        <f>(SUMPRODUCT(D4:D16,H4:H16,I4:I16)/(D2*B2))/((1-SUMPRODUCT(D4:D16,H4:H16,I4:I16)/B2)/(1-D2))</f>
        <v>0.41605518364522714</v>
      </c>
      <c r="G1" s="19"/>
      <c r="H1" s="16"/>
    </row>
    <row r="2" spans="1:12" x14ac:dyDescent="0.3">
      <c r="A2" s="8" t="s">
        <v>12</v>
      </c>
      <c r="B2" s="11">
        <v>14512.180640733908</v>
      </c>
      <c r="C2" s="8" t="s">
        <v>15</v>
      </c>
      <c r="D2" s="14">
        <f>[1]TD1!$F$107</f>
        <v>0.59164697443398939</v>
      </c>
      <c r="E2" s="18" t="s">
        <v>26</v>
      </c>
      <c r="I2" s="8"/>
      <c r="L2" s="14">
        <v>0.58656977627866413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6" si="0">L4*D$2/L$2</f>
        <v>0.82523079037017688</v>
      </c>
      <c r="E4" s="14"/>
      <c r="F4" s="8"/>
      <c r="G4" s="8"/>
      <c r="H4" s="17">
        <f>((1-B4)*B2-(1-B5)*C5*A5)/(B5-B4)</f>
        <v>2951.3754248450946</v>
      </c>
      <c r="I4" s="18">
        <f t="shared" ref="I4:I15" si="1">B5-B4</f>
        <v>0.27125648536973002</v>
      </c>
      <c r="L4" s="14">
        <v>0.81814910073491187</v>
      </c>
    </row>
    <row r="5" spans="1:12" x14ac:dyDescent="0.3">
      <c r="A5" s="11">
        <v>6099.3550019741724</v>
      </c>
      <c r="B5" s="12">
        <v>0.27125648536973002</v>
      </c>
      <c r="C5" s="12">
        <v>3.0848180267820973</v>
      </c>
      <c r="D5" s="14">
        <f t="shared" si="0"/>
        <v>0.85095334466096073</v>
      </c>
      <c r="E5" s="14"/>
      <c r="F5" s="12"/>
      <c r="G5" s="12"/>
      <c r="H5" s="17">
        <f t="shared" ref="H5:H15" si="2">((1-B5)*C5*A5-(1-B6)*C6*A6)/(B6-B5)</f>
        <v>6867.8622865214575</v>
      </c>
      <c r="I5" s="18">
        <f t="shared" si="1"/>
        <v>8.212844540297648E-2</v>
      </c>
      <c r="L5" s="14">
        <v>0.84365091781104107</v>
      </c>
    </row>
    <row r="6" spans="1:12" x14ac:dyDescent="0.3">
      <c r="A6" s="11">
        <v>7623.8126380586946</v>
      </c>
      <c r="B6" s="12">
        <v>0.3533849307727065</v>
      </c>
      <c r="C6" s="12">
        <v>2.6670240329329409</v>
      </c>
      <c r="D6" s="14">
        <f t="shared" si="0"/>
        <v>0.784874577915881</v>
      </c>
      <c r="E6" s="14"/>
      <c r="F6" s="12"/>
      <c r="G6" s="12"/>
      <c r="H6" s="17">
        <f t="shared" si="2"/>
        <v>8379.5013590974668</v>
      </c>
      <c r="I6" s="18">
        <f t="shared" si="1"/>
        <v>7.8241415219057697E-2</v>
      </c>
      <c r="L6" s="14">
        <v>0.77813920372932577</v>
      </c>
    </row>
    <row r="7" spans="1:12" x14ac:dyDescent="0.3">
      <c r="A7" s="11">
        <v>9148.2702741432167</v>
      </c>
      <c r="B7" s="12">
        <v>0.43162634599176419</v>
      </c>
      <c r="C7" s="12">
        <v>2.4024624973557205</v>
      </c>
      <c r="D7" s="14">
        <f t="shared" si="0"/>
        <v>0.69904201022845514</v>
      </c>
      <c r="E7" s="14"/>
      <c r="F7" s="12"/>
      <c r="G7" s="12"/>
      <c r="H7" s="17">
        <f t="shared" si="2"/>
        <v>9892.3692740548559</v>
      </c>
      <c r="I7" s="18">
        <f t="shared" si="1"/>
        <v>7.9626513900922236E-2</v>
      </c>
      <c r="L7" s="14">
        <v>0.69304320526841601</v>
      </c>
    </row>
    <row r="8" spans="1:12" x14ac:dyDescent="0.3">
      <c r="A8" s="11">
        <v>10672.727910227739</v>
      </c>
      <c r="B8" s="12">
        <v>0.51125285989268643</v>
      </c>
      <c r="C8" s="12">
        <v>2.2437960097173901</v>
      </c>
      <c r="D8" s="14">
        <f t="shared" si="0"/>
        <v>0.63292594019443427</v>
      </c>
      <c r="E8" s="14"/>
      <c r="F8" s="12"/>
      <c r="G8" s="12"/>
      <c r="H8" s="17">
        <f t="shared" si="2"/>
        <v>11411.619317724128</v>
      </c>
      <c r="I8" s="18">
        <f t="shared" si="1"/>
        <v>6.7017775407771873E-2</v>
      </c>
      <c r="L8" s="14">
        <v>0.62749450801465012</v>
      </c>
    </row>
    <row r="9" spans="1:12" x14ac:dyDescent="0.3">
      <c r="A9" s="11">
        <v>12197.185546312261</v>
      </c>
      <c r="B9" s="12">
        <v>0.5782706353004583</v>
      </c>
      <c r="C9" s="12">
        <v>2.1266800952406686</v>
      </c>
      <c r="D9" s="14">
        <f t="shared" si="0"/>
        <v>0.57103732818104602</v>
      </c>
      <c r="E9" s="14"/>
      <c r="F9" s="12"/>
      <c r="G9" s="12"/>
      <c r="H9" s="17">
        <f t="shared" si="2"/>
        <v>12939.172700114083</v>
      </c>
      <c r="I9" s="18">
        <f t="shared" si="1"/>
        <v>5.6723862697935723E-2</v>
      </c>
      <c r="L9" s="14">
        <v>0.56613699099595982</v>
      </c>
    </row>
    <row r="10" spans="1:12" x14ac:dyDescent="0.3">
      <c r="A10" s="11">
        <v>13721.643182396783</v>
      </c>
      <c r="B10" s="12">
        <v>0.63499449799839403</v>
      </c>
      <c r="C10" s="12">
        <v>2.0376448752284331</v>
      </c>
      <c r="D10" s="14">
        <f t="shared" si="0"/>
        <v>0.55401072891243186</v>
      </c>
      <c r="E10" s="14"/>
      <c r="F10" s="12"/>
      <c r="G10" s="12"/>
      <c r="H10" s="17">
        <f t="shared" si="2"/>
        <v>14422.79933115821</v>
      </c>
      <c r="I10" s="18">
        <f t="shared" si="1"/>
        <v>4.194214642577665E-2</v>
      </c>
      <c r="L10" s="14">
        <v>0.54925650490316424</v>
      </c>
    </row>
    <row r="11" spans="1:12" x14ac:dyDescent="0.3">
      <c r="A11" s="11">
        <v>15246.100818481305</v>
      </c>
      <c r="B11" s="12">
        <v>0.67693664442417067</v>
      </c>
      <c r="C11" s="12">
        <v>1.9491738076798137</v>
      </c>
      <c r="D11" s="14">
        <f t="shared" si="0"/>
        <v>0.40560632991231232</v>
      </c>
      <c r="E11" s="14"/>
      <c r="F11" s="12"/>
      <c r="G11" s="12"/>
      <c r="H11" s="17">
        <f t="shared" si="2"/>
        <v>17077.47730251859</v>
      </c>
      <c r="I11" s="18">
        <f t="shared" si="1"/>
        <v>9.140156884500239E-2</v>
      </c>
      <c r="L11" s="14">
        <v>0.40212563314716931</v>
      </c>
    </row>
    <row r="12" spans="1:12" x14ac:dyDescent="0.3">
      <c r="A12" s="11">
        <v>19057.24490869261</v>
      </c>
      <c r="B12" s="12">
        <v>0.76833821326917306</v>
      </c>
      <c r="C12" s="12">
        <v>1.8210560133547495</v>
      </c>
      <c r="D12" s="14">
        <f t="shared" si="0"/>
        <v>0.29408262631488802</v>
      </c>
      <c r="E12" s="14"/>
      <c r="F12" s="12"/>
      <c r="G12" s="12"/>
      <c r="H12" s="17">
        <f t="shared" si="2"/>
        <v>20843.271617745722</v>
      </c>
      <c r="I12" s="18">
        <f t="shared" si="1"/>
        <v>6.5242063163731712E-2</v>
      </c>
      <c r="L12" s="14">
        <v>0.29155896637516204</v>
      </c>
    </row>
    <row r="13" spans="1:12" x14ac:dyDescent="0.3">
      <c r="A13" s="11">
        <v>22868.388998903916</v>
      </c>
      <c r="B13" s="12">
        <v>0.83358027643290478</v>
      </c>
      <c r="C13" s="12">
        <v>1.755186969119015</v>
      </c>
      <c r="D13" s="14">
        <f t="shared" si="0"/>
        <v>0.19660139816673589</v>
      </c>
      <c r="E13" s="14"/>
      <c r="F13" s="12"/>
      <c r="G13" s="12"/>
      <c r="H13" s="17">
        <f t="shared" si="2"/>
        <v>26242.463517099844</v>
      </c>
      <c r="I13" s="18">
        <f t="shared" si="1"/>
        <v>7.636981129416287E-2</v>
      </c>
      <c r="L13" s="14">
        <v>0.19491427003249426</v>
      </c>
    </row>
    <row r="14" spans="1:12" x14ac:dyDescent="0.3">
      <c r="A14" s="11">
        <v>30490.677179326525</v>
      </c>
      <c r="B14" s="12">
        <v>0.90995008772706765</v>
      </c>
      <c r="C14" s="12">
        <v>1.7029179498357996</v>
      </c>
      <c r="D14" s="14">
        <f t="shared" si="0"/>
        <v>0.14145050969780334</v>
      </c>
      <c r="E14" s="14"/>
      <c r="F14" s="12"/>
      <c r="G14" s="12"/>
      <c r="H14" s="17">
        <f t="shared" si="2"/>
        <v>33868.077827924048</v>
      </c>
      <c r="I14" s="18">
        <f t="shared" si="1"/>
        <v>3.7934348005216112E-2</v>
      </c>
      <c r="L14" s="14">
        <v>0.14023665701547608</v>
      </c>
    </row>
    <row r="15" spans="1:12" x14ac:dyDescent="0.3">
      <c r="A15" s="11">
        <v>38112.965359749134</v>
      </c>
      <c r="B15" s="12">
        <v>0.94788443573228376</v>
      </c>
      <c r="C15" s="12">
        <v>1.7071668191789222</v>
      </c>
      <c r="D15" s="14">
        <f t="shared" si="0"/>
        <v>0.11686917300763057</v>
      </c>
      <c r="E15" s="14"/>
      <c r="F15" s="12"/>
      <c r="G15" s="12"/>
      <c r="H15" s="17">
        <f t="shared" si="2"/>
        <v>49693.809212572371</v>
      </c>
      <c r="I15" s="18">
        <f t="shared" si="1"/>
        <v>4.318129657216252E-2</v>
      </c>
      <c r="L15" s="14">
        <v>0.11586626422038225</v>
      </c>
    </row>
    <row r="16" spans="1:12" x14ac:dyDescent="0.3">
      <c r="A16" s="11">
        <v>76224.406261862183</v>
      </c>
      <c r="B16" s="12">
        <v>0.99106573230444628</v>
      </c>
      <c r="C16" s="12">
        <v>1.828265869449847</v>
      </c>
      <c r="D16" s="14">
        <f t="shared" si="0"/>
        <v>0.12387914820052003</v>
      </c>
      <c r="E16" s="16"/>
      <c r="F16" s="12"/>
      <c r="G16" s="12"/>
      <c r="H16" s="17">
        <f>C16*A16</f>
        <v>139358.48038764182</v>
      </c>
      <c r="I16" s="18">
        <f>1-B16</f>
        <v>8.9342676955537215E-3</v>
      </c>
      <c r="L16" s="16">
        <v>0.1228160835523341</v>
      </c>
    </row>
    <row r="17" spans="1:8" x14ac:dyDescent="0.3">
      <c r="A17" s="13"/>
      <c r="B17" s="13"/>
      <c r="C17" s="13"/>
      <c r="D17" s="13"/>
      <c r="E17" s="13"/>
      <c r="G17" s="13"/>
      <c r="H17" s="1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G11" sqref="G11"/>
    </sheetView>
  </sheetViews>
  <sheetFormatPr baseColWidth="10" defaultRowHeight="15.6" x14ac:dyDescent="0.3"/>
  <cols>
    <col min="1" max="11" width="12.5" customWidth="1"/>
    <col min="12" max="12" width="14.19921875" customWidth="1"/>
  </cols>
  <sheetData>
    <row r="1" spans="1:12" x14ac:dyDescent="0.3">
      <c r="A1" s="8" t="s">
        <v>9</v>
      </c>
      <c r="B1" s="8">
        <v>1920</v>
      </c>
      <c r="C1" s="8" t="s">
        <v>24</v>
      </c>
      <c r="D1" s="10">
        <f>1000*[1]TD1!$C$27</f>
        <v>15026719.641523764</v>
      </c>
      <c r="E1" s="8" t="s">
        <v>30</v>
      </c>
      <c r="F1" s="21">
        <f>(SUMPRODUCT(D4:D14,H4:H14,I4:I14)/(D2*B2))/((1-SUMPRODUCT(D4:D14,H4:H14,I4:I14)/B2)/(1-D2))</f>
        <v>0.7812327254783189</v>
      </c>
      <c r="G1" s="19"/>
      <c r="H1" s="16"/>
    </row>
    <row r="2" spans="1:12" x14ac:dyDescent="0.3">
      <c r="A2" s="8" t="s">
        <v>12</v>
      </c>
      <c r="B2" s="11">
        <f>[1]TD2!$M$27</f>
        <v>4541.239163295475</v>
      </c>
      <c r="C2" s="8" t="s">
        <v>15</v>
      </c>
      <c r="D2" s="14">
        <f>[1]TD1!$F$27</f>
        <v>0.19028969729372336</v>
      </c>
      <c r="E2" s="18" t="s">
        <v>26</v>
      </c>
      <c r="I2" s="8"/>
      <c r="L2" s="14">
        <f>D2</f>
        <v>0.19028969729372336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>(D2-SUMPRODUCT(D5:D14,I5:I14))/I4</f>
        <v>0.20626361724070577</v>
      </c>
      <c r="E4" s="14"/>
      <c r="F4" s="8"/>
      <c r="G4" s="8"/>
      <c r="H4" s="17">
        <f>((1-B4)*B2-(1-B5)*C5*A5)/(B5-B4)</f>
        <v>2772.2308149919168</v>
      </c>
      <c r="I4" s="18">
        <f t="shared" ref="I4" si="0">B5-B4</f>
        <v>0.84967648983001709</v>
      </c>
      <c r="L4" s="14"/>
    </row>
    <row r="5" spans="1:12" x14ac:dyDescent="0.3">
      <c r="A5" s="11">
        <v>6000</v>
      </c>
      <c r="B5" s="12">
        <v>0.84967648983001709</v>
      </c>
      <c r="C5" s="12">
        <v>2.4233732223510742</v>
      </c>
      <c r="D5" s="14">
        <f t="shared" ref="D5:D14" si="1">L5*D$2/L$2</f>
        <v>0.1</v>
      </c>
      <c r="E5" s="14"/>
      <c r="F5" s="8"/>
      <c r="G5" s="8"/>
      <c r="H5" s="17">
        <f t="shared" ref="H5:H13" si="2">((1-B5)*C5*A5-(1-B6)*C6*A6)/(B6-B5)</f>
        <v>8232.8813161931212</v>
      </c>
      <c r="I5" s="18">
        <f t="shared" ref="I5:I13" si="3">B6-B5</f>
        <v>0.10270094871520996</v>
      </c>
      <c r="L5" s="14">
        <v>0.1</v>
      </c>
    </row>
    <row r="6" spans="1:12" x14ac:dyDescent="0.3">
      <c r="A6" s="11">
        <v>10000</v>
      </c>
      <c r="B6" s="12">
        <v>0.95237743854522705</v>
      </c>
      <c r="C6" s="12">
        <v>2.8142440319061279</v>
      </c>
      <c r="D6" s="14">
        <f t="shared" si="1"/>
        <v>0.1</v>
      </c>
      <c r="E6" s="14"/>
      <c r="F6" s="8"/>
      <c r="G6" s="8"/>
      <c r="H6" s="17">
        <f t="shared" si="2"/>
        <v>14266.932958835851</v>
      </c>
      <c r="I6" s="18">
        <f t="shared" si="3"/>
        <v>3.1496822834014893E-2</v>
      </c>
      <c r="L6" s="14">
        <v>0.1</v>
      </c>
    </row>
    <row r="7" spans="1:12" x14ac:dyDescent="0.3">
      <c r="A7" s="11">
        <v>20000</v>
      </c>
      <c r="B7" s="12">
        <v>0.98387426137924194</v>
      </c>
      <c r="C7" s="12">
        <v>2.7622053623199463</v>
      </c>
      <c r="D7" s="14">
        <f t="shared" si="1"/>
        <v>0.1</v>
      </c>
      <c r="E7" s="14"/>
      <c r="G7" s="8"/>
      <c r="H7" s="17">
        <f t="shared" si="2"/>
        <v>24945.725807741215</v>
      </c>
      <c r="I7" s="18">
        <f t="shared" si="3"/>
        <v>7.2459578514099121E-3</v>
      </c>
      <c r="L7" s="14">
        <v>0.1</v>
      </c>
    </row>
    <row r="8" spans="1:12" x14ac:dyDescent="0.3">
      <c r="A8" s="11">
        <v>30000</v>
      </c>
      <c r="B8" s="12">
        <v>0.99112021923065186</v>
      </c>
      <c r="C8" s="12">
        <v>2.6655926704406738</v>
      </c>
      <c r="D8" s="14">
        <f t="shared" si="1"/>
        <v>0.1</v>
      </c>
      <c r="E8" s="14"/>
      <c r="G8" s="8"/>
      <c r="H8" s="17">
        <f t="shared" si="2"/>
        <v>38170.265011383693</v>
      </c>
      <c r="I8" s="18">
        <f t="shared" si="3"/>
        <v>4.7562122344970703E-3</v>
      </c>
      <c r="L8" s="14">
        <v>0.1</v>
      </c>
    </row>
    <row r="9" spans="1:12" x14ac:dyDescent="0.3">
      <c r="A9" s="11">
        <v>50000</v>
      </c>
      <c r="B9" s="12">
        <v>0.99587643146514893</v>
      </c>
      <c r="C9" s="12">
        <v>2.5635585784912109</v>
      </c>
      <c r="D9" s="14">
        <f t="shared" si="1"/>
        <v>0.1</v>
      </c>
      <c r="E9" s="14"/>
      <c r="G9" s="8"/>
      <c r="H9" s="17">
        <f t="shared" si="2"/>
        <v>70562.044066870047</v>
      </c>
      <c r="I9" s="18">
        <f t="shared" si="3"/>
        <v>2.638399600982666E-3</v>
      </c>
      <c r="L9" s="14">
        <v>0.1</v>
      </c>
    </row>
    <row r="10" spans="1:12" x14ac:dyDescent="0.3">
      <c r="A10" s="11">
        <v>100000</v>
      </c>
      <c r="B10" s="12">
        <v>0.99851483106613159</v>
      </c>
      <c r="C10" s="12">
        <v>2.3053243160247803</v>
      </c>
      <c r="D10" s="14">
        <f t="shared" si="1"/>
        <v>0.1</v>
      </c>
      <c r="E10" s="14"/>
      <c r="G10" s="8"/>
      <c r="H10" s="17">
        <f t="shared" si="2"/>
        <v>137334.64741697081</v>
      </c>
      <c r="I10" s="18">
        <f t="shared" si="3"/>
        <v>1.0184645652770996E-3</v>
      </c>
      <c r="L10" s="14">
        <v>0.1</v>
      </c>
    </row>
    <row r="11" spans="1:12" x14ac:dyDescent="0.3">
      <c r="A11" s="11">
        <v>200000</v>
      </c>
      <c r="B11" s="12">
        <v>0.99953329563140869</v>
      </c>
      <c r="C11" s="12">
        <v>2.1695654392242432</v>
      </c>
      <c r="D11" s="14">
        <f t="shared" si="1"/>
        <v>0.1</v>
      </c>
      <c r="E11" s="14"/>
      <c r="G11" s="8"/>
      <c r="H11" s="17">
        <f t="shared" si="2"/>
        <v>238165.28850131563</v>
      </c>
      <c r="I11" s="18">
        <f t="shared" si="3"/>
        <v>2.4622678756713867E-4</v>
      </c>
      <c r="L11" s="14">
        <v>0.1</v>
      </c>
    </row>
    <row r="12" spans="1:12" x14ac:dyDescent="0.3">
      <c r="A12" s="11">
        <v>300000</v>
      </c>
      <c r="B12" s="12">
        <v>0.99977952241897583</v>
      </c>
      <c r="C12" s="12">
        <v>2.1750731468200684</v>
      </c>
      <c r="D12" s="14">
        <f t="shared" si="1"/>
        <v>0.1</v>
      </c>
      <c r="E12" s="14"/>
      <c r="G12" s="8"/>
      <c r="H12" s="17">
        <f t="shared" si="2"/>
        <v>383518.76780446689</v>
      </c>
      <c r="I12" s="18">
        <f t="shared" si="3"/>
        <v>1.4287233352661133E-4</v>
      </c>
      <c r="L12" s="14">
        <v>0.1</v>
      </c>
    </row>
    <row r="13" spans="1:12" x14ac:dyDescent="0.3">
      <c r="A13" s="11">
        <v>500000</v>
      </c>
      <c r="B13" s="12">
        <v>0.99992239475250244</v>
      </c>
      <c r="C13" s="12">
        <v>2.2955210208892822</v>
      </c>
      <c r="D13" s="14">
        <f t="shared" si="1"/>
        <v>0.1</v>
      </c>
      <c r="E13" s="14"/>
      <c r="H13" s="17">
        <f t="shared" si="2"/>
        <v>677624.34853235248</v>
      </c>
      <c r="I13" s="18">
        <f t="shared" si="3"/>
        <v>5.9425830841064453E-5</v>
      </c>
      <c r="L13" s="14">
        <v>0.1</v>
      </c>
    </row>
    <row r="14" spans="1:12" x14ac:dyDescent="0.3">
      <c r="A14" s="17">
        <v>1000000</v>
      </c>
      <c r="B14" s="18">
        <v>0.99998182058334351</v>
      </c>
      <c r="C14" s="18">
        <v>2.6845662593841553</v>
      </c>
      <c r="D14" s="14">
        <f t="shared" si="1"/>
        <v>0.1</v>
      </c>
      <c r="E14" s="14"/>
      <c r="H14" s="17">
        <f>C14*A14</f>
        <v>2684566.2593841553</v>
      </c>
      <c r="I14" s="18">
        <f>1-B14</f>
        <v>1.8179416656494141E-5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17" sqref="D17"/>
    </sheetView>
  </sheetViews>
  <sheetFormatPr baseColWidth="10" defaultRowHeight="15.6" x14ac:dyDescent="0.3"/>
  <cols>
    <col min="2" max="2" width="11.296875" bestFit="1" customWidth="1"/>
    <col min="4" max="4" width="11.296875" bestFit="1" customWidth="1"/>
    <col min="9" max="9" width="11.296875" bestFit="1" customWidth="1"/>
  </cols>
  <sheetData>
    <row r="1" spans="1:12" x14ac:dyDescent="0.3">
      <c r="A1" s="8" t="s">
        <v>9</v>
      </c>
      <c r="B1" s="8">
        <v>2001</v>
      </c>
      <c r="C1" s="8" t="s">
        <v>24</v>
      </c>
      <c r="D1" s="10">
        <v>33364223</v>
      </c>
      <c r="E1" s="8" t="s">
        <v>30</v>
      </c>
      <c r="F1" s="21">
        <f>(SUMPRODUCT(D4:D16,H4:H16,I4:I16)/(D2*B2))/((1-SUMPRODUCT(D4:D16,H4:H16,I4:I16)/B2)/(1-D2))</f>
        <v>0.41862476161499257</v>
      </c>
      <c r="G1" s="19"/>
      <c r="H1" s="16"/>
    </row>
    <row r="2" spans="1:12" x14ac:dyDescent="0.3">
      <c r="A2" s="8" t="s">
        <v>12</v>
      </c>
      <c r="B2" s="11">
        <v>15072.409977717749</v>
      </c>
      <c r="C2" s="8" t="s">
        <v>15</v>
      </c>
      <c r="D2" s="14">
        <f>[1]TD1!$F$108</f>
        <v>0.59728408287416501</v>
      </c>
      <c r="E2" s="18" t="s">
        <v>26</v>
      </c>
      <c r="I2" s="8"/>
      <c r="L2" s="14">
        <v>0.59150204097365011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5" si="0">L4*D$2/L$2</f>
        <v>0.83082810475174407</v>
      </c>
      <c r="E4" s="14"/>
      <c r="F4" s="8"/>
      <c r="G4" s="8"/>
      <c r="H4" s="17">
        <f>((1-B4)*B2-(1-B5)*C5*A5)/(B5-B4)</f>
        <v>3770.4800411985525</v>
      </c>
      <c r="I4" s="18">
        <f t="shared" ref="I4:I14" si="1">B5-B4</f>
        <v>0.32720342385914392</v>
      </c>
      <c r="L4" s="14">
        <v>0.82278522691263711</v>
      </c>
    </row>
    <row r="5" spans="1:12" x14ac:dyDescent="0.3">
      <c r="A5" s="11">
        <v>7500</v>
      </c>
      <c r="B5" s="12">
        <v>0.32720342385914392</v>
      </c>
      <c r="C5" s="12">
        <v>2.7425220815923139</v>
      </c>
      <c r="D5" s="14">
        <f t="shared" si="0"/>
        <v>0.81701620934162789</v>
      </c>
      <c r="E5" s="14"/>
      <c r="F5" s="12"/>
      <c r="G5" s="12"/>
      <c r="H5" s="17">
        <f t="shared" ref="H5:H14" si="2">((1-B5)*C5*A5-(1-B6)*C6*A6)/(B6-B5)</f>
        <v>8184.3867857718069</v>
      </c>
      <c r="I5" s="18">
        <f t="shared" si="1"/>
        <v>7.6137753904834016E-2</v>
      </c>
      <c r="L5" s="14">
        <v>0.80910703832692266</v>
      </c>
    </row>
    <row r="6" spans="1:12" x14ac:dyDescent="0.3">
      <c r="A6" s="11">
        <v>9000</v>
      </c>
      <c r="B6" s="12">
        <v>0.40334117776397793</v>
      </c>
      <c r="C6" s="12">
        <v>2.4610295940543074</v>
      </c>
      <c r="D6" s="14">
        <f t="shared" si="0"/>
        <v>0.73863136433612253</v>
      </c>
      <c r="E6" s="14"/>
      <c r="F6" s="12"/>
      <c r="G6" s="12"/>
      <c r="H6" s="17">
        <f t="shared" si="2"/>
        <v>9732.4322279773878</v>
      </c>
      <c r="I6" s="18">
        <f t="shared" si="1"/>
        <v>8.1641913255405263E-2</v>
      </c>
      <c r="L6" s="14">
        <v>0.73148100218839107</v>
      </c>
    </row>
    <row r="7" spans="1:12" x14ac:dyDescent="0.3">
      <c r="A7" s="11">
        <v>10500</v>
      </c>
      <c r="B7" s="12">
        <v>0.48498309101938319</v>
      </c>
      <c r="C7" s="12">
        <v>2.2969159463044946</v>
      </c>
      <c r="D7" s="14">
        <f t="shared" si="0"/>
        <v>0.67027242250690622</v>
      </c>
      <c r="E7" s="14"/>
      <c r="F7" s="12"/>
      <c r="G7" s="12"/>
      <c r="H7" s="17">
        <f t="shared" si="2"/>
        <v>11269.543825113262</v>
      </c>
      <c r="I7" s="18">
        <f t="shared" si="1"/>
        <v>6.8971844481437561E-2</v>
      </c>
      <c r="L7" s="14">
        <v>0.66378381291087407</v>
      </c>
    </row>
    <row r="8" spans="1:12" x14ac:dyDescent="0.3">
      <c r="A8" s="11">
        <v>12000</v>
      </c>
      <c r="B8" s="12">
        <v>0.55395493550082076</v>
      </c>
      <c r="C8" s="12">
        <v>2.1753593389639585</v>
      </c>
      <c r="D8" s="14">
        <f t="shared" si="0"/>
        <v>0.61103237938885568</v>
      </c>
      <c r="E8" s="14"/>
      <c r="F8" s="12"/>
      <c r="G8" s="12"/>
      <c r="H8" s="17">
        <f t="shared" si="2"/>
        <v>12730.621630338977</v>
      </c>
      <c r="I8" s="18">
        <f t="shared" si="1"/>
        <v>5.8542888890294242E-2</v>
      </c>
      <c r="L8" s="14">
        <v>0.60511724633659592</v>
      </c>
    </row>
    <row r="9" spans="1:12" x14ac:dyDescent="0.3">
      <c r="A9" s="11">
        <v>13500</v>
      </c>
      <c r="B9" s="12">
        <v>0.612497824391115</v>
      </c>
      <c r="C9" s="12">
        <v>2.0833167988074131</v>
      </c>
      <c r="D9" s="14">
        <f t="shared" si="0"/>
        <v>0.58061261003263764</v>
      </c>
      <c r="E9" s="14"/>
      <c r="F9" s="12"/>
      <c r="G9" s="12"/>
      <c r="H9" s="17">
        <f t="shared" si="2"/>
        <v>14160.013138294849</v>
      </c>
      <c r="I9" s="18">
        <f t="shared" si="1"/>
        <v>4.6862203264856461E-2</v>
      </c>
      <c r="L9" s="14">
        <v>0.57499195725545105</v>
      </c>
    </row>
    <row r="10" spans="1:12" x14ac:dyDescent="0.3">
      <c r="A10" s="11">
        <v>15000</v>
      </c>
      <c r="B10" s="12">
        <v>0.65936002765597146</v>
      </c>
      <c r="C10" s="12">
        <v>2.0030616113404078</v>
      </c>
      <c r="D10" s="14">
        <f t="shared" si="0"/>
        <v>0.44226461944621615</v>
      </c>
      <c r="E10" s="14"/>
      <c r="F10" s="12"/>
      <c r="G10" s="12"/>
      <c r="H10" s="17">
        <f t="shared" si="2"/>
        <v>16966.816521934375</v>
      </c>
      <c r="I10" s="18">
        <f t="shared" si="1"/>
        <v>9.5719207967168929E-2</v>
      </c>
      <c r="L10" s="14">
        <v>0.4379832521135259</v>
      </c>
    </row>
    <row r="11" spans="1:12" x14ac:dyDescent="0.3">
      <c r="A11" s="11">
        <v>19000</v>
      </c>
      <c r="B11" s="12">
        <v>0.75507923562314039</v>
      </c>
      <c r="C11" s="12">
        <v>1.8503927524350101</v>
      </c>
      <c r="D11" s="14">
        <f t="shared" si="0"/>
        <v>0.31376335210968137</v>
      </c>
      <c r="E11" s="14"/>
      <c r="F11" s="12"/>
      <c r="G11" s="12"/>
      <c r="H11" s="17">
        <f t="shared" si="2"/>
        <v>20833.007872267433</v>
      </c>
      <c r="I11" s="18">
        <f t="shared" si="1"/>
        <v>7.0599096523242921E-2</v>
      </c>
      <c r="L11" s="14">
        <v>0.31072594846749119</v>
      </c>
    </row>
    <row r="12" spans="1:12" x14ac:dyDescent="0.3">
      <c r="A12" s="11">
        <v>23000</v>
      </c>
      <c r="B12" s="12">
        <v>0.82567833214638331</v>
      </c>
      <c r="C12" s="12">
        <v>1.7808160634805619</v>
      </c>
      <c r="D12" s="14">
        <f t="shared" si="0"/>
        <v>0.20795433478568362</v>
      </c>
      <c r="E12" s="14"/>
      <c r="F12" s="12"/>
      <c r="G12" s="12"/>
      <c r="H12" s="17">
        <f t="shared" si="2"/>
        <v>26521.735077329547</v>
      </c>
      <c r="I12" s="18">
        <f t="shared" si="1"/>
        <v>8.1477425684392535E-2</v>
      </c>
      <c r="L12" s="14">
        <v>0.20594122124122333</v>
      </c>
    </row>
    <row r="13" spans="1:12" x14ac:dyDescent="0.3">
      <c r="A13" s="11">
        <v>31000</v>
      </c>
      <c r="B13" s="12">
        <v>0.90715575783077584</v>
      </c>
      <c r="C13" s="12">
        <v>1.7299449647767158</v>
      </c>
      <c r="D13" s="14">
        <f t="shared" si="0"/>
        <v>0.15011377139460033</v>
      </c>
      <c r="E13" s="14"/>
      <c r="F13" s="12"/>
      <c r="G13" s="12"/>
      <c r="H13" s="17">
        <f t="shared" si="2"/>
        <v>34537.980097508116</v>
      </c>
      <c r="I13" s="18">
        <f t="shared" si="1"/>
        <v>3.9627657446121178E-2</v>
      </c>
      <c r="L13" s="14">
        <v>0.14866058665230616</v>
      </c>
    </row>
    <row r="14" spans="1:12" x14ac:dyDescent="0.3">
      <c r="A14" s="11">
        <v>39000</v>
      </c>
      <c r="B14" s="12">
        <v>0.94678341527689702</v>
      </c>
      <c r="C14" s="12">
        <v>1.7395864135042667</v>
      </c>
      <c r="D14" s="14">
        <f t="shared" si="0"/>
        <v>0.12474334497680802</v>
      </c>
      <c r="E14" s="14"/>
      <c r="F14" s="12"/>
      <c r="G14" s="12"/>
      <c r="H14" s="17">
        <f t="shared" si="2"/>
        <v>51124.08538151854</v>
      </c>
      <c r="I14" s="18">
        <f t="shared" si="1"/>
        <v>4.3797003754590724E-2</v>
      </c>
      <c r="L14" s="14">
        <v>0.12353576006345239</v>
      </c>
    </row>
    <row r="15" spans="1:12" x14ac:dyDescent="0.3">
      <c r="A15" s="11">
        <v>78000</v>
      </c>
      <c r="B15" s="12">
        <v>0.99058041903148775</v>
      </c>
      <c r="C15" s="12">
        <v>1.8664574926267479</v>
      </c>
      <c r="D15" s="14">
        <f t="shared" si="0"/>
        <v>0.1290280608531065</v>
      </c>
      <c r="E15" s="14"/>
      <c r="F15" s="12"/>
      <c r="G15" s="12"/>
      <c r="H15" s="17">
        <f>C15*A15</f>
        <v>145583.68442488633</v>
      </c>
      <c r="I15" s="18">
        <f>1-B15</f>
        <v>9.4195809685122533E-3</v>
      </c>
      <c r="L15" s="14">
        <v>0.12777899750856728</v>
      </c>
    </row>
    <row r="16" spans="1:12" x14ac:dyDescent="0.3">
      <c r="A16" s="11"/>
      <c r="B16" s="12"/>
      <c r="C16" s="12"/>
      <c r="D16" s="13"/>
      <c r="E16" s="16"/>
      <c r="F16" s="12"/>
      <c r="G16" s="12"/>
      <c r="H16" s="17"/>
      <c r="I16" s="18"/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16" sqref="D16:L16"/>
    </sheetView>
  </sheetViews>
  <sheetFormatPr baseColWidth="10" defaultRowHeight="15.6" x14ac:dyDescent="0.3"/>
  <cols>
    <col min="4" max="4" width="11.296875" bestFit="1" customWidth="1"/>
  </cols>
  <sheetData>
    <row r="1" spans="1:12" x14ac:dyDescent="0.3">
      <c r="A1" s="8" t="s">
        <v>9</v>
      </c>
      <c r="B1" s="8">
        <v>2002</v>
      </c>
      <c r="C1" s="8" t="s">
        <v>24</v>
      </c>
      <c r="D1" s="10">
        <v>33896128</v>
      </c>
      <c r="E1" s="8" t="s">
        <v>30</v>
      </c>
      <c r="F1" s="21">
        <f>(SUMPRODUCT(D4:D16,H4:H16,I4:I16)/(D2*B2))/((1-SUMPRODUCT(D4:D16,H4:H16,I4:I16)/B2)/(1-D2))</f>
        <v>0.41601800966023583</v>
      </c>
      <c r="G1" s="19"/>
      <c r="H1" s="16"/>
    </row>
    <row r="2" spans="1:12" x14ac:dyDescent="0.3">
      <c r="A2" s="8" t="s">
        <v>12</v>
      </c>
      <c r="B2" s="11">
        <v>15546.08349340078</v>
      </c>
      <c r="C2" s="8" t="s">
        <v>15</v>
      </c>
      <c r="D2" s="14">
        <f>[1]TD1!$F$109</f>
        <v>0.60605183068117219</v>
      </c>
      <c r="E2" s="18" t="s">
        <v>26</v>
      </c>
      <c r="I2" s="8"/>
      <c r="L2" s="14">
        <v>0.59697682873984903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5" si="0">L4*D$2/L$2</f>
        <v>0.83728597922199866</v>
      </c>
      <c r="E4" s="14"/>
      <c r="F4" s="8"/>
      <c r="G4" s="8"/>
      <c r="H4" s="17">
        <f>((1-B4)*B2-(1-B5)*C5*A5)/(B5-B4)</f>
        <v>3730.6061677399775</v>
      </c>
      <c r="I4" s="18">
        <f t="shared" ref="I4:I14" si="1">B5-B4</f>
        <v>0.31182349205195359</v>
      </c>
      <c r="L4" s="14">
        <v>0.82474848407353574</v>
      </c>
    </row>
    <row r="5" spans="1:12" x14ac:dyDescent="0.3">
      <c r="A5" s="11">
        <v>7500</v>
      </c>
      <c r="B5" s="12">
        <v>0.31182349205195359</v>
      </c>
      <c r="C5" s="12">
        <v>2.7866480347396312</v>
      </c>
      <c r="D5" s="14">
        <f t="shared" si="0"/>
        <v>0.83807535599016769</v>
      </c>
      <c r="E5" s="14"/>
      <c r="F5" s="12"/>
      <c r="G5" s="12"/>
      <c r="H5" s="17">
        <f t="shared" ref="H5:H14" si="2">((1-B5)*C5*A5-(1-B6)*C6*A6)/(B6-B5)</f>
        <v>8226.4141252577956</v>
      </c>
      <c r="I5" s="18">
        <f t="shared" si="1"/>
        <v>7.5420295793076964E-2</v>
      </c>
      <c r="L5" s="14">
        <v>0.82552604073764613</v>
      </c>
    </row>
    <row r="6" spans="1:12" x14ac:dyDescent="0.3">
      <c r="A6" s="11">
        <v>9000</v>
      </c>
      <c r="B6" s="12">
        <v>0.38724378784503055</v>
      </c>
      <c r="C6" s="12">
        <v>2.4955283087329425</v>
      </c>
      <c r="D6" s="14">
        <f t="shared" si="0"/>
        <v>0.76656464942264013</v>
      </c>
      <c r="E6" s="14"/>
      <c r="F6" s="12"/>
      <c r="G6" s="12"/>
      <c r="H6" s="17">
        <f t="shared" si="2"/>
        <v>9748.5995470641246</v>
      </c>
      <c r="I6" s="18">
        <f t="shared" si="1"/>
        <v>8.1639973745673888E-2</v>
      </c>
      <c r="L6" s="14">
        <v>0.75508613334614982</v>
      </c>
    </row>
    <row r="7" spans="1:12" x14ac:dyDescent="0.3">
      <c r="A7" s="11">
        <v>10500</v>
      </c>
      <c r="B7" s="12">
        <v>0.46888376159070444</v>
      </c>
      <c r="C7" s="12">
        <v>2.3251082505059322</v>
      </c>
      <c r="D7" s="14">
        <f t="shared" si="0"/>
        <v>0.69330122063695199</v>
      </c>
      <c r="E7" s="14"/>
      <c r="F7" s="12"/>
      <c r="G7" s="12"/>
      <c r="H7" s="17">
        <f t="shared" si="2"/>
        <v>11227.696174386076</v>
      </c>
      <c r="I7" s="18">
        <f t="shared" si="1"/>
        <v>7.0733034758424296E-2</v>
      </c>
      <c r="L7" s="14">
        <v>0.68291974894643592</v>
      </c>
    </row>
    <row r="8" spans="1:12" x14ac:dyDescent="0.3">
      <c r="A8" s="11">
        <v>12000</v>
      </c>
      <c r="B8" s="12">
        <v>0.53961679634912874</v>
      </c>
      <c r="C8" s="12">
        <v>2.2032931357862497</v>
      </c>
      <c r="D8" s="14">
        <f t="shared" si="0"/>
        <v>0.6381489382729284</v>
      </c>
      <c r="E8" s="14"/>
      <c r="F8" s="12"/>
      <c r="G8" s="12"/>
      <c r="H8" s="17">
        <f t="shared" si="2"/>
        <v>12731.218797815105</v>
      </c>
      <c r="I8" s="18">
        <f t="shared" si="1"/>
        <v>5.9540487928296693E-2</v>
      </c>
      <c r="L8" s="14">
        <v>0.62859331520489625</v>
      </c>
    </row>
    <row r="9" spans="1:12" x14ac:dyDescent="0.3">
      <c r="A9" s="11">
        <v>13500</v>
      </c>
      <c r="B9" s="12">
        <v>0.59915728427742543</v>
      </c>
      <c r="C9" s="12">
        <v>2.1093129461298989</v>
      </c>
      <c r="D9" s="14">
        <f t="shared" si="0"/>
        <v>0.60299502175339015</v>
      </c>
      <c r="E9" s="14"/>
      <c r="F9" s="12"/>
      <c r="G9" s="12"/>
      <c r="H9" s="17">
        <f t="shared" si="2"/>
        <v>14211.040468584268</v>
      </c>
      <c r="I9" s="18">
        <f t="shared" si="1"/>
        <v>4.8529289245072493E-2</v>
      </c>
      <c r="L9" s="14">
        <v>0.59396579237729907</v>
      </c>
    </row>
    <row r="10" spans="1:12" x14ac:dyDescent="0.3">
      <c r="A10" s="11">
        <v>15000</v>
      </c>
      <c r="B10" s="12">
        <v>0.64768657352249792</v>
      </c>
      <c r="C10" s="12">
        <v>2.0293739136262436</v>
      </c>
      <c r="D10" s="14">
        <f t="shared" si="0"/>
        <v>0.47717418090343577</v>
      </c>
      <c r="E10" s="14"/>
      <c r="F10" s="12"/>
      <c r="G10" s="12"/>
      <c r="H10" s="17">
        <f t="shared" si="2"/>
        <v>16969.776749250264</v>
      </c>
      <c r="I10" s="18">
        <f t="shared" si="1"/>
        <v>9.624311661792162E-2</v>
      </c>
      <c r="L10" s="14">
        <v>0.47002898902573637</v>
      </c>
    </row>
    <row r="11" spans="1:12" x14ac:dyDescent="0.3">
      <c r="A11" s="11">
        <v>19000</v>
      </c>
      <c r="B11" s="12">
        <v>0.74392969014041954</v>
      </c>
      <c r="C11" s="12">
        <v>1.8686091083082468</v>
      </c>
      <c r="D11" s="14">
        <f t="shared" si="0"/>
        <v>0.33441150548105797</v>
      </c>
      <c r="E11" s="14"/>
      <c r="F11" s="12"/>
      <c r="G11" s="12"/>
      <c r="H11" s="17">
        <f t="shared" si="2"/>
        <v>20881.768882546679</v>
      </c>
      <c r="I11" s="18">
        <f t="shared" si="1"/>
        <v>7.258666830618532E-2</v>
      </c>
      <c r="L11" s="14">
        <v>0.32940403762466941</v>
      </c>
    </row>
    <row r="12" spans="1:12" x14ac:dyDescent="0.3">
      <c r="A12" s="11">
        <v>23000</v>
      </c>
      <c r="B12" s="12">
        <v>0.81651635844660486</v>
      </c>
      <c r="C12" s="12">
        <v>1.7951305129952908</v>
      </c>
      <c r="D12" s="14">
        <f t="shared" si="0"/>
        <v>0.22160454737217983</v>
      </c>
      <c r="E12" s="14"/>
      <c r="F12" s="12"/>
      <c r="G12" s="12"/>
      <c r="H12" s="17">
        <f t="shared" si="2"/>
        <v>26534.851029829297</v>
      </c>
      <c r="I12" s="18">
        <f t="shared" si="1"/>
        <v>8.4664419487677223E-2</v>
      </c>
      <c r="L12" s="14">
        <v>0.21828624752421427</v>
      </c>
    </row>
    <row r="13" spans="1:12" x14ac:dyDescent="0.3">
      <c r="A13" s="11">
        <v>31000</v>
      </c>
      <c r="B13" s="12">
        <v>0.90118077793428208</v>
      </c>
      <c r="C13" s="12">
        <v>1.7396103427768641</v>
      </c>
      <c r="D13" s="14">
        <f t="shared" si="0"/>
        <v>0.15700366796985751</v>
      </c>
      <c r="E13" s="14"/>
      <c r="F13" s="12"/>
      <c r="G13" s="12"/>
      <c r="H13" s="17">
        <f t="shared" si="2"/>
        <v>34544.422186917924</v>
      </c>
      <c r="I13" s="18">
        <f t="shared" si="1"/>
        <v>4.1670865769683152E-2</v>
      </c>
      <c r="L13" s="14">
        <v>0.15465269975312942</v>
      </c>
    </row>
    <row r="14" spans="1:12" x14ac:dyDescent="0.3">
      <c r="A14" s="11">
        <v>39000</v>
      </c>
      <c r="B14" s="12">
        <v>0.94285164370396524</v>
      </c>
      <c r="C14" s="12">
        <v>1.7451739943361511</v>
      </c>
      <c r="D14" s="14">
        <f t="shared" si="0"/>
        <v>0.12894335112359412</v>
      </c>
      <c r="E14" s="14"/>
      <c r="F14" s="12"/>
      <c r="G14" s="12"/>
      <c r="H14" s="17">
        <f t="shared" si="2"/>
        <v>50963.226495419927</v>
      </c>
      <c r="I14" s="18">
        <f t="shared" si="1"/>
        <v>4.6893851710732237E-2</v>
      </c>
      <c r="L14" s="14">
        <v>0.12701255724998742</v>
      </c>
    </row>
    <row r="15" spans="1:12" x14ac:dyDescent="0.3">
      <c r="A15" s="11">
        <v>78000</v>
      </c>
      <c r="B15" s="12">
        <v>0.98974549541469747</v>
      </c>
      <c r="C15" s="12">
        <v>1.8750448861797184</v>
      </c>
      <c r="D15" s="14">
        <f t="shared" si="0"/>
        <v>0.12955950061199781</v>
      </c>
      <c r="E15" s="14"/>
      <c r="F15" s="12"/>
      <c r="G15" s="12"/>
      <c r="H15" s="17">
        <f>C15*A15</f>
        <v>146253.50112201803</v>
      </c>
      <c r="I15" s="18">
        <f>1-B15</f>
        <v>1.0254504585302526E-2</v>
      </c>
      <c r="L15" s="14">
        <v>0.12761948053442582</v>
      </c>
    </row>
    <row r="16" spans="1:12" x14ac:dyDescent="0.3">
      <c r="A16" s="11"/>
      <c r="B16" s="12"/>
      <c r="C16" s="12"/>
      <c r="D16" s="13"/>
      <c r="E16" s="16"/>
      <c r="F16" s="12"/>
      <c r="G16" s="12"/>
      <c r="H16" s="17"/>
      <c r="I16" s="18"/>
    </row>
    <row r="17" spans="1:8" x14ac:dyDescent="0.3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C1" zoomScale="120" zoomScaleNormal="120" zoomScalePageLayoutView="120" workbookViewId="0">
      <selection activeCell="L2" sqref="L2"/>
    </sheetView>
  </sheetViews>
  <sheetFormatPr baseColWidth="10" defaultRowHeight="15.6" x14ac:dyDescent="0.3"/>
  <cols>
    <col min="1" max="7" width="12.5" customWidth="1"/>
    <col min="8" max="18" width="12.69921875" customWidth="1"/>
  </cols>
  <sheetData>
    <row r="1" spans="1:12" x14ac:dyDescent="0.3">
      <c r="A1" s="8" t="s">
        <v>9</v>
      </c>
      <c r="B1" s="8">
        <v>2003</v>
      </c>
      <c r="C1" s="8" t="s">
        <v>24</v>
      </c>
      <c r="D1" s="10">
        <v>34419885</v>
      </c>
      <c r="E1" s="8" t="s">
        <v>30</v>
      </c>
      <c r="F1" s="21">
        <f>(SUMPRODUCT(D4:D16,H4:H16,I4:I16)/(D2*B2))/((1-SUMPRODUCT(D4:D16,H4:H16,I4:I16)/B2)/(1-D2))</f>
        <v>0.40677405145210027</v>
      </c>
      <c r="G1" s="19"/>
      <c r="H1" s="16"/>
    </row>
    <row r="2" spans="1:12" x14ac:dyDescent="0.3">
      <c r="A2" s="8" t="s">
        <v>12</v>
      </c>
      <c r="B2" s="11">
        <v>16441.263867064052</v>
      </c>
      <c r="C2" s="8" t="s">
        <v>15</v>
      </c>
      <c r="D2" s="14">
        <f>[1]TD1!$F$110</f>
        <v>0.61440875818967067</v>
      </c>
      <c r="E2" s="18" t="s">
        <v>26</v>
      </c>
      <c r="I2" s="8"/>
      <c r="L2" s="14">
        <f>SUMPRODUCT(I4:I15,L4:L15)</f>
        <v>0.59816079984771187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5" si="0">L4*D$2/L$2</f>
        <v>0.84896635103227558</v>
      </c>
      <c r="E4" s="14"/>
      <c r="F4" s="8"/>
      <c r="G4" s="8"/>
      <c r="H4" s="17">
        <f>((1-B4)*B2-(1-B5)*C5*A5)/(B5-B4)</f>
        <v>3718.8787248043845</v>
      </c>
      <c r="I4" s="18">
        <f t="shared" ref="I4:I14" si="1">B5-B4</f>
        <v>0.29889291524887085</v>
      </c>
      <c r="L4" s="14">
        <v>0.82651554817272566</v>
      </c>
    </row>
    <row r="5" spans="1:12" x14ac:dyDescent="0.3">
      <c r="A5" s="11">
        <v>7500</v>
      </c>
      <c r="B5" s="12">
        <v>0.29889291524887085</v>
      </c>
      <c r="C5" s="12">
        <v>2.9153354167938232</v>
      </c>
      <c r="D5" s="14">
        <f t="shared" si="0"/>
        <v>0.86206641737709444</v>
      </c>
      <c r="E5" s="14"/>
      <c r="F5" s="12"/>
      <c r="G5" s="12"/>
      <c r="H5" s="17">
        <f t="shared" ref="H5:H14" si="2">((1-B5)*C5*A5-(1-B6)*C6*A6)/(B6-B5)</f>
        <v>8236.1390136982736</v>
      </c>
      <c r="I5" s="18">
        <f t="shared" si="1"/>
        <v>7.5203359127044678E-2</v>
      </c>
      <c r="L5" s="14">
        <v>0.8392691849958126</v>
      </c>
    </row>
    <row r="6" spans="1:12" x14ac:dyDescent="0.3">
      <c r="A6" s="11">
        <v>9000</v>
      </c>
      <c r="B6" s="12">
        <v>0.37409627437591553</v>
      </c>
      <c r="C6" s="12">
        <v>2.6113941669464111</v>
      </c>
      <c r="D6" s="14">
        <f t="shared" si="0"/>
        <v>0.75393223555749878</v>
      </c>
      <c r="E6" s="14"/>
      <c r="F6" s="12"/>
      <c r="G6" s="12"/>
      <c r="H6" s="17">
        <f t="shared" si="2"/>
        <v>9764.8148708184162</v>
      </c>
      <c r="I6" s="18">
        <f t="shared" si="1"/>
        <v>7.8892111778259277E-2</v>
      </c>
      <c r="L6" s="14">
        <v>0.73399459731143635</v>
      </c>
    </row>
    <row r="7" spans="1:12" x14ac:dyDescent="0.3">
      <c r="A7" s="11">
        <v>10500</v>
      </c>
      <c r="B7" s="12">
        <v>0.4529883861541748</v>
      </c>
      <c r="C7" s="12">
        <v>2.4270339012145996</v>
      </c>
      <c r="D7" s="14">
        <f t="shared" si="0"/>
        <v>0.75393223555749878</v>
      </c>
      <c r="E7" s="14"/>
      <c r="F7" s="12"/>
      <c r="G7" s="12"/>
      <c r="H7" s="17">
        <f t="shared" si="2"/>
        <v>11226.724778991409</v>
      </c>
      <c r="I7" s="18">
        <f t="shared" si="1"/>
        <v>7.1533739566802979E-2</v>
      </c>
      <c r="L7" s="14">
        <v>0.73399459731143635</v>
      </c>
    </row>
    <row r="8" spans="1:12" x14ac:dyDescent="0.3">
      <c r="A8" s="11">
        <v>12000</v>
      </c>
      <c r="B8" s="12">
        <v>0.52452212572097778</v>
      </c>
      <c r="C8" s="12">
        <v>2.302398681640625</v>
      </c>
      <c r="D8" s="14">
        <f t="shared" si="0"/>
        <v>0.64434911319575627</v>
      </c>
      <c r="E8" s="14"/>
      <c r="F8" s="12"/>
      <c r="G8" s="12"/>
      <c r="H8" s="17">
        <f t="shared" si="2"/>
        <v>12730.177228447401</v>
      </c>
      <c r="I8" s="18">
        <f t="shared" si="1"/>
        <v>6.03790283203125E-2</v>
      </c>
      <c r="L8" s="14">
        <v>0.62730938612589759</v>
      </c>
    </row>
    <row r="9" spans="1:12" x14ac:dyDescent="0.3">
      <c r="A9" s="11">
        <v>13500</v>
      </c>
      <c r="B9" s="12">
        <v>0.58490115404129028</v>
      </c>
      <c r="C9" s="12">
        <v>2.2071030139923096</v>
      </c>
      <c r="D9" s="14">
        <f t="shared" si="0"/>
        <v>0.64434911319575627</v>
      </c>
      <c r="E9" s="14"/>
      <c r="F9" s="12"/>
      <c r="G9" s="12"/>
      <c r="H9" s="17">
        <f t="shared" si="2"/>
        <v>14220.700329817422</v>
      </c>
      <c r="I9" s="18">
        <f t="shared" si="1"/>
        <v>5.0236403942108154E-2</v>
      </c>
      <c r="L9" s="14">
        <v>0.62730938612589759</v>
      </c>
    </row>
    <row r="10" spans="1:12" x14ac:dyDescent="0.3">
      <c r="A10" s="11">
        <v>15000</v>
      </c>
      <c r="B10" s="12">
        <v>0.63513755798339844</v>
      </c>
      <c r="C10" s="12">
        <v>2.1293582916259766</v>
      </c>
      <c r="D10" s="14">
        <f t="shared" si="0"/>
        <v>0.44062621480946801</v>
      </c>
      <c r="E10" s="14"/>
      <c r="F10" s="12"/>
      <c r="G10" s="12"/>
      <c r="H10" s="17">
        <f t="shared" si="2"/>
        <v>16955.047458147288</v>
      </c>
      <c r="I10" s="18">
        <f t="shared" si="1"/>
        <v>9.6365809440612793E-2</v>
      </c>
      <c r="L10" s="14">
        <v>0.42897391284083441</v>
      </c>
    </row>
    <row r="11" spans="1:12" x14ac:dyDescent="0.3">
      <c r="A11" s="11">
        <v>19000</v>
      </c>
      <c r="B11" s="12">
        <v>0.73150336742401123</v>
      </c>
      <c r="C11" s="12">
        <v>1.964144229888916</v>
      </c>
      <c r="D11" s="14">
        <f t="shared" si="0"/>
        <v>0.44062621480946801</v>
      </c>
      <c r="E11" s="14"/>
      <c r="F11" s="12"/>
      <c r="G11" s="12"/>
      <c r="H11" s="17">
        <f t="shared" si="2"/>
        <v>20888.459456164266</v>
      </c>
      <c r="I11" s="18">
        <f t="shared" si="1"/>
        <v>7.3840320110321045E-2</v>
      </c>
      <c r="L11" s="14">
        <v>0.42897391284083441</v>
      </c>
    </row>
    <row r="12" spans="1:12" x14ac:dyDescent="0.3">
      <c r="A12" s="11">
        <v>23000</v>
      </c>
      <c r="B12" s="12">
        <v>0.80534368753433228</v>
      </c>
      <c r="C12" s="12">
        <v>1.8935370445251465</v>
      </c>
      <c r="D12" s="14">
        <f t="shared" si="0"/>
        <v>0.23253045233936942</v>
      </c>
      <c r="E12" s="14"/>
      <c r="F12" s="12"/>
      <c r="G12" s="12"/>
      <c r="H12" s="17">
        <f t="shared" si="2"/>
        <v>26540.023499854397</v>
      </c>
      <c r="I12" s="18">
        <f t="shared" si="1"/>
        <v>8.7809264659881592E-2</v>
      </c>
      <c r="L12" s="14">
        <v>0.22638121528425478</v>
      </c>
    </row>
    <row r="13" spans="1:12" x14ac:dyDescent="0.3">
      <c r="A13" s="11">
        <v>31000</v>
      </c>
      <c r="B13" s="12">
        <v>0.89315295219421387</v>
      </c>
      <c r="C13" s="12">
        <v>1.8558592796325684</v>
      </c>
      <c r="D13" s="14">
        <f t="shared" si="0"/>
        <v>0.14719148371813956</v>
      </c>
      <c r="E13" s="14"/>
      <c r="F13" s="12"/>
      <c r="G13" s="12"/>
      <c r="H13" s="17">
        <f t="shared" si="2"/>
        <v>34552.248328183174</v>
      </c>
      <c r="I13" s="18">
        <f t="shared" si="1"/>
        <v>4.3847143650054932E-2</v>
      </c>
      <c r="L13" s="14">
        <v>0.14329902440035563</v>
      </c>
    </row>
    <row r="14" spans="1:12" x14ac:dyDescent="0.3">
      <c r="A14" s="11">
        <v>39000</v>
      </c>
      <c r="B14" s="12">
        <v>0.9370000958442688</v>
      </c>
      <c r="C14" s="12">
        <v>1.8852565288543701</v>
      </c>
      <c r="D14" s="14">
        <f t="shared" si="0"/>
        <v>0.14719148371813956</v>
      </c>
      <c r="E14" s="14"/>
      <c r="F14" s="12"/>
      <c r="G14" s="12"/>
      <c r="H14" s="17">
        <f t="shared" si="2"/>
        <v>51132.29329386881</v>
      </c>
      <c r="I14" s="18">
        <f t="shared" si="1"/>
        <v>5.0681710243225098E-2</v>
      </c>
      <c r="L14" s="14">
        <v>0.14329902440035563</v>
      </c>
    </row>
    <row r="15" spans="1:12" x14ac:dyDescent="0.3">
      <c r="A15" s="11">
        <v>78000</v>
      </c>
      <c r="B15" s="12">
        <v>0.9876818060874939</v>
      </c>
      <c r="C15" s="12">
        <v>2.1238088607788086</v>
      </c>
      <c r="D15" s="14">
        <f t="shared" si="0"/>
        <v>0.14719148371813956</v>
      </c>
      <c r="E15" s="14"/>
      <c r="F15" s="12"/>
      <c r="G15" s="12"/>
      <c r="H15" s="17">
        <f>C15*A15</f>
        <v>165657.09114074707</v>
      </c>
      <c r="I15" s="18">
        <f>1-B15</f>
        <v>1.2318193912506104E-2</v>
      </c>
      <c r="L15" s="14">
        <v>0.14329902440035563</v>
      </c>
    </row>
    <row r="16" spans="1:12" x14ac:dyDescent="0.3">
      <c r="A16" s="11"/>
      <c r="B16" s="12"/>
      <c r="C16" s="12"/>
      <c r="D16" s="13"/>
      <c r="E16" s="12"/>
      <c r="F16" s="12"/>
      <c r="G16" s="12"/>
      <c r="H16" s="17"/>
      <c r="I16" s="44"/>
    </row>
    <row r="17" spans="1:7" x14ac:dyDescent="0.3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C1" zoomScale="120" zoomScaleNormal="120" zoomScalePageLayoutView="120" workbookViewId="0">
      <selection activeCell="L2" sqref="L2"/>
    </sheetView>
  </sheetViews>
  <sheetFormatPr baseColWidth="10" defaultRowHeight="15.6" x14ac:dyDescent="0.3"/>
  <cols>
    <col min="1" max="4" width="12.5" customWidth="1"/>
    <col min="5" max="12" width="12.69921875" customWidth="1"/>
  </cols>
  <sheetData>
    <row r="1" spans="1:12" x14ac:dyDescent="0.3">
      <c r="A1" s="8" t="s">
        <v>9</v>
      </c>
      <c r="B1" s="8">
        <v>2004</v>
      </c>
      <c r="C1" s="8" t="s">
        <v>24</v>
      </c>
      <c r="D1" s="10">
        <v>34813337</v>
      </c>
      <c r="E1" s="8" t="s">
        <v>30</v>
      </c>
      <c r="F1" s="21">
        <f>(SUMPRODUCT(D4:D16,H4:H16,I4:I16)/(D2*B2))/((1-SUMPRODUCT(D4:D16,H4:H16,I4:I16)/B2)/(1-D2))</f>
        <v>0.40434679497606857</v>
      </c>
      <c r="G1" s="19"/>
      <c r="H1" s="16"/>
    </row>
    <row r="2" spans="1:12" x14ac:dyDescent="0.3">
      <c r="A2" s="8" t="s">
        <v>12</v>
      </c>
      <c r="B2" s="11">
        <v>16827.483234830375</v>
      </c>
      <c r="C2" s="8" t="s">
        <v>15</v>
      </c>
      <c r="D2" s="14">
        <f>[1]TD1!$F$111</f>
        <v>0.61917895502836262</v>
      </c>
      <c r="E2" s="18" t="s">
        <v>26</v>
      </c>
      <c r="I2" s="8"/>
      <c r="L2" s="14">
        <f>SUMPRODUCT(I4:I15,L4:L15)</f>
        <v>0.60062635385050767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14</v>
      </c>
    </row>
    <row r="4" spans="1:12" x14ac:dyDescent="0.3">
      <c r="A4" s="8">
        <v>0</v>
      </c>
      <c r="B4" s="12">
        <v>0</v>
      </c>
      <c r="C4" s="8"/>
      <c r="D4" s="14">
        <f>L4*D$2/L$2</f>
        <v>0.85044001705805394</v>
      </c>
      <c r="E4" s="14"/>
      <c r="F4" s="8"/>
      <c r="G4" s="8"/>
      <c r="H4" s="17">
        <f>((1-B4)*B2-(1-B5)*C5*A5)/(B5-B4)</f>
        <v>3650.6040951787845</v>
      </c>
      <c r="I4" s="18">
        <f t="shared" ref="I4:I14" si="0">B5-B4</f>
        <v>0.29067486524581909</v>
      </c>
      <c r="L4" s="14">
        <v>0.82495808758672118</v>
      </c>
    </row>
    <row r="5" spans="1:12" x14ac:dyDescent="0.3">
      <c r="A5" s="11">
        <v>7500</v>
      </c>
      <c r="B5" s="12">
        <v>0.29067486524581909</v>
      </c>
      <c r="C5" s="12">
        <v>2.9636328220367432</v>
      </c>
      <c r="D5" s="14">
        <f t="shared" ref="D5:D15" si="1">L5*D$2/L$2</f>
        <v>0.87562336797385498</v>
      </c>
      <c r="E5" s="14"/>
      <c r="F5" s="12"/>
      <c r="G5" s="12"/>
      <c r="H5" s="17">
        <f t="shared" ref="H5:H14" si="2">((1-B5)*C5*A5-(1-B6)*C6*A6)/(B6-B5)</f>
        <v>8245.4777828994393</v>
      </c>
      <c r="I5" s="18">
        <f t="shared" si="0"/>
        <v>7.3032736778259277E-2</v>
      </c>
      <c r="L5" s="14">
        <v>0.84938686397755081</v>
      </c>
    </row>
    <row r="6" spans="1:12" x14ac:dyDescent="0.3">
      <c r="A6" s="11">
        <v>9000</v>
      </c>
      <c r="B6" s="12">
        <v>0.36370760202407837</v>
      </c>
      <c r="C6" s="12">
        <v>2.6480059623718262</v>
      </c>
      <c r="D6" s="14">
        <f t="shared" si="1"/>
        <v>0.7701633099719698</v>
      </c>
      <c r="E6" s="14"/>
      <c r="F6" s="12"/>
      <c r="G6" s="12"/>
      <c r="H6" s="17">
        <f t="shared" si="2"/>
        <v>9776.7792050035823</v>
      </c>
      <c r="I6" s="18">
        <f t="shared" si="0"/>
        <v>7.7118396759033203E-2</v>
      </c>
      <c r="L6" s="14">
        <v>0.74708672990462544</v>
      </c>
    </row>
    <row r="7" spans="1:12" x14ac:dyDescent="0.3">
      <c r="A7" s="11">
        <v>10500</v>
      </c>
      <c r="B7" s="12">
        <v>0.44082599878311157</v>
      </c>
      <c r="C7" s="12">
        <v>2.4543318748474121</v>
      </c>
      <c r="D7" s="14">
        <f t="shared" si="1"/>
        <v>0.7701633099719698</v>
      </c>
      <c r="E7" s="14"/>
      <c r="F7" s="12"/>
      <c r="G7" s="12"/>
      <c r="H7" s="17">
        <f t="shared" si="2"/>
        <v>11227.283999207739</v>
      </c>
      <c r="I7" s="18">
        <f t="shared" si="0"/>
        <v>7.2800219058990479E-2</v>
      </c>
      <c r="L7" s="14">
        <v>0.74708672990462544</v>
      </c>
    </row>
    <row r="8" spans="1:12" x14ac:dyDescent="0.3">
      <c r="A8" s="11">
        <v>12000</v>
      </c>
      <c r="B8" s="12">
        <v>0.51362621784210205</v>
      </c>
      <c r="C8" s="12">
        <v>2.3289420604705811</v>
      </c>
      <c r="D8" s="14">
        <f t="shared" si="1"/>
        <v>0.66074229119266958</v>
      </c>
      <c r="E8" s="14"/>
      <c r="F8" s="12"/>
      <c r="G8" s="12"/>
      <c r="H8" s="17">
        <f t="shared" si="2"/>
        <v>12730.768922578949</v>
      </c>
      <c r="I8" s="18">
        <f t="shared" si="0"/>
        <v>6.1242341995239258E-2</v>
      </c>
      <c r="L8" s="14">
        <v>0.64094431823139841</v>
      </c>
    </row>
    <row r="9" spans="1:12" x14ac:dyDescent="0.3">
      <c r="A9" s="11">
        <v>13500</v>
      </c>
      <c r="B9" s="12">
        <v>0.57486855983734131</v>
      </c>
      <c r="C9" s="12">
        <v>2.2325425148010254</v>
      </c>
      <c r="D9" s="14">
        <f t="shared" si="1"/>
        <v>0.66074229119266958</v>
      </c>
      <c r="E9" s="14"/>
      <c r="F9" s="12"/>
      <c r="G9" s="12"/>
      <c r="H9" s="17">
        <f t="shared" si="2"/>
        <v>14228.816028656605</v>
      </c>
      <c r="I9" s="18">
        <f t="shared" si="0"/>
        <v>5.1783502101898193E-2</v>
      </c>
      <c r="L9" s="14">
        <v>0.64094431823139841</v>
      </c>
    </row>
    <row r="10" spans="1:12" x14ac:dyDescent="0.3">
      <c r="A10" s="11">
        <v>15000</v>
      </c>
      <c r="B10" s="12">
        <v>0.6266520619392395</v>
      </c>
      <c r="C10" s="12">
        <v>2.1564078330993652</v>
      </c>
      <c r="D10" s="14">
        <f t="shared" si="1"/>
        <v>0.46237710978782531</v>
      </c>
      <c r="E10" s="14"/>
      <c r="F10" s="12"/>
      <c r="G10" s="12"/>
      <c r="H10" s="17">
        <f t="shared" si="2"/>
        <v>16949.244108640869</v>
      </c>
      <c r="I10" s="18">
        <f t="shared" si="0"/>
        <v>9.6508920192718506E-2</v>
      </c>
      <c r="L10" s="14">
        <v>0.44852279829678016</v>
      </c>
    </row>
    <row r="11" spans="1:12" x14ac:dyDescent="0.3">
      <c r="A11" s="11">
        <v>19000</v>
      </c>
      <c r="B11" s="12">
        <v>0.72316098213195801</v>
      </c>
      <c r="C11" s="12">
        <v>1.9849276542663574</v>
      </c>
      <c r="D11" s="14">
        <f t="shared" si="1"/>
        <v>0.46237710978782531</v>
      </c>
      <c r="E11" s="14"/>
      <c r="F11" s="12"/>
      <c r="G11" s="12"/>
      <c r="H11" s="17">
        <f t="shared" si="2"/>
        <v>20895.127026993941</v>
      </c>
      <c r="I11" s="18">
        <f t="shared" si="0"/>
        <v>7.5198352336883545E-2</v>
      </c>
      <c r="L11" s="14">
        <v>0.44852279829678016</v>
      </c>
    </row>
    <row r="12" spans="1:12" x14ac:dyDescent="0.3">
      <c r="A12" s="11">
        <v>23000</v>
      </c>
      <c r="B12" s="12">
        <v>0.79835933446884155</v>
      </c>
      <c r="C12" s="12">
        <v>1.9124256372451782</v>
      </c>
      <c r="D12" s="14">
        <f t="shared" si="1"/>
        <v>0.24061497005279522</v>
      </c>
      <c r="E12" s="14"/>
      <c r="F12" s="12"/>
      <c r="G12" s="12"/>
      <c r="H12" s="17">
        <f t="shared" si="2"/>
        <v>26541.650873383667</v>
      </c>
      <c r="I12" s="18">
        <f t="shared" si="0"/>
        <v>9.0752601623535156E-2</v>
      </c>
      <c r="L12" s="14">
        <v>0.23340536846579271</v>
      </c>
    </row>
    <row r="13" spans="1:12" x14ac:dyDescent="0.3">
      <c r="A13" s="11">
        <v>31000</v>
      </c>
      <c r="B13" s="12">
        <v>0.88911193609237671</v>
      </c>
      <c r="C13" s="12">
        <v>1.879430890083313</v>
      </c>
      <c r="D13" s="14">
        <f t="shared" si="1"/>
        <v>0.15020126271577006</v>
      </c>
      <c r="E13" s="14"/>
      <c r="F13" s="12"/>
      <c r="G13" s="12"/>
      <c r="H13" s="17">
        <f t="shared" si="2"/>
        <v>34550.97330371297</v>
      </c>
      <c r="I13" s="18">
        <f t="shared" si="0"/>
        <v>4.5568883419036865E-2</v>
      </c>
      <c r="L13" s="14">
        <v>0.14570074779848213</v>
      </c>
    </row>
    <row r="14" spans="1:12" x14ac:dyDescent="0.3">
      <c r="A14" s="11">
        <v>39000</v>
      </c>
      <c r="B14" s="12">
        <v>0.93468081951141357</v>
      </c>
      <c r="C14" s="12">
        <v>1.9180570840835571</v>
      </c>
      <c r="D14" s="14">
        <f t="shared" si="1"/>
        <v>0.15020126271577006</v>
      </c>
      <c r="E14" s="14"/>
      <c r="F14" s="12"/>
      <c r="G14" s="12"/>
      <c r="H14" s="17">
        <f t="shared" si="2"/>
        <v>51081.714462631135</v>
      </c>
      <c r="I14" s="18">
        <f t="shared" si="0"/>
        <v>5.2497565746307373E-2</v>
      </c>
      <c r="L14" s="14">
        <v>0.14570074779848213</v>
      </c>
    </row>
    <row r="15" spans="1:12" x14ac:dyDescent="0.3">
      <c r="A15" s="11">
        <v>78000</v>
      </c>
      <c r="B15" s="12">
        <v>0.98717838525772095</v>
      </c>
      <c r="C15" s="12">
        <v>2.2042956352233887</v>
      </c>
      <c r="D15" s="14">
        <f t="shared" si="1"/>
        <v>0.15020126271577006</v>
      </c>
      <c r="E15" s="14"/>
      <c r="F15" s="12"/>
      <c r="G15" s="12"/>
      <c r="H15" s="17">
        <f>C15*A15</f>
        <v>171935.05954742432</v>
      </c>
      <c r="I15" s="18">
        <f>1-B15</f>
        <v>1.2821614742279053E-2</v>
      </c>
      <c r="L15" s="14">
        <v>0.14570074779848213</v>
      </c>
    </row>
    <row r="16" spans="1:12" x14ac:dyDescent="0.3">
      <c r="A16" s="11"/>
      <c r="B16" s="12"/>
      <c r="C16" s="12"/>
      <c r="D16" s="12"/>
      <c r="E16" s="12"/>
      <c r="F16" s="12"/>
      <c r="G16" s="12"/>
    </row>
    <row r="17" spans="1:7" x14ac:dyDescent="0.3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A5" sqref="A5"/>
    </sheetView>
  </sheetViews>
  <sheetFormatPr baseColWidth="10" defaultRowHeight="15.6" x14ac:dyDescent="0.3"/>
  <cols>
    <col min="1" max="7" width="12.5" customWidth="1"/>
    <col min="8" max="19" width="12.69921875" customWidth="1"/>
  </cols>
  <sheetData>
    <row r="1" spans="1:12" x14ac:dyDescent="0.3">
      <c r="A1" s="8" t="s">
        <v>9</v>
      </c>
      <c r="B1" s="8">
        <v>2005</v>
      </c>
      <c r="C1" s="8" t="s">
        <v>24</v>
      </c>
      <c r="D1" s="10">
        <v>35105806</v>
      </c>
      <c r="E1" s="8" t="s">
        <v>30</v>
      </c>
      <c r="F1" s="21">
        <f>(SUMPRODUCT(D4:D16,H4:H16,I4:I16)/(D2*B2))/((1-SUMPRODUCT(D4:D16,H4:H16,I4:I16)/B2)/(1-D2))</f>
        <v>0.40677186469596216</v>
      </c>
      <c r="G1" s="19"/>
      <c r="H1" s="16"/>
    </row>
    <row r="2" spans="1:12" x14ac:dyDescent="0.3">
      <c r="A2" s="8" t="s">
        <v>12</v>
      </c>
      <c r="B2" s="11">
        <v>17165.236491650412</v>
      </c>
      <c r="C2" s="8" t="s">
        <v>15</v>
      </c>
      <c r="D2" s="14">
        <f>[1]TD1!$F$112</f>
        <v>0.62041462148687865</v>
      </c>
      <c r="E2" s="18" t="s">
        <v>26</v>
      </c>
      <c r="I2" s="8"/>
      <c r="L2" s="14">
        <f>SUMPRODUCT(I4:I15,L4:L15)</f>
        <v>0.6041015453400711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5" si="0">L4*D$2/L$2</f>
        <v>0.85039176603200228</v>
      </c>
      <c r="E4" s="14"/>
      <c r="F4" s="8"/>
      <c r="G4" s="8"/>
      <c r="H4" s="17">
        <f>((1-B4)*B2-(1-B5)*C5*A5)/(B5-B4)</f>
        <v>3609.1106174125284</v>
      </c>
      <c r="I4" s="18">
        <f t="shared" ref="I4:I14" si="1">B5-B4</f>
        <v>0.27792483568191528</v>
      </c>
      <c r="L4" s="14">
        <v>0.82803171010577092</v>
      </c>
    </row>
    <row r="5" spans="1:12" x14ac:dyDescent="0.3">
      <c r="A5" s="11">
        <v>7500</v>
      </c>
      <c r="B5" s="12">
        <v>0.27792483568191528</v>
      </c>
      <c r="C5" s="12">
        <v>2.984393835067749</v>
      </c>
      <c r="D5" s="14">
        <f t="shared" si="0"/>
        <v>0.888131159157595</v>
      </c>
      <c r="E5" s="14"/>
      <c r="F5" s="12"/>
      <c r="G5" s="12"/>
      <c r="H5" s="17">
        <f t="shared" ref="H5:H14" si="2">((1-B5)*C5*A5-(1-B6)*C6*A6)/(B6-B5)</f>
        <v>8254.1111452266396</v>
      </c>
      <c r="I5" s="18">
        <f t="shared" si="1"/>
        <v>7.0341289043426514E-2</v>
      </c>
      <c r="L5" s="14">
        <v>0.86477879007098613</v>
      </c>
    </row>
    <row r="6" spans="1:12" x14ac:dyDescent="0.3">
      <c r="A6" s="11">
        <v>9000</v>
      </c>
      <c r="B6" s="12">
        <v>0.3482661247253418</v>
      </c>
      <c r="C6" s="12">
        <v>2.6564302444458008</v>
      </c>
      <c r="D6" s="14">
        <f t="shared" si="0"/>
        <v>0.78368392171994239</v>
      </c>
      <c r="E6" s="14"/>
      <c r="F6" s="12"/>
      <c r="G6" s="12"/>
      <c r="H6" s="17">
        <f t="shared" si="2"/>
        <v>9794.5274667315243</v>
      </c>
      <c r="I6" s="18">
        <f t="shared" si="1"/>
        <v>7.4551224708557129E-2</v>
      </c>
      <c r="L6" s="14">
        <v>0.76307787046440056</v>
      </c>
    </row>
    <row r="7" spans="1:12" x14ac:dyDescent="0.3">
      <c r="A7" s="11">
        <v>10500</v>
      </c>
      <c r="B7" s="12">
        <v>0.42281734943389893</v>
      </c>
      <c r="C7" s="12">
        <v>2.4505531787872314</v>
      </c>
      <c r="D7" s="14">
        <f t="shared" si="0"/>
        <v>0.78368392171994239</v>
      </c>
      <c r="E7" s="14"/>
      <c r="F7" s="12"/>
      <c r="G7" s="12"/>
      <c r="H7" s="17">
        <f t="shared" si="2"/>
        <v>11230.30803107266</v>
      </c>
      <c r="I7" s="18">
        <f t="shared" si="1"/>
        <v>7.5535476207733154E-2</v>
      </c>
      <c r="L7" s="14">
        <v>0.76307787046440056</v>
      </c>
    </row>
    <row r="8" spans="1:12" x14ac:dyDescent="0.3">
      <c r="A8" s="11">
        <v>12000</v>
      </c>
      <c r="B8" s="12">
        <v>0.49835282564163208</v>
      </c>
      <c r="C8" s="12">
        <v>2.3261849880218506</v>
      </c>
      <c r="D8" s="14">
        <f t="shared" si="0"/>
        <v>0.67627299521092021</v>
      </c>
      <c r="E8" s="14"/>
      <c r="F8" s="12"/>
      <c r="G8" s="12"/>
      <c r="H8" s="17">
        <f t="shared" si="2"/>
        <v>12731.036696034595</v>
      </c>
      <c r="I8" s="18">
        <f t="shared" si="1"/>
        <v>6.3466966152191162E-2</v>
      </c>
      <c r="L8" s="14">
        <v>0.65849118852095867</v>
      </c>
    </row>
    <row r="9" spans="1:12" x14ac:dyDescent="0.3">
      <c r="A9" s="11">
        <v>13500</v>
      </c>
      <c r="B9" s="12">
        <v>0.56181979179382324</v>
      </c>
      <c r="C9" s="12">
        <v>2.2306210994720459</v>
      </c>
      <c r="D9" s="14">
        <f t="shared" si="0"/>
        <v>0.67627299521092021</v>
      </c>
      <c r="E9" s="14"/>
      <c r="F9" s="12"/>
      <c r="G9" s="12"/>
      <c r="H9" s="17">
        <f t="shared" si="2"/>
        <v>14228.145117492799</v>
      </c>
      <c r="I9" s="18">
        <f t="shared" si="1"/>
        <v>5.3436517715454102E-2</v>
      </c>
      <c r="L9" s="14">
        <v>0.65849118852095867</v>
      </c>
    </row>
    <row r="10" spans="1:12" x14ac:dyDescent="0.3">
      <c r="A10" s="11">
        <v>15000</v>
      </c>
      <c r="B10" s="12">
        <v>0.61525630950927734</v>
      </c>
      <c r="C10" s="12">
        <v>2.154644250869751</v>
      </c>
      <c r="D10" s="14">
        <f t="shared" si="0"/>
        <v>0.48087119951240115</v>
      </c>
      <c r="E10" s="14"/>
      <c r="F10" s="12"/>
      <c r="G10" s="12"/>
      <c r="H10" s="17">
        <f t="shared" si="2"/>
        <v>16922.35135006671</v>
      </c>
      <c r="I10" s="18">
        <f t="shared" si="1"/>
        <v>9.8786711692810059E-2</v>
      </c>
      <c r="L10" s="14">
        <v>0.46822725428162554</v>
      </c>
    </row>
    <row r="11" spans="1:12" x14ac:dyDescent="0.3">
      <c r="A11" s="11">
        <v>19000</v>
      </c>
      <c r="B11" s="12">
        <v>0.7140430212020874</v>
      </c>
      <c r="C11" s="12">
        <v>1.9809905290603638</v>
      </c>
      <c r="D11" s="14">
        <f t="shared" si="0"/>
        <v>0.48087119951240115</v>
      </c>
      <c r="E11" s="14"/>
      <c r="F11" s="12"/>
      <c r="G11" s="12"/>
      <c r="H11" s="17">
        <f t="shared" si="2"/>
        <v>20899.026359604224</v>
      </c>
      <c r="I11" s="18">
        <f t="shared" si="1"/>
        <v>7.6647102832794189E-2</v>
      </c>
      <c r="L11" s="14">
        <v>0.46822725428162554</v>
      </c>
    </row>
    <row r="12" spans="1:12" x14ac:dyDescent="0.3">
      <c r="A12" s="11">
        <v>23000</v>
      </c>
      <c r="B12" s="12">
        <v>0.79069012403488159</v>
      </c>
      <c r="C12" s="12">
        <v>1.9029895067214966</v>
      </c>
      <c r="D12" s="14">
        <f t="shared" si="0"/>
        <v>0.24865696712757751</v>
      </c>
      <c r="E12" s="14"/>
      <c r="F12" s="12"/>
      <c r="G12" s="12"/>
      <c r="H12" s="17">
        <f t="shared" si="2"/>
        <v>26545.743248077677</v>
      </c>
      <c r="I12" s="18">
        <f t="shared" si="1"/>
        <v>9.3808352947235107E-2</v>
      </c>
      <c r="L12" s="14">
        <v>0.24211882328199086</v>
      </c>
    </row>
    <row r="13" spans="1:12" x14ac:dyDescent="0.3">
      <c r="A13" s="11">
        <v>31000</v>
      </c>
      <c r="B13" s="12">
        <v>0.8844984769821167</v>
      </c>
      <c r="C13" s="12">
        <v>1.8631289005279541</v>
      </c>
      <c r="D13" s="14">
        <f t="shared" si="0"/>
        <v>0.14918388695903465</v>
      </c>
      <c r="E13" s="14"/>
      <c r="F13" s="12"/>
      <c r="G13" s="12"/>
      <c r="H13" s="17">
        <f t="shared" si="2"/>
        <v>34552.200314025395</v>
      </c>
      <c r="I13" s="18">
        <f t="shared" si="1"/>
        <v>4.7456562519073486E-2</v>
      </c>
      <c r="L13" s="14">
        <v>0.14526127130241615</v>
      </c>
    </row>
    <row r="14" spans="1:12" x14ac:dyDescent="0.3">
      <c r="A14" s="11">
        <v>39000</v>
      </c>
      <c r="B14" s="12">
        <v>0.93195503950119019</v>
      </c>
      <c r="C14" s="12">
        <v>1.8959155082702637</v>
      </c>
      <c r="D14" s="14">
        <f t="shared" si="0"/>
        <v>0.14918388695903465</v>
      </c>
      <c r="E14" s="14"/>
      <c r="F14" s="12"/>
      <c r="G14" s="12"/>
      <c r="H14" s="17">
        <f t="shared" si="2"/>
        <v>51064.858074629046</v>
      </c>
      <c r="I14" s="18">
        <f t="shared" si="1"/>
        <v>5.4916799068450928E-2</v>
      </c>
      <c r="L14" s="14">
        <v>0.14526127130241615</v>
      </c>
    </row>
    <row r="15" spans="1:12" x14ac:dyDescent="0.3">
      <c r="A15" s="11">
        <v>78000</v>
      </c>
      <c r="B15" s="12">
        <v>0.98687183856964111</v>
      </c>
      <c r="C15" s="12">
        <v>2.1747863292694092</v>
      </c>
      <c r="D15" s="14">
        <f t="shared" si="0"/>
        <v>0.14918388695903465</v>
      </c>
      <c r="E15" s="14"/>
      <c r="F15" s="12"/>
      <c r="G15" s="12"/>
      <c r="H15" s="17">
        <f>C15*A15</f>
        <v>169633.33368301392</v>
      </c>
      <c r="I15" s="18">
        <f>1-B15</f>
        <v>1.3128161430358887E-2</v>
      </c>
      <c r="L15" s="14">
        <v>0.14526127130241615</v>
      </c>
    </row>
    <row r="16" spans="1:12" x14ac:dyDescent="0.3">
      <c r="A16" s="11"/>
      <c r="B16" s="12"/>
      <c r="C16" s="12"/>
      <c r="D16" s="12"/>
      <c r="E16" s="12"/>
      <c r="F16" s="12"/>
      <c r="G16" s="12"/>
    </row>
    <row r="17" spans="1:7" x14ac:dyDescent="0.3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6" x14ac:dyDescent="0.3"/>
  <cols>
    <col min="1" max="4" width="12.5" customWidth="1"/>
    <col min="5" max="12" width="12.69921875" customWidth="1"/>
  </cols>
  <sheetData>
    <row r="1" spans="1:12" x14ac:dyDescent="0.3">
      <c r="A1" s="8" t="s">
        <v>9</v>
      </c>
      <c r="B1" s="8">
        <v>2006</v>
      </c>
      <c r="C1" s="8" t="s">
        <v>24</v>
      </c>
      <c r="D1" s="10">
        <v>35633851</v>
      </c>
      <c r="E1" s="8" t="s">
        <v>30</v>
      </c>
      <c r="F1" s="21">
        <f>(SUMPRODUCT(D4:D16,H4:H16,I4:I16)/(D2*B2))/((1-SUMPRODUCT(D4:D16,H4:H16,I4:I16)/B2)/(1-D2))</f>
        <v>0.40470505981086075</v>
      </c>
      <c r="G1" s="19"/>
      <c r="H1" s="16"/>
    </row>
    <row r="2" spans="1:12" x14ac:dyDescent="0.3">
      <c r="A2" s="8" t="s">
        <v>12</v>
      </c>
      <c r="B2" s="11">
        <v>21930.405858014055</v>
      </c>
      <c r="C2" s="8" t="s">
        <v>15</v>
      </c>
      <c r="D2" s="14">
        <f>[1]TD1!$F$113</f>
        <v>0.63101362940124606</v>
      </c>
      <c r="E2" s="18" t="s">
        <v>26</v>
      </c>
      <c r="I2" s="8"/>
      <c r="L2" s="14">
        <f>SUMPRODUCT(I4:I15,L4:L15)</f>
        <v>0.60718531656277597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5" si="0">L4*D$2/L$2</f>
        <v>0.8605448901011441</v>
      </c>
      <c r="E4" s="14"/>
      <c r="F4" s="8"/>
      <c r="G4" s="8"/>
      <c r="H4" s="17">
        <f>((1-B4)*B2-(1-B5)*C5*A5)/(B5-B4)</f>
        <v>4467.9552573141236</v>
      </c>
      <c r="I4" s="18">
        <f t="shared" ref="I4:I14" si="1">B5-B4</f>
        <v>0.26875662803649902</v>
      </c>
      <c r="L4" s="14">
        <v>0.82804902646610046</v>
      </c>
    </row>
    <row r="5" spans="1:12" x14ac:dyDescent="0.3">
      <c r="A5" s="11">
        <v>9400</v>
      </c>
      <c r="B5" s="12">
        <v>0.26875662803649902</v>
      </c>
      <c r="C5" s="12">
        <v>3.0157921314239502</v>
      </c>
      <c r="D5" s="14">
        <f t="shared" si="0"/>
        <v>0.90948633250384203</v>
      </c>
      <c r="E5" s="14"/>
      <c r="F5" s="12"/>
      <c r="G5" s="12"/>
      <c r="H5" s="17">
        <f t="shared" ref="H5:H14" si="2">((1-B5)*C5*A5-(1-B6)*C6*A6)/(B6-B5)</f>
        <v>10347.139565834617</v>
      </c>
      <c r="I5" s="18">
        <f t="shared" si="1"/>
        <v>6.7130565643310547E-2</v>
      </c>
      <c r="L5" s="14">
        <v>0.87514234396942969</v>
      </c>
    </row>
    <row r="6" spans="1:12" x14ac:dyDescent="0.3">
      <c r="A6" s="11">
        <v>11250</v>
      </c>
      <c r="B6" s="12">
        <v>0.33588719367980957</v>
      </c>
      <c r="C6" s="12">
        <v>2.6816065311431885</v>
      </c>
      <c r="D6" s="14">
        <f t="shared" si="0"/>
        <v>0.80661011969177243</v>
      </c>
      <c r="E6" s="14"/>
      <c r="F6" s="12"/>
      <c r="G6" s="12"/>
      <c r="H6" s="17">
        <f t="shared" si="2"/>
        <v>12269.79486407771</v>
      </c>
      <c r="I6" s="18">
        <f t="shared" si="1"/>
        <v>7.1374952793121338E-2</v>
      </c>
      <c r="L6" s="14">
        <v>0.77615093881967478</v>
      </c>
    </row>
    <row r="7" spans="1:12" x14ac:dyDescent="0.3">
      <c r="A7" s="11">
        <v>13150</v>
      </c>
      <c r="B7" s="12">
        <v>0.40726214647293091</v>
      </c>
      <c r="C7" s="12">
        <v>2.4580461978912354</v>
      </c>
      <c r="D7" s="14">
        <f t="shared" si="0"/>
        <v>0.80661011969177243</v>
      </c>
      <c r="E7" s="14"/>
      <c r="F7" s="12"/>
      <c r="G7" s="12"/>
      <c r="H7" s="17">
        <f t="shared" si="2"/>
        <v>14056.808234169974</v>
      </c>
      <c r="I7" s="18">
        <f t="shared" si="1"/>
        <v>7.5590431690216064E-2</v>
      </c>
      <c r="L7" s="14">
        <v>0.77615093881967478</v>
      </c>
    </row>
    <row r="8" spans="1:12" x14ac:dyDescent="0.3">
      <c r="A8" s="11">
        <v>15000</v>
      </c>
      <c r="B8" s="12">
        <v>0.48285257816314697</v>
      </c>
      <c r="C8" s="12">
        <v>2.3328857421875</v>
      </c>
      <c r="D8" s="14">
        <f t="shared" si="0"/>
        <v>0.70643924565611405</v>
      </c>
      <c r="E8" s="14"/>
      <c r="F8" s="12"/>
      <c r="G8" s="12"/>
      <c r="H8" s="17">
        <f t="shared" si="2"/>
        <v>15925.487793141905</v>
      </c>
      <c r="I8" s="18">
        <f t="shared" si="1"/>
        <v>6.5593123435974121E-2</v>
      </c>
      <c r="L8" s="14">
        <v>0.67976271354564377</v>
      </c>
    </row>
    <row r="9" spans="1:12" x14ac:dyDescent="0.3">
      <c r="A9" s="11">
        <v>16900</v>
      </c>
      <c r="B9" s="12">
        <v>0.54844570159912109</v>
      </c>
      <c r="C9" s="12">
        <v>2.2345023155212402</v>
      </c>
      <c r="D9" s="14">
        <f t="shared" si="0"/>
        <v>0.70643924565611405</v>
      </c>
      <c r="E9" s="14"/>
      <c r="F9" s="12"/>
      <c r="G9" s="12"/>
      <c r="H9" s="17">
        <f t="shared" si="2"/>
        <v>17796.610726919909</v>
      </c>
      <c r="I9" s="18">
        <f t="shared" si="1"/>
        <v>5.3899049758911133E-2</v>
      </c>
      <c r="L9" s="14">
        <v>0.67976271354564377</v>
      </c>
    </row>
    <row r="10" spans="1:12" x14ac:dyDescent="0.3">
      <c r="A10" s="11">
        <v>18750</v>
      </c>
      <c r="B10" s="12">
        <v>0.60234475135803223</v>
      </c>
      <c r="C10" s="12">
        <v>2.158367395401001</v>
      </c>
      <c r="D10" s="14">
        <f t="shared" si="0"/>
        <v>0.51115990998377236</v>
      </c>
      <c r="E10" s="14"/>
      <c r="F10" s="12"/>
      <c r="G10" s="12"/>
      <c r="H10" s="17">
        <f t="shared" si="2"/>
        <v>21119.042113476266</v>
      </c>
      <c r="I10" s="18">
        <f t="shared" si="1"/>
        <v>0.10036301612854004</v>
      </c>
      <c r="L10" s="14">
        <v>0.49185750877076695</v>
      </c>
    </row>
    <row r="11" spans="1:12" x14ac:dyDescent="0.3">
      <c r="A11" s="11">
        <v>23750</v>
      </c>
      <c r="B11" s="12">
        <v>0.70270776748657227</v>
      </c>
      <c r="C11" s="12">
        <v>1.9790265560150146</v>
      </c>
      <c r="D11" s="14">
        <f t="shared" si="0"/>
        <v>0.51115990998377236</v>
      </c>
      <c r="E11" s="14"/>
      <c r="F11" s="12"/>
      <c r="G11" s="12"/>
      <c r="H11" s="17">
        <f t="shared" si="2"/>
        <v>26129.527703339565</v>
      </c>
      <c r="I11" s="18">
        <f t="shared" si="1"/>
        <v>7.7915728092193604E-2</v>
      </c>
      <c r="L11" s="14">
        <v>0.49185750877076695</v>
      </c>
    </row>
    <row r="12" spans="1:12" x14ac:dyDescent="0.3">
      <c r="A12" s="11">
        <v>28750</v>
      </c>
      <c r="B12" s="12">
        <v>0.78062349557876587</v>
      </c>
      <c r="C12" s="12">
        <v>1.8926988840103149</v>
      </c>
      <c r="D12" s="14">
        <f t="shared" si="0"/>
        <v>0.26417756412380028</v>
      </c>
      <c r="E12" s="14"/>
      <c r="F12" s="12"/>
      <c r="G12" s="12"/>
      <c r="H12" s="17">
        <f t="shared" si="2"/>
        <v>33195.0809954406</v>
      </c>
      <c r="I12" s="18">
        <f t="shared" si="1"/>
        <v>9.7068905830383301E-2</v>
      </c>
      <c r="L12" s="14">
        <v>0.25420170092601169</v>
      </c>
    </row>
    <row r="13" spans="1:12" x14ac:dyDescent="0.3">
      <c r="A13" s="11">
        <v>38750</v>
      </c>
      <c r="B13" s="12">
        <v>0.87769240140914917</v>
      </c>
      <c r="C13" s="12">
        <v>1.8388713598251343</v>
      </c>
      <c r="D13" s="14">
        <f t="shared" si="0"/>
        <v>0.15495401538050918</v>
      </c>
      <c r="E13" s="14"/>
      <c r="F13" s="12"/>
      <c r="G13" s="12"/>
      <c r="H13" s="17">
        <f t="shared" si="2"/>
        <v>43201.821565410981</v>
      </c>
      <c r="I13" s="18">
        <f t="shared" si="1"/>
        <v>4.9911797046661377E-2</v>
      </c>
      <c r="L13" s="14">
        <v>0.14910264770471524</v>
      </c>
    </row>
    <row r="14" spans="1:12" x14ac:dyDescent="0.3">
      <c r="A14" s="11">
        <v>48750</v>
      </c>
      <c r="B14" s="12">
        <v>0.92760419845581055</v>
      </c>
      <c r="C14" s="12">
        <v>1.8584169149398804</v>
      </c>
      <c r="D14" s="14">
        <f t="shared" si="0"/>
        <v>0.15495401538050918</v>
      </c>
      <c r="E14" s="14"/>
      <c r="F14" s="12"/>
      <c r="G14" s="12"/>
      <c r="H14" s="17">
        <f t="shared" si="2"/>
        <v>63855.943222756585</v>
      </c>
      <c r="I14" s="18">
        <f t="shared" si="1"/>
        <v>5.8556079864501953E-2</v>
      </c>
      <c r="L14" s="14">
        <v>0.14910264770471524</v>
      </c>
    </row>
    <row r="15" spans="1:12" x14ac:dyDescent="0.3">
      <c r="A15" s="11">
        <v>97500</v>
      </c>
      <c r="B15" s="12">
        <v>0.9861602783203125</v>
      </c>
      <c r="C15" s="12">
        <v>2.0896732807159424</v>
      </c>
      <c r="D15" s="14">
        <f t="shared" si="0"/>
        <v>0.15495401538050918</v>
      </c>
      <c r="E15" s="14"/>
      <c r="F15" s="12"/>
      <c r="G15" s="12"/>
      <c r="H15" s="17">
        <f>C15*A15</f>
        <v>203743.14486980438</v>
      </c>
      <c r="I15" s="18">
        <f>1-B15</f>
        <v>1.38397216796875E-2</v>
      </c>
      <c r="L15" s="14">
        <v>0.14910264770471524</v>
      </c>
    </row>
    <row r="16" spans="1:12" x14ac:dyDescent="0.3">
      <c r="A16" s="11"/>
      <c r="B16" s="12"/>
      <c r="C16" s="12"/>
      <c r="D16" s="12"/>
      <c r="E16" s="12"/>
      <c r="F16" s="12"/>
      <c r="G16" s="12"/>
    </row>
    <row r="17" spans="1:7" x14ac:dyDescent="0.3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6" x14ac:dyDescent="0.3"/>
  <cols>
    <col min="1" max="4" width="12.5" customWidth="1"/>
    <col min="5" max="23" width="12.69921875" customWidth="1"/>
  </cols>
  <sheetData>
    <row r="1" spans="1:12" x14ac:dyDescent="0.3">
      <c r="A1" s="8" t="s">
        <v>9</v>
      </c>
      <c r="B1" s="8">
        <v>2007</v>
      </c>
      <c r="C1" s="8" t="s">
        <v>24</v>
      </c>
      <c r="D1" s="10">
        <v>36036127</v>
      </c>
      <c r="E1" s="8" t="s">
        <v>30</v>
      </c>
      <c r="F1" s="21">
        <f>(SUMPRODUCT(D4:D16,H4:H16,I4:I16)/(D2*B2))/((1-SUMPRODUCT(D4:D16,H4:H16,I4:I16)/B2)/(1-D2))</f>
        <v>0.40114769613055862</v>
      </c>
      <c r="G1" s="19"/>
      <c r="H1" s="16"/>
    </row>
    <row r="2" spans="1:12" x14ac:dyDescent="0.3">
      <c r="A2" s="8" t="s">
        <v>12</v>
      </c>
      <c r="B2" s="11">
        <v>22707.526353289853</v>
      </c>
      <c r="C2" s="8" t="s">
        <v>15</v>
      </c>
      <c r="D2" s="14">
        <f>[1]TD1!$F$114</f>
        <v>0.6357869062430519</v>
      </c>
      <c r="E2" s="18" t="s">
        <v>26</v>
      </c>
      <c r="I2" s="8"/>
      <c r="L2" s="14">
        <f>SUMPRODUCT(I4:I15,L4:L15)</f>
        <v>0.60922891498943144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5" si="0">L4*D$2/L$2</f>
        <v>0.86572885626492324</v>
      </c>
      <c r="E4" s="14"/>
      <c r="F4" s="8"/>
      <c r="G4" s="8"/>
      <c r="H4" s="17">
        <f>((1-B4)*B2-(1-B5)*C5*A5)/(B5-B4)</f>
        <v>4433.2357502555942</v>
      </c>
      <c r="I4" s="18">
        <f t="shared" ref="I4:I14" si="1">B5-B4</f>
        <v>0.2581334114074707</v>
      </c>
      <c r="L4" s="14">
        <v>0.82956576582231956</v>
      </c>
    </row>
    <row r="5" spans="1:12" x14ac:dyDescent="0.3">
      <c r="A5" s="11">
        <v>9400</v>
      </c>
      <c r="B5" s="12">
        <v>0.2581334114074707</v>
      </c>
      <c r="C5" s="12">
        <v>3.0921370983123779</v>
      </c>
      <c r="D5" s="14">
        <f t="shared" si="0"/>
        <v>0.919622946874458</v>
      </c>
      <c r="E5" s="14"/>
      <c r="F5" s="12"/>
      <c r="G5" s="12"/>
      <c r="H5" s="17">
        <f t="shared" ref="H5:H14" si="2">((1-B5)*C5*A5-(1-B6)*C6*A6)/(B6-B5)</f>
        <v>10349.937690002222</v>
      </c>
      <c r="I5" s="18">
        <f t="shared" si="1"/>
        <v>6.4780712127685547E-2</v>
      </c>
      <c r="L5" s="14">
        <v>0.88120860090429443</v>
      </c>
    </row>
    <row r="6" spans="1:12" x14ac:dyDescent="0.3">
      <c r="A6" s="11">
        <v>11250</v>
      </c>
      <c r="B6" s="12">
        <v>0.32291412353515625</v>
      </c>
      <c r="C6" s="12">
        <v>2.7428240776062012</v>
      </c>
      <c r="D6" s="14">
        <f t="shared" si="0"/>
        <v>0.8234943293902014</v>
      </c>
      <c r="E6" s="14"/>
      <c r="F6" s="12"/>
      <c r="G6" s="12"/>
      <c r="H6" s="17">
        <f t="shared" si="2"/>
        <v>12259.744530025861</v>
      </c>
      <c r="I6" s="18">
        <f t="shared" si="1"/>
        <v>6.7981481552124023E-2</v>
      </c>
      <c r="L6" s="14">
        <v>0.78909545300159223</v>
      </c>
    </row>
    <row r="7" spans="1:12" x14ac:dyDescent="0.3">
      <c r="A7" s="11">
        <v>13150</v>
      </c>
      <c r="B7" s="12">
        <v>0.39089560508728027</v>
      </c>
      <c r="C7" s="12">
        <v>2.5043623447418213</v>
      </c>
      <c r="D7" s="14">
        <f t="shared" si="0"/>
        <v>0.8234943293902014</v>
      </c>
      <c r="E7" s="14"/>
      <c r="F7" s="12"/>
      <c r="G7" s="12"/>
      <c r="H7" s="17">
        <f t="shared" si="2"/>
        <v>14063.571351082481</v>
      </c>
      <c r="I7" s="18">
        <f t="shared" si="1"/>
        <v>7.5384199619293213E-2</v>
      </c>
      <c r="L7" s="14">
        <v>0.78909545300159223</v>
      </c>
    </row>
    <row r="8" spans="1:12" x14ac:dyDescent="0.3">
      <c r="A8" s="11">
        <v>15000</v>
      </c>
      <c r="B8" s="12">
        <v>0.46627980470657349</v>
      </c>
      <c r="C8" s="12">
        <v>2.3731632232666016</v>
      </c>
      <c r="D8" s="14">
        <f t="shared" si="0"/>
        <v>0.72648853257775536</v>
      </c>
      <c r="E8" s="14"/>
      <c r="F8" s="12"/>
      <c r="G8" s="12"/>
      <c r="H8" s="17">
        <f t="shared" si="2"/>
        <v>15924.375534906007</v>
      </c>
      <c r="I8" s="18">
        <f t="shared" si="1"/>
        <v>6.6626429557800293E-2</v>
      </c>
      <c r="L8" s="14">
        <v>0.69614176716846621</v>
      </c>
    </row>
    <row r="9" spans="1:12" x14ac:dyDescent="0.3">
      <c r="A9" s="11">
        <v>16900</v>
      </c>
      <c r="B9" s="12">
        <v>0.53290623426437378</v>
      </c>
      <c r="C9" s="12">
        <v>2.2724037170410156</v>
      </c>
      <c r="D9" s="14">
        <f t="shared" si="0"/>
        <v>0.72648853257775536</v>
      </c>
      <c r="E9" s="14"/>
      <c r="F9" s="12"/>
      <c r="G9" s="12"/>
      <c r="H9" s="17">
        <f t="shared" si="2"/>
        <v>17797.270407691194</v>
      </c>
      <c r="I9" s="18">
        <f t="shared" si="1"/>
        <v>5.5085301399230957E-2</v>
      </c>
      <c r="L9" s="14">
        <v>0.69614176716846621</v>
      </c>
    </row>
    <row r="10" spans="1:12" x14ac:dyDescent="0.3">
      <c r="A10" s="11">
        <v>18750</v>
      </c>
      <c r="B10" s="12">
        <v>0.58799153566360474</v>
      </c>
      <c r="C10" s="12">
        <v>2.1951296329498291</v>
      </c>
      <c r="D10" s="14">
        <f t="shared" si="0"/>
        <v>0.53624024768970135</v>
      </c>
      <c r="E10" s="14"/>
      <c r="F10" s="12"/>
      <c r="G10" s="12"/>
      <c r="H10" s="17">
        <f t="shared" si="2"/>
        <v>21093.67405528446</v>
      </c>
      <c r="I10" s="18">
        <f t="shared" si="1"/>
        <v>0.10275673866271973</v>
      </c>
      <c r="L10" s="14">
        <v>0.51384050389482361</v>
      </c>
    </row>
    <row r="11" spans="1:12" x14ac:dyDescent="0.3">
      <c r="A11" s="11">
        <v>23750</v>
      </c>
      <c r="B11" s="12">
        <v>0.69074827432632446</v>
      </c>
      <c r="C11" s="12">
        <v>2.0137174129486084</v>
      </c>
      <c r="D11" s="14">
        <f t="shared" si="0"/>
        <v>0.53624024768970135</v>
      </c>
      <c r="E11" s="14"/>
      <c r="F11" s="12"/>
      <c r="G11" s="12"/>
      <c r="H11" s="17">
        <f t="shared" si="2"/>
        <v>26129.731931333728</v>
      </c>
      <c r="I11" s="18">
        <f t="shared" si="1"/>
        <v>7.9129338264465332E-2</v>
      </c>
      <c r="L11" s="14">
        <v>0.51384050389482361</v>
      </c>
    </row>
    <row r="12" spans="1:12" x14ac:dyDescent="0.3">
      <c r="A12" s="11">
        <v>28750</v>
      </c>
      <c r="B12" s="12">
        <v>0.76987761259078979</v>
      </c>
      <c r="C12" s="12">
        <v>1.9229962825775146</v>
      </c>
      <c r="D12" s="14">
        <f t="shared" si="0"/>
        <v>0.27879625475697661</v>
      </c>
      <c r="E12" s="14"/>
      <c r="F12" s="12"/>
      <c r="G12" s="12"/>
      <c r="H12" s="17">
        <f t="shared" si="2"/>
        <v>33213.007214589074</v>
      </c>
      <c r="I12" s="18">
        <f t="shared" si="1"/>
        <v>0.10007381439208984</v>
      </c>
      <c r="L12" s="14">
        <v>0.2671504211880994</v>
      </c>
    </row>
    <row r="13" spans="1:12" x14ac:dyDescent="0.3">
      <c r="A13" s="11">
        <v>38750</v>
      </c>
      <c r="B13" s="12">
        <v>0.86995142698287964</v>
      </c>
      <c r="C13" s="12">
        <v>1.8650752305984497</v>
      </c>
      <c r="D13" s="14">
        <f t="shared" si="0"/>
        <v>0.16010703894821721</v>
      </c>
      <c r="E13" s="14"/>
      <c r="F13" s="12"/>
      <c r="G13" s="12"/>
      <c r="H13" s="17">
        <f t="shared" si="2"/>
        <v>43215.207994543285</v>
      </c>
      <c r="I13" s="18">
        <f t="shared" si="1"/>
        <v>5.2493095397949219E-2</v>
      </c>
      <c r="L13" s="14">
        <v>0.15341907274715755</v>
      </c>
    </row>
    <row r="14" spans="1:12" x14ac:dyDescent="0.3">
      <c r="A14" s="11">
        <v>48750</v>
      </c>
      <c r="B14" s="12">
        <v>0.92244452238082886</v>
      </c>
      <c r="C14" s="12">
        <v>1.885915994644165</v>
      </c>
      <c r="D14" s="14">
        <f t="shared" si="0"/>
        <v>0.16010703894821721</v>
      </c>
      <c r="E14" s="14"/>
      <c r="F14" s="12"/>
      <c r="G14" s="12"/>
      <c r="H14" s="17">
        <f t="shared" si="2"/>
        <v>63909.960336924552</v>
      </c>
      <c r="I14" s="18">
        <f t="shared" si="1"/>
        <v>6.2346160411834717E-2</v>
      </c>
      <c r="L14" s="14">
        <v>0.15341907274715755</v>
      </c>
    </row>
    <row r="15" spans="1:12" x14ac:dyDescent="0.3">
      <c r="A15" s="11">
        <v>97500</v>
      </c>
      <c r="B15" s="12">
        <v>0.98479068279266357</v>
      </c>
      <c r="C15" s="12">
        <v>2.1213624477386475</v>
      </c>
      <c r="D15" s="14">
        <f t="shared" si="0"/>
        <v>0.16010703894821721</v>
      </c>
      <c r="E15" s="14"/>
      <c r="F15" s="12"/>
      <c r="G15" s="12"/>
      <c r="H15" s="17">
        <f>C15*A15</f>
        <v>206832.83865451813</v>
      </c>
      <c r="I15" s="18">
        <f>1-B15</f>
        <v>1.5209317207336426E-2</v>
      </c>
      <c r="L15" s="14">
        <v>0.15341907274715755</v>
      </c>
    </row>
    <row r="16" spans="1:12" x14ac:dyDescent="0.3">
      <c r="A16" s="11"/>
      <c r="B16" s="12"/>
      <c r="C16" s="12"/>
      <c r="D16" s="12"/>
      <c r="E16" s="12"/>
      <c r="F16" s="12"/>
      <c r="G16" s="12"/>
    </row>
    <row r="17" spans="1:7" x14ac:dyDescent="0.3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6" x14ac:dyDescent="0.3"/>
  <cols>
    <col min="1" max="4" width="12.5" customWidth="1"/>
    <col min="5" max="12" width="12.69921875" customWidth="1"/>
  </cols>
  <sheetData>
    <row r="1" spans="1:12" x14ac:dyDescent="0.3">
      <c r="A1" s="8" t="s">
        <v>9</v>
      </c>
      <c r="B1" s="8">
        <v>2008</v>
      </c>
      <c r="C1" s="8" t="s">
        <v>24</v>
      </c>
      <c r="D1" s="10">
        <v>36390286</v>
      </c>
      <c r="E1" s="8" t="s">
        <v>30</v>
      </c>
      <c r="F1" s="21">
        <f>(SUMPRODUCT(D4:D16,H4:H16,I4:I16)/(D2*B2))/((1-SUMPRODUCT(D4:D16,H4:H16,I4:I16)/B2)/(1-D2))</f>
        <v>0.39902922858747975</v>
      </c>
      <c r="G1" s="19"/>
      <c r="H1" s="16"/>
    </row>
    <row r="2" spans="1:12" x14ac:dyDescent="0.3">
      <c r="A2" s="8" t="s">
        <v>12</v>
      </c>
      <c r="B2" s="11">
        <v>23201.65673784482</v>
      </c>
      <c r="C2" s="8" t="s">
        <v>15</v>
      </c>
      <c r="D2" s="14">
        <f>[1]TD1!$F$115</f>
        <v>0.63924062482707589</v>
      </c>
      <c r="E2" s="18" t="s">
        <v>26</v>
      </c>
      <c r="I2" s="8"/>
      <c r="L2" s="14">
        <f>SUMPRODUCT(I4:I15,L4:L15)</f>
        <v>0.57502852825601813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5" si="0">L4*D$2/L$2</f>
        <v>0.91797622550213043</v>
      </c>
      <c r="E4" s="14"/>
      <c r="F4" s="8"/>
      <c r="G4" s="8"/>
      <c r="H4" s="17">
        <f>((1-B4)*B2-(1-B5)*C5*A5)/(B5-B4)</f>
        <v>4358.3890403275973</v>
      </c>
      <c r="I4" s="18">
        <f t="shared" ref="I4:I14" si="1">B5-B4</f>
        <v>0.24909007549285889</v>
      </c>
      <c r="L4" s="14">
        <v>0.82576497397564397</v>
      </c>
    </row>
    <row r="5" spans="1:12" x14ac:dyDescent="0.3">
      <c r="A5" s="11">
        <v>9400</v>
      </c>
      <c r="B5" s="12">
        <v>0.24909007549285889</v>
      </c>
      <c r="C5" s="12">
        <v>3.1332235336303711</v>
      </c>
      <c r="D5" s="14">
        <f t="shared" si="0"/>
        <v>0.97814850563380562</v>
      </c>
      <c r="E5" s="14"/>
      <c r="F5" s="12"/>
      <c r="G5" s="12"/>
      <c r="H5" s="17">
        <f t="shared" ref="H5:H14" si="2">((1-B5)*C5*A5-(1-B6)*C6*A6)/(B6-B5)</f>
        <v>10341.444063105255</v>
      </c>
      <c r="I5" s="18">
        <f t="shared" si="1"/>
        <v>6.0962438583374023E-2</v>
      </c>
      <c r="L5" s="14">
        <v>0.87989291319303342</v>
      </c>
    </row>
    <row r="6" spans="1:12" x14ac:dyDescent="0.3">
      <c r="A6" s="11">
        <v>11250</v>
      </c>
      <c r="B6" s="12">
        <v>0.31005251407623291</v>
      </c>
      <c r="C6" s="12">
        <v>2.7680799961090088</v>
      </c>
      <c r="D6" s="14">
        <f t="shared" si="0"/>
        <v>0.88930805848272132</v>
      </c>
      <c r="E6" s="14"/>
      <c r="F6" s="12"/>
      <c r="G6" s="12"/>
      <c r="H6" s="17">
        <f t="shared" si="2"/>
        <v>12206.871288225988</v>
      </c>
      <c r="I6" s="18">
        <f t="shared" si="1"/>
        <v>6.3880562782287598E-2</v>
      </c>
      <c r="L6" s="14">
        <v>0.79997654118724293</v>
      </c>
    </row>
    <row r="7" spans="1:12" x14ac:dyDescent="0.3">
      <c r="A7" s="11">
        <v>13150</v>
      </c>
      <c r="B7" s="12">
        <v>0.37393307685852051</v>
      </c>
      <c r="C7" s="12">
        <v>2.5150439739227295</v>
      </c>
      <c r="D7" s="14">
        <f t="shared" si="0"/>
        <v>0.78080157727588306</v>
      </c>
      <c r="E7" s="14"/>
      <c r="F7" s="12"/>
      <c r="G7" s="12"/>
      <c r="H7" s="17">
        <f t="shared" si="2"/>
        <v>14072.842070709728</v>
      </c>
      <c r="I7" s="18">
        <f t="shared" si="1"/>
        <v>7.3793351650238037E-2</v>
      </c>
      <c r="L7" s="14">
        <v>0.70236959980818692</v>
      </c>
    </row>
    <row r="8" spans="1:12" x14ac:dyDescent="0.3">
      <c r="A8" s="11">
        <v>15000</v>
      </c>
      <c r="B8" s="12">
        <v>0.44772642850875854</v>
      </c>
      <c r="C8" s="12">
        <v>2.3741037845611572</v>
      </c>
      <c r="D8" s="14">
        <f t="shared" si="0"/>
        <v>0.58266541215117607</v>
      </c>
      <c r="E8" s="14"/>
      <c r="F8" s="12"/>
      <c r="G8" s="12"/>
      <c r="H8" s="17">
        <f t="shared" si="2"/>
        <v>15923.792358318598</v>
      </c>
      <c r="I8" s="18">
        <f t="shared" si="1"/>
        <v>6.7619800567626953E-2</v>
      </c>
      <c r="L8" s="14">
        <v>0.52413632895376894</v>
      </c>
    </row>
    <row r="9" spans="1:12" x14ac:dyDescent="0.3">
      <c r="A9" s="11">
        <v>16900</v>
      </c>
      <c r="B9" s="12">
        <v>0.5153462290763855</v>
      </c>
      <c r="C9" s="12">
        <v>2.2697296142578125</v>
      </c>
      <c r="D9" s="14">
        <f t="shared" si="0"/>
        <v>0.58266541215117607</v>
      </c>
      <c r="E9" s="14"/>
      <c r="F9" s="12"/>
      <c r="G9" s="12"/>
      <c r="H9" s="17">
        <f t="shared" si="2"/>
        <v>17799.066491509737</v>
      </c>
      <c r="I9" s="18">
        <f t="shared" si="1"/>
        <v>5.6462705135345459E-2</v>
      </c>
      <c r="L9" s="14">
        <v>0.52413632895376894</v>
      </c>
    </row>
    <row r="10" spans="1:12" x14ac:dyDescent="0.3">
      <c r="A10" s="11">
        <v>18750</v>
      </c>
      <c r="B10" s="12">
        <v>0.57180893421173096</v>
      </c>
      <c r="C10" s="12">
        <v>2.190371036529541</v>
      </c>
      <c r="D10" s="14">
        <f t="shared" si="0"/>
        <v>0.58266541215117607</v>
      </c>
      <c r="E10" s="14"/>
      <c r="F10" s="12"/>
      <c r="G10" s="12"/>
      <c r="H10" s="17">
        <f t="shared" si="2"/>
        <v>21041.80910042434</v>
      </c>
      <c r="I10" s="18">
        <f t="shared" si="1"/>
        <v>0.1051865816116333</v>
      </c>
      <c r="L10" s="14">
        <v>0.52413632895376894</v>
      </c>
    </row>
    <row r="11" spans="1:12" x14ac:dyDescent="0.3">
      <c r="A11" s="11">
        <v>23750</v>
      </c>
      <c r="B11" s="12">
        <v>0.67699551582336426</v>
      </c>
      <c r="C11" s="12">
        <v>2.0038514137268066</v>
      </c>
      <c r="D11" s="14">
        <f t="shared" si="0"/>
        <v>0.58266541215117607</v>
      </c>
      <c r="E11" s="14"/>
      <c r="F11" s="12"/>
      <c r="G11" s="12"/>
      <c r="H11" s="17">
        <f t="shared" si="2"/>
        <v>26128.154427029935</v>
      </c>
      <c r="I11" s="18">
        <f t="shared" si="1"/>
        <v>8.0523014068603516E-2</v>
      </c>
      <c r="L11" s="14">
        <v>0.52413632895376894</v>
      </c>
    </row>
    <row r="12" spans="1:12" x14ac:dyDescent="0.3">
      <c r="A12" s="11">
        <v>28750</v>
      </c>
      <c r="B12" s="12">
        <v>0.75751852989196777</v>
      </c>
      <c r="C12" s="12">
        <v>1.9032691717147827</v>
      </c>
      <c r="D12" s="14">
        <f t="shared" si="0"/>
        <v>0.30796698527224775</v>
      </c>
      <c r="E12" s="14"/>
      <c r="F12" s="12"/>
      <c r="G12" s="12"/>
      <c r="H12" s="17">
        <f t="shared" si="2"/>
        <v>33229.578030584635</v>
      </c>
      <c r="I12" s="18">
        <f t="shared" si="1"/>
        <v>0.10404270887374878</v>
      </c>
      <c r="L12" s="14">
        <v>0.27703152054900904</v>
      </c>
    </row>
    <row r="13" spans="1:12" x14ac:dyDescent="0.3">
      <c r="A13" s="11">
        <v>38750</v>
      </c>
      <c r="B13" s="12">
        <v>0.86156123876571655</v>
      </c>
      <c r="C13" s="12">
        <v>1.8288828134536743</v>
      </c>
      <c r="D13" s="14">
        <f t="shared" si="0"/>
        <v>0.17319725092519966</v>
      </c>
      <c r="E13" s="14"/>
      <c r="F13" s="12"/>
      <c r="G13" s="12"/>
      <c r="H13" s="17">
        <f t="shared" si="2"/>
        <v>43232.27672189202</v>
      </c>
      <c r="I13" s="18">
        <f t="shared" si="1"/>
        <v>5.5471718311309814E-2</v>
      </c>
      <c r="L13" s="14">
        <v>0.15579948524774584</v>
      </c>
    </row>
    <row r="14" spans="1:12" x14ac:dyDescent="0.3">
      <c r="A14" s="11">
        <v>48750</v>
      </c>
      <c r="B14" s="12">
        <v>0.91703295707702637</v>
      </c>
      <c r="C14" s="12">
        <v>1.8327640295028687</v>
      </c>
      <c r="D14" s="14">
        <f t="shared" si="0"/>
        <v>0.17319725092519966</v>
      </c>
      <c r="E14" s="14"/>
      <c r="F14" s="12"/>
      <c r="G14" s="12"/>
      <c r="H14" s="17">
        <f t="shared" si="2"/>
        <v>63945.379087188361</v>
      </c>
      <c r="I14" s="18">
        <f t="shared" si="1"/>
        <v>6.7037403583526611E-2</v>
      </c>
      <c r="L14" s="14">
        <v>0.15579948524774584</v>
      </c>
    </row>
    <row r="15" spans="1:12" x14ac:dyDescent="0.3">
      <c r="A15" s="11">
        <v>97500</v>
      </c>
      <c r="B15" s="12">
        <v>0.98407036066055298</v>
      </c>
      <c r="C15" s="12">
        <v>2.0127902030944824</v>
      </c>
      <c r="D15" s="14">
        <f t="shared" si="0"/>
        <v>0.17319725092519966</v>
      </c>
      <c r="E15" s="14"/>
      <c r="F15" s="12"/>
      <c r="G15" s="12"/>
      <c r="H15" s="17">
        <f>C15*A15</f>
        <v>196247.04480171204</v>
      </c>
      <c r="I15" s="18">
        <f>1-B15</f>
        <v>1.5929639339447021E-2</v>
      </c>
      <c r="L15" s="14">
        <v>0.15579948524774584</v>
      </c>
    </row>
    <row r="16" spans="1:12" x14ac:dyDescent="0.3">
      <c r="A16" s="11"/>
      <c r="B16" s="12"/>
      <c r="C16" s="12"/>
      <c r="D16" s="12"/>
      <c r="E16" s="12"/>
      <c r="F16" s="12"/>
      <c r="G16" s="12"/>
    </row>
    <row r="17" spans="1:7" x14ac:dyDescent="0.3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120" zoomScaleNormal="120" zoomScalePageLayoutView="120" workbookViewId="0"/>
  </sheetViews>
  <sheetFormatPr baseColWidth="10" defaultRowHeight="15.6" x14ac:dyDescent="0.3"/>
  <cols>
    <col min="1" max="4" width="12.5" customWidth="1"/>
    <col min="5" max="13" width="12.69921875" customWidth="1"/>
  </cols>
  <sheetData>
    <row r="1" spans="1:12" x14ac:dyDescent="0.3">
      <c r="A1" s="8" t="s">
        <v>9</v>
      </c>
      <c r="B1" s="8">
        <v>2009</v>
      </c>
      <c r="C1" s="8" t="s">
        <v>24</v>
      </c>
      <c r="D1" s="10">
        <v>36599197</v>
      </c>
      <c r="E1" s="8" t="s">
        <v>30</v>
      </c>
      <c r="F1" s="21">
        <f>(SUMPRODUCT(D4:D16,H4:H16,I4:I16)/(D2*B2))/((1-SUMPRODUCT(D4:D16,H4:H16,I4:I16)/B2)/(1-D2))</f>
        <v>0.40479245679688275</v>
      </c>
      <c r="G1" s="19"/>
      <c r="H1" s="16"/>
    </row>
    <row r="2" spans="1:12" x14ac:dyDescent="0.3">
      <c r="A2" s="8" t="s">
        <v>12</v>
      </c>
      <c r="B2" s="11">
        <v>23180.250719161952</v>
      </c>
      <c r="C2" s="8" t="s">
        <v>15</v>
      </c>
      <c r="D2" s="14">
        <f>[1]TD1!$F$116</f>
        <v>0.63790291021624901</v>
      </c>
      <c r="E2" s="18" t="s">
        <v>26</v>
      </c>
      <c r="I2" s="8"/>
      <c r="L2" s="14">
        <f>SUMPRODUCT(I4:I15,L4:L15)</f>
        <v>0.6031073271326165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8">
        <v>0</v>
      </c>
      <c r="B4" s="12">
        <v>0</v>
      </c>
      <c r="C4" s="8"/>
      <c r="D4" s="14">
        <f t="shared" ref="D4:D15" si="0">L4*D$2/L$2</f>
        <v>0.87897058684409735</v>
      </c>
      <c r="E4" s="14"/>
      <c r="F4" s="8"/>
      <c r="G4" s="8"/>
      <c r="H4" s="17">
        <f>((1-B4)*B2-(1-B5)*C5*A5)/(B5-B4)</f>
        <v>4263.7176819027754</v>
      </c>
      <c r="I4" s="18">
        <f t="shared" ref="I4:I14" si="1">B5-B4</f>
        <v>0.24816089868545532</v>
      </c>
      <c r="L4" s="14">
        <v>0.8310255256243031</v>
      </c>
    </row>
    <row r="5" spans="1:12" x14ac:dyDescent="0.3">
      <c r="A5" s="11">
        <v>9400</v>
      </c>
      <c r="B5" s="12">
        <v>0.24816089868545532</v>
      </c>
      <c r="C5" s="12">
        <v>3.1302196979522705</v>
      </c>
      <c r="D5" s="14">
        <f t="shared" si="0"/>
        <v>0.87225818543838063</v>
      </c>
      <c r="E5" s="14"/>
      <c r="F5" s="12"/>
      <c r="G5" s="12"/>
      <c r="H5" s="17">
        <f t="shared" ref="H5:H14" si="2">((1-B5)*C5*A5-(1-B6)*C6*A6)/(B6-B5)</f>
        <v>10337.363969726028</v>
      </c>
      <c r="I5" s="18">
        <f t="shared" si="1"/>
        <v>5.9569895267486572E-2</v>
      </c>
      <c r="L5" s="14">
        <v>0.82467926445256667</v>
      </c>
    </row>
    <row r="6" spans="1:12" x14ac:dyDescent="0.3">
      <c r="A6" s="11">
        <v>11250</v>
      </c>
      <c r="B6" s="12">
        <v>0.30773079395294189</v>
      </c>
      <c r="C6" s="12">
        <v>2.7614648342132568</v>
      </c>
      <c r="D6" s="14">
        <f t="shared" si="0"/>
        <v>0.87225818543838063</v>
      </c>
      <c r="E6" s="14"/>
      <c r="F6" s="12"/>
      <c r="G6" s="12"/>
      <c r="H6" s="17">
        <f t="shared" si="2"/>
        <v>12200.177408743122</v>
      </c>
      <c r="I6" s="18">
        <f t="shared" si="1"/>
        <v>6.1056256294250488E-2</v>
      </c>
      <c r="L6" s="14">
        <v>0.82467926445256667</v>
      </c>
    </row>
    <row r="7" spans="1:12" x14ac:dyDescent="0.3">
      <c r="A7" s="11">
        <v>13150</v>
      </c>
      <c r="B7" s="12">
        <v>0.36878705024719238</v>
      </c>
      <c r="C7" s="12">
        <v>2.5012462139129639</v>
      </c>
      <c r="D7" s="14">
        <f t="shared" si="0"/>
        <v>0.87225818543838063</v>
      </c>
      <c r="E7" s="14"/>
      <c r="F7" s="12"/>
      <c r="G7" s="12"/>
      <c r="H7" s="17">
        <f t="shared" si="2"/>
        <v>14077.25772252485</v>
      </c>
      <c r="I7" s="18">
        <f t="shared" si="1"/>
        <v>7.1785986423492432E-2</v>
      </c>
      <c r="L7" s="14">
        <v>0.82467926445256667</v>
      </c>
    </row>
    <row r="8" spans="1:12" x14ac:dyDescent="0.3">
      <c r="A8" s="11">
        <v>15000</v>
      </c>
      <c r="B8" s="12">
        <v>0.44057303667068481</v>
      </c>
      <c r="C8" s="12">
        <v>2.3537085056304932</v>
      </c>
      <c r="D8" s="14">
        <f t="shared" si="0"/>
        <v>0.75351659389422188</v>
      </c>
      <c r="E8" s="14"/>
      <c r="F8" s="12"/>
      <c r="G8" s="12"/>
      <c r="H8" s="17">
        <f t="shared" si="2"/>
        <v>15925.527502598326</v>
      </c>
      <c r="I8" s="18">
        <f t="shared" si="1"/>
        <v>6.7381024360656738E-2</v>
      </c>
      <c r="L8" s="14">
        <v>0.71241465059245213</v>
      </c>
    </row>
    <row r="9" spans="1:12" x14ac:dyDescent="0.3">
      <c r="A9" s="11">
        <v>16900</v>
      </c>
      <c r="B9" s="12">
        <v>0.50795406103134155</v>
      </c>
      <c r="C9" s="12">
        <v>2.2461271286010742</v>
      </c>
      <c r="D9" s="14">
        <f t="shared" si="0"/>
        <v>0.75351659389422188</v>
      </c>
      <c r="E9" s="14"/>
      <c r="F9" s="12"/>
      <c r="G9" s="12"/>
      <c r="H9" s="17">
        <f t="shared" si="2"/>
        <v>17801.002216443805</v>
      </c>
      <c r="I9" s="18">
        <f t="shared" si="1"/>
        <v>5.6615769863128662E-2</v>
      </c>
      <c r="L9" s="14">
        <v>0.71241465059245213</v>
      </c>
    </row>
    <row r="10" spans="1:12" x14ac:dyDescent="0.3">
      <c r="A10" s="11">
        <v>18750</v>
      </c>
      <c r="B10" s="12">
        <v>0.56456983089447021</v>
      </c>
      <c r="C10" s="12">
        <v>2.164299488067627</v>
      </c>
      <c r="D10" s="14">
        <f t="shared" si="0"/>
        <v>0.55087095637945493</v>
      </c>
      <c r="E10" s="14"/>
      <c r="F10" s="12"/>
      <c r="G10" s="12"/>
      <c r="H10" s="17">
        <f t="shared" si="2"/>
        <v>21033.78172166026</v>
      </c>
      <c r="I10" s="18">
        <f t="shared" si="1"/>
        <v>0.10571473836898804</v>
      </c>
      <c r="L10" s="14">
        <v>0.52082269068873488</v>
      </c>
    </row>
    <row r="11" spans="1:12" x14ac:dyDescent="0.3">
      <c r="A11" s="11">
        <v>23750</v>
      </c>
      <c r="B11" s="12">
        <v>0.67028456926345825</v>
      </c>
      <c r="C11" s="12">
        <v>1.9725390672683716</v>
      </c>
      <c r="D11" s="14">
        <f t="shared" si="0"/>
        <v>0.55087095637945493</v>
      </c>
      <c r="E11" s="14"/>
      <c r="F11" s="12"/>
      <c r="G11" s="12"/>
      <c r="H11" s="17">
        <f t="shared" si="2"/>
        <v>26126.354348786292</v>
      </c>
      <c r="I11" s="18">
        <f t="shared" si="1"/>
        <v>8.1249475479125977E-2</v>
      </c>
      <c r="L11" s="14">
        <v>0.52082269068873488</v>
      </c>
    </row>
    <row r="12" spans="1:12" x14ac:dyDescent="0.3">
      <c r="A12" s="11">
        <v>28750</v>
      </c>
      <c r="B12" s="12">
        <v>0.75153404474258423</v>
      </c>
      <c r="C12" s="12">
        <v>1.8651759624481201</v>
      </c>
      <c r="D12" s="14">
        <f t="shared" si="0"/>
        <v>0.25798783696401628</v>
      </c>
      <c r="E12" s="14"/>
      <c r="F12" s="12"/>
      <c r="G12" s="12"/>
      <c r="H12" s="17">
        <f t="shared" si="2"/>
        <v>33244.828090535542</v>
      </c>
      <c r="I12" s="18">
        <f t="shared" si="1"/>
        <v>0.10561162233352661</v>
      </c>
      <c r="L12" s="14">
        <v>0.24391541767907385</v>
      </c>
    </row>
    <row r="13" spans="1:12" x14ac:dyDescent="0.3">
      <c r="A13" s="11">
        <v>38750</v>
      </c>
      <c r="B13" s="12">
        <v>0.85714566707611084</v>
      </c>
      <c r="C13" s="12">
        <v>1.7726427316665649</v>
      </c>
      <c r="D13" s="14">
        <f t="shared" si="0"/>
        <v>0.25798783696401628</v>
      </c>
      <c r="E13" s="14"/>
      <c r="F13" s="12"/>
      <c r="G13" s="12"/>
      <c r="H13" s="17">
        <f t="shared" si="2"/>
        <v>43239.598974075416</v>
      </c>
      <c r="I13" s="18">
        <f t="shared" si="1"/>
        <v>5.7249844074249268E-2</v>
      </c>
      <c r="L13" s="14">
        <v>0.24391541767907385</v>
      </c>
    </row>
    <row r="14" spans="1:12" x14ac:dyDescent="0.3">
      <c r="A14" s="11">
        <v>48750</v>
      </c>
      <c r="B14" s="12">
        <v>0.91439551115036011</v>
      </c>
      <c r="C14" s="12">
        <v>1.7581609487533569</v>
      </c>
      <c r="D14" s="14">
        <f t="shared" si="0"/>
        <v>0.15927857435214396</v>
      </c>
      <c r="E14" s="14"/>
      <c r="F14" s="12"/>
      <c r="G14" s="12"/>
      <c r="H14" s="17">
        <f t="shared" si="2"/>
        <v>63896.522458626139</v>
      </c>
      <c r="I14" s="18">
        <f t="shared" si="1"/>
        <v>6.9842696189880371E-2</v>
      </c>
      <c r="L14" s="14">
        <v>0.15059043266388333</v>
      </c>
    </row>
    <row r="15" spans="1:12" x14ac:dyDescent="0.3">
      <c r="A15" s="11">
        <v>97500</v>
      </c>
      <c r="B15" s="12">
        <v>0.98423820734024048</v>
      </c>
      <c r="C15" s="12">
        <v>1.8704659938812256</v>
      </c>
      <c r="D15" s="14">
        <f t="shared" si="0"/>
        <v>0.15075679099433278</v>
      </c>
      <c r="E15" s="14"/>
      <c r="F15" s="12"/>
      <c r="G15" s="12"/>
      <c r="H15" s="17">
        <f>C15*A15</f>
        <v>182370.43440341949</v>
      </c>
      <c r="I15" s="18">
        <f>1-B15</f>
        <v>1.5761792659759521E-2</v>
      </c>
      <c r="L15" s="14">
        <v>0.1425334855940065</v>
      </c>
    </row>
    <row r="16" spans="1:12" x14ac:dyDescent="0.3">
      <c r="A16" s="11"/>
      <c r="B16" s="12"/>
      <c r="C16" s="12"/>
      <c r="D16" s="12"/>
      <c r="E16" s="12"/>
      <c r="F16" s="12"/>
      <c r="G16" s="12"/>
    </row>
    <row r="17" spans="1:7" x14ac:dyDescent="0.3">
      <c r="A17" s="13"/>
      <c r="B17" s="13"/>
      <c r="C17" s="13"/>
      <c r="D17" s="13"/>
      <c r="E17" s="13"/>
      <c r="F17" s="13"/>
      <c r="G17" s="13"/>
    </row>
    <row r="18" spans="1:7" x14ac:dyDescent="0.3">
      <c r="A18" s="13"/>
      <c r="B18" s="13"/>
      <c r="C18" s="13"/>
      <c r="D18" s="13"/>
      <c r="E18" s="13"/>
      <c r="F18" s="13"/>
      <c r="G18" s="13"/>
    </row>
    <row r="19" spans="1:7" x14ac:dyDescent="0.3">
      <c r="A19" s="13"/>
      <c r="B19" s="13"/>
      <c r="C19" s="13"/>
      <c r="D19" s="13"/>
      <c r="E19" s="13"/>
      <c r="F19" s="13"/>
      <c r="G19" s="13"/>
    </row>
    <row r="20" spans="1:7" x14ac:dyDescent="0.3">
      <c r="A20" s="13"/>
      <c r="B20" s="13"/>
      <c r="C20" s="13"/>
      <c r="D20" s="13"/>
      <c r="E20" s="13"/>
      <c r="F20" s="13"/>
      <c r="G20" s="13"/>
    </row>
    <row r="21" spans="1:7" x14ac:dyDescent="0.3">
      <c r="A21" s="13"/>
      <c r="B21" s="13"/>
      <c r="C21" s="13"/>
      <c r="D21" s="13"/>
      <c r="E21" s="13"/>
      <c r="F21" s="13"/>
      <c r="G21" s="13"/>
    </row>
    <row r="22" spans="1:7" x14ac:dyDescent="0.3">
      <c r="A22" s="13"/>
      <c r="B22" s="13"/>
      <c r="C22" s="13"/>
      <c r="D22" s="13"/>
      <c r="E22" s="13"/>
      <c r="F22" s="13"/>
      <c r="G22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="120" zoomScaleNormal="120" zoomScalePageLayoutView="120" workbookViewId="0"/>
  </sheetViews>
  <sheetFormatPr baseColWidth="10" defaultRowHeight="15.6" x14ac:dyDescent="0.3"/>
  <cols>
    <col min="1" max="7" width="12.5" customWidth="1"/>
    <col min="8" max="13" width="12.69921875" customWidth="1"/>
  </cols>
  <sheetData>
    <row r="1" spans="1:12" x14ac:dyDescent="0.3">
      <c r="A1" s="8" t="s">
        <v>9</v>
      </c>
      <c r="B1" s="8">
        <v>2010</v>
      </c>
      <c r="C1" s="8" t="s">
        <v>24</v>
      </c>
      <c r="D1" s="10">
        <v>36962517</v>
      </c>
      <c r="E1" s="8" t="s">
        <v>30</v>
      </c>
      <c r="F1" s="21">
        <f>(SUMPRODUCT(D4:D11,H4:H11,I4:I11)/(D2*B2))/((1-SUMPRODUCT(D4:D11,H4:H11,I4:I11)/B2)/(1-D2))</f>
        <v>0.40108155834599735</v>
      </c>
      <c r="G1" s="19"/>
      <c r="H1" s="16"/>
    </row>
    <row r="2" spans="1:12" x14ac:dyDescent="0.3">
      <c r="A2" s="8" t="s">
        <v>12</v>
      </c>
      <c r="B2" s="11">
        <v>23734.627017499919</v>
      </c>
      <c r="C2" s="8" t="s">
        <v>15</v>
      </c>
      <c r="D2" s="14">
        <f>[1]TD1!$F$117</f>
        <v>0.64423761981879712</v>
      </c>
      <c r="E2" s="18" t="s">
        <v>26</v>
      </c>
      <c r="I2" s="8"/>
      <c r="L2" s="12">
        <v>0.61538314612070388</v>
      </c>
    </row>
    <row r="3" spans="1:12" x14ac:dyDescent="0.3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3">
      <c r="A4" s="11">
        <v>0</v>
      </c>
      <c r="B4" s="12">
        <v>0</v>
      </c>
      <c r="C4" s="12"/>
      <c r="D4" s="14">
        <f>L4*D$2/L$2</f>
        <v>0.87221800843509112</v>
      </c>
      <c r="E4" s="14"/>
      <c r="F4" s="8"/>
      <c r="G4" s="8"/>
      <c r="H4" s="17">
        <f>((1-B4)*B2-(1-B5)*C5*A5)/(B5-B4)</f>
        <v>4610.7453088571601</v>
      </c>
      <c r="I4" s="18">
        <f t="shared" ref="I4:I10" si="0">B5-B4</f>
        <v>0.26386523246765137</v>
      </c>
      <c r="L4" s="12">
        <v>0.83315262198579876</v>
      </c>
    </row>
    <row r="5" spans="1:12" x14ac:dyDescent="0.3">
      <c r="A5" s="11">
        <v>10000</v>
      </c>
      <c r="B5" s="12">
        <v>0.26386523246765137</v>
      </c>
      <c r="C5" s="12">
        <v>3.0589523315429687</v>
      </c>
      <c r="D5" s="14">
        <f t="shared" ref="D5:D11" si="1">L5*D$2/L$2</f>
        <v>0.87220489919797961</v>
      </c>
      <c r="E5" s="14"/>
      <c r="F5" s="12"/>
      <c r="G5" s="12"/>
      <c r="H5" s="17">
        <f t="shared" ref="H5:H10" si="2">((1-B5)*C5*A5-(1-B6)*C6*A6)/(B6-B5)</f>
        <v>11015.348034386183</v>
      </c>
      <c r="I5" s="18">
        <f t="shared" si="0"/>
        <v>6.5125346183776855E-2</v>
      </c>
      <c r="L5" s="12">
        <v>0.8331400998925077</v>
      </c>
    </row>
    <row r="6" spans="1:12" x14ac:dyDescent="0.3">
      <c r="A6" s="11">
        <v>12000</v>
      </c>
      <c r="B6" s="12">
        <v>0.32899057865142822</v>
      </c>
      <c r="C6" s="12">
        <v>2.7074425220489502</v>
      </c>
      <c r="D6" s="14">
        <f t="shared" si="1"/>
        <v>0.87220489919797961</v>
      </c>
      <c r="E6" s="14"/>
      <c r="F6" s="12"/>
      <c r="G6" s="12"/>
      <c r="H6" s="17">
        <f t="shared" si="2"/>
        <v>13594.753445199947</v>
      </c>
      <c r="I6" s="18">
        <f t="shared" si="0"/>
        <v>0.1033288836479187</v>
      </c>
      <c r="L6" s="12">
        <v>0.8331400998925077</v>
      </c>
    </row>
    <row r="7" spans="1:12" x14ac:dyDescent="0.3">
      <c r="A7" s="11">
        <v>15000</v>
      </c>
      <c r="B7" s="12">
        <v>0.43231946229934692</v>
      </c>
      <c r="C7" s="12">
        <v>2.3952324390411377</v>
      </c>
      <c r="D7" s="14">
        <f t="shared" si="1"/>
        <v>0.75579683828183264</v>
      </c>
      <c r="E7" s="14"/>
      <c r="F7" s="12"/>
      <c r="G7" s="12"/>
      <c r="H7" s="17">
        <f t="shared" si="2"/>
        <v>17330.550972452569</v>
      </c>
      <c r="I7" s="18">
        <f t="shared" si="0"/>
        <v>0.1569172739982605</v>
      </c>
      <c r="L7" s="12">
        <v>0.72194578810963206</v>
      </c>
    </row>
    <row r="8" spans="1:12" x14ac:dyDescent="0.3">
      <c r="A8" s="11">
        <v>20000</v>
      </c>
      <c r="B8" s="12">
        <v>0.58923673629760742</v>
      </c>
      <c r="C8" s="12">
        <v>2.1516578197479248</v>
      </c>
      <c r="D8" s="14">
        <f t="shared" si="1"/>
        <v>0.55689046998625413</v>
      </c>
      <c r="E8" s="14"/>
      <c r="F8" s="12"/>
      <c r="G8" s="12"/>
      <c r="H8" s="17">
        <f t="shared" si="2"/>
        <v>24597.18791723287</v>
      </c>
      <c r="I8" s="18">
        <f t="shared" si="0"/>
        <v>0.17165529727935791</v>
      </c>
      <c r="L8" s="12">
        <v>0.53194814913349675</v>
      </c>
    </row>
    <row r="9" spans="1:12" x14ac:dyDescent="0.3">
      <c r="A9" s="11">
        <v>30000</v>
      </c>
      <c r="B9" s="12">
        <v>0.76089203357696533</v>
      </c>
      <c r="C9" s="12">
        <v>1.8756104707717896</v>
      </c>
      <c r="D9" s="14">
        <f t="shared" si="1"/>
        <v>0.26108369571786527</v>
      </c>
      <c r="E9" s="14"/>
      <c r="F9" s="12"/>
      <c r="G9" s="12"/>
      <c r="H9" s="17">
        <f t="shared" si="2"/>
        <v>38049.713750597068</v>
      </c>
      <c r="I9" s="18">
        <f t="shared" si="0"/>
        <v>0.15433275699615479</v>
      </c>
      <c r="L9" s="12">
        <v>0.24939013359212192</v>
      </c>
    </row>
    <row r="10" spans="1:12" x14ac:dyDescent="0.3">
      <c r="A10" s="11">
        <v>50000</v>
      </c>
      <c r="B10" s="12">
        <v>0.91522479057312012</v>
      </c>
      <c r="C10" s="12">
        <v>1.7887033224105835</v>
      </c>
      <c r="D10" s="14">
        <f t="shared" si="1"/>
        <v>0.1495539915236698</v>
      </c>
      <c r="E10" s="14"/>
      <c r="F10" s="12"/>
      <c r="G10" s="12"/>
      <c r="H10" s="17">
        <f t="shared" si="2"/>
        <v>65546.157064985469</v>
      </c>
      <c r="I10" s="18">
        <f t="shared" si="0"/>
        <v>6.8969190120697021E-2</v>
      </c>
      <c r="L10" s="12">
        <v>0.14285568397050588</v>
      </c>
    </row>
    <row r="11" spans="1:12" x14ac:dyDescent="0.3">
      <c r="A11" s="11">
        <v>100000</v>
      </c>
      <c r="B11" s="12">
        <v>0.98419398069381714</v>
      </c>
      <c r="C11" s="12">
        <v>1.936742901802063</v>
      </c>
      <c r="D11" s="14">
        <f t="shared" si="1"/>
        <v>0.1495539915236698</v>
      </c>
      <c r="E11" s="14"/>
      <c r="F11" s="12"/>
      <c r="G11" s="12"/>
      <c r="H11" s="17">
        <f>C11*A11</f>
        <v>193674.2901802063</v>
      </c>
      <c r="I11" s="18">
        <f>1-B11</f>
        <v>1.5806019306182861E-2</v>
      </c>
      <c r="L11" s="12">
        <v>0.14285568397050588</v>
      </c>
    </row>
    <row r="12" spans="1:12" x14ac:dyDescent="0.3">
      <c r="A12" s="11"/>
      <c r="B12" s="12"/>
      <c r="C12" s="12"/>
      <c r="D12" s="12"/>
      <c r="E12" s="12"/>
      <c r="F12" s="12"/>
      <c r="G12" s="12"/>
    </row>
    <row r="13" spans="1:12" x14ac:dyDescent="0.3">
      <c r="A13" s="11"/>
      <c r="B13" s="12"/>
      <c r="C13" s="12"/>
      <c r="D13" s="12"/>
      <c r="E13" s="12"/>
      <c r="F13" s="12"/>
      <c r="G13" s="12"/>
    </row>
    <row r="14" spans="1:12" x14ac:dyDescent="0.3">
      <c r="A14" s="11"/>
      <c r="B14" s="12"/>
      <c r="C14" s="12"/>
      <c r="D14" s="12"/>
      <c r="E14" s="12"/>
      <c r="F14" s="12"/>
      <c r="G14" s="12"/>
    </row>
    <row r="15" spans="1:12" x14ac:dyDescent="0.3">
      <c r="A15" s="11"/>
      <c r="B15" s="12"/>
      <c r="C15" s="12"/>
      <c r="D15" s="12"/>
      <c r="E15" s="12"/>
      <c r="F15" s="12"/>
      <c r="G15" s="12"/>
    </row>
    <row r="16" spans="1:12" x14ac:dyDescent="0.3">
      <c r="A16" s="11"/>
      <c r="B16" s="12"/>
      <c r="C16" s="12"/>
      <c r="D16" s="12"/>
      <c r="E16" s="12"/>
      <c r="F16" s="12"/>
      <c r="G16" s="12"/>
    </row>
    <row r="17" spans="1:7" x14ac:dyDescent="0.3">
      <c r="A17" s="11"/>
      <c r="B17" s="12"/>
      <c r="C17" s="12"/>
      <c r="D17" s="12"/>
      <c r="E17" s="12"/>
      <c r="F17" s="12"/>
      <c r="G17" s="12"/>
    </row>
    <row r="18" spans="1:7" x14ac:dyDescent="0.3">
      <c r="A18" s="11"/>
      <c r="B18" s="12"/>
      <c r="C18" s="12"/>
      <c r="D18" s="12"/>
      <c r="E18" s="12"/>
      <c r="F18" s="12"/>
      <c r="G18" s="12"/>
    </row>
    <row r="19" spans="1:7" x14ac:dyDescent="0.3">
      <c r="A19" s="11"/>
      <c r="B19" s="12"/>
      <c r="C19" s="12"/>
      <c r="D19" s="12"/>
      <c r="E19" s="12"/>
      <c r="F19" s="12"/>
      <c r="G19" s="12"/>
    </row>
    <row r="20" spans="1:7" x14ac:dyDescent="0.3">
      <c r="A20" s="11"/>
      <c r="B20" s="12"/>
      <c r="C20" s="12"/>
      <c r="D20" s="12"/>
      <c r="E20" s="12"/>
      <c r="F20" s="12"/>
      <c r="G20" s="12"/>
    </row>
    <row r="21" spans="1:7" x14ac:dyDescent="0.3">
      <c r="A21" s="11"/>
      <c r="B21" s="12"/>
      <c r="C21" s="12"/>
      <c r="D21" s="12"/>
      <c r="E21" s="12"/>
      <c r="F21" s="12"/>
      <c r="G21" s="12"/>
    </row>
    <row r="22" spans="1:7" x14ac:dyDescent="0.3">
      <c r="A22" s="7"/>
      <c r="B22" s="7"/>
      <c r="C22" s="7"/>
      <c r="D22" s="7"/>
      <c r="E22" s="7"/>
      <c r="F22" s="7"/>
      <c r="G22" s="7"/>
    </row>
    <row r="23" spans="1:7" x14ac:dyDescent="0.3">
      <c r="A23" s="7"/>
      <c r="B23" s="7"/>
      <c r="C23" s="7"/>
      <c r="D23" s="7"/>
      <c r="E23" s="7"/>
      <c r="F23" s="7"/>
      <c r="G23" s="7"/>
    </row>
    <row r="24" spans="1:7" x14ac:dyDescent="0.3">
      <c r="A24" s="7"/>
      <c r="B24" s="7"/>
      <c r="C24" s="7"/>
      <c r="D24" s="7"/>
      <c r="E24" s="7"/>
      <c r="F24" s="7"/>
      <c r="G24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164</vt:i4>
      </vt:variant>
    </vt:vector>
  </HeadingPairs>
  <TitlesOfParts>
    <vt:vector size="164" baseType="lpstr">
      <vt:lpstr>ReadMe</vt:lpstr>
      <vt:lpstr>1900</vt:lpstr>
      <vt:lpstr>1910</vt:lpstr>
      <vt:lpstr>1915</vt:lpstr>
      <vt:lpstr>1916</vt:lpstr>
      <vt:lpstr>1917</vt:lpstr>
      <vt:lpstr>1918</vt:lpstr>
      <vt:lpstr>1919</vt:lpstr>
      <vt:lpstr>1920</vt:lpstr>
      <vt:lpstr>1921</vt:lpstr>
      <vt:lpstr>1922</vt:lpstr>
      <vt:lpstr>1923</vt:lpstr>
      <vt:lpstr>1924</vt:lpstr>
      <vt:lpstr>1925</vt:lpstr>
      <vt:lpstr>1926</vt:lpstr>
      <vt:lpstr>1927</vt:lpstr>
      <vt:lpstr>1928</vt:lpstr>
      <vt:lpstr>1929</vt:lpstr>
      <vt:lpstr>1930</vt:lpstr>
      <vt:lpstr>1931</vt:lpstr>
      <vt:lpstr>1932</vt:lpstr>
      <vt:lpstr>1933</vt:lpstr>
      <vt:lpstr>1934</vt:lpstr>
      <vt:lpstr>1935</vt:lpstr>
      <vt:lpstr>1936</vt:lpstr>
      <vt:lpstr>1937</vt:lpstr>
      <vt:lpstr>1938</vt:lpstr>
      <vt:lpstr>1939</vt:lpstr>
      <vt:lpstr>1940</vt:lpstr>
      <vt:lpstr>1941</vt:lpstr>
      <vt:lpstr>1942</vt:lpstr>
      <vt:lpstr>1943</vt:lpstr>
      <vt:lpstr>1944</vt:lpstr>
      <vt:lpstr>1945</vt:lpstr>
      <vt:lpstr>1946</vt:lpstr>
      <vt:lpstr>1947</vt:lpstr>
      <vt:lpstr>1948</vt:lpstr>
      <vt:lpstr>1949</vt:lpstr>
      <vt:lpstr>1950</vt:lpstr>
      <vt:lpstr>1951</vt:lpstr>
      <vt:lpstr>1952</vt:lpstr>
      <vt:lpstr>1953</vt:lpstr>
      <vt:lpstr>1954</vt:lpstr>
      <vt:lpstr>1955</vt:lpstr>
      <vt:lpstr>1956</vt:lpstr>
      <vt:lpstr>1957</vt:lpstr>
      <vt:lpstr>1958</vt:lpstr>
      <vt:lpstr>1959</vt:lpstr>
      <vt:lpstr>1960</vt:lpstr>
      <vt:lpstr>1961</vt:lpstr>
      <vt:lpstr>1962</vt:lpstr>
      <vt:lpstr>1963</vt:lpstr>
      <vt:lpstr>1964</vt:lpstr>
      <vt:lpstr>1965</vt:lpstr>
      <vt:lpstr>1966</vt:lpstr>
      <vt:lpstr>1967</vt:lpstr>
      <vt:lpstr>1968</vt:lpstr>
      <vt:lpstr>1969</vt:lpstr>
      <vt:lpstr>1970</vt:lpstr>
      <vt:lpstr>1971</vt:lpstr>
      <vt:lpstr>1972</vt:lpstr>
      <vt:lpstr>1973</vt:lpstr>
      <vt:lpstr>1974</vt:lpstr>
      <vt:lpstr>1975</vt:lpstr>
      <vt:lpstr>1976</vt:lpstr>
      <vt:lpstr>1977</vt:lpstr>
      <vt:lpstr>1978</vt:lpstr>
      <vt:lpstr>1979</vt:lpstr>
      <vt:lpstr>1980</vt:lpstr>
      <vt:lpstr>1981</vt:lpstr>
      <vt:lpstr>1982</vt:lpstr>
      <vt:lpstr>1983</vt:lpstr>
      <vt:lpstr>1984</vt:lpstr>
      <vt:lpstr>1985</vt:lpstr>
      <vt:lpstr>1986</vt:lpstr>
      <vt:lpstr>1987</vt:lpstr>
      <vt:lpstr>1988</vt:lpstr>
      <vt:lpstr>1989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2001pv</vt:lpstr>
      <vt:lpstr>2002pv</vt:lpstr>
      <vt:lpstr>1931raw</vt:lpstr>
      <vt:lpstr>1932raw</vt:lpstr>
      <vt:lpstr>1933raw</vt:lpstr>
      <vt:lpstr>1934raw</vt:lpstr>
      <vt:lpstr>1935raw</vt:lpstr>
      <vt:lpstr>1942raw</vt:lpstr>
      <vt:lpstr>1943raw</vt:lpstr>
      <vt:lpstr>1944raw</vt:lpstr>
      <vt:lpstr>1945temp</vt:lpstr>
      <vt:lpstr>1946temp</vt:lpstr>
      <vt:lpstr>1947temp</vt:lpstr>
      <vt:lpstr>1948temp</vt:lpstr>
      <vt:lpstr>1949temp</vt:lpstr>
      <vt:lpstr>1950temp</vt:lpstr>
      <vt:lpstr>1951temp</vt:lpstr>
      <vt:lpstr>1952temp</vt:lpstr>
      <vt:lpstr>1953temp</vt:lpstr>
      <vt:lpstr>1954temp</vt:lpstr>
      <vt:lpstr>1955temp</vt:lpstr>
      <vt:lpstr>1956temp</vt:lpstr>
      <vt:lpstr>1957temp</vt:lpstr>
      <vt:lpstr>1958temp</vt:lpstr>
      <vt:lpstr>1959temp</vt:lpstr>
      <vt:lpstr>1960temp</vt:lpstr>
      <vt:lpstr>1961temp</vt:lpstr>
      <vt:lpstr>1962temp</vt:lpstr>
      <vt:lpstr>1963temp</vt:lpstr>
      <vt:lpstr>1964temp</vt:lpstr>
      <vt:lpstr>1965temp</vt:lpstr>
      <vt:lpstr>1966temp</vt:lpstr>
      <vt:lpstr>1967temp</vt:lpstr>
      <vt:lpstr>1968temp</vt:lpstr>
      <vt:lpstr>1969temp</vt:lpstr>
      <vt:lpstr>1970temp</vt:lpstr>
      <vt:lpstr>1971temp</vt:lpstr>
      <vt:lpstr>1972temp</vt:lpstr>
      <vt:lpstr>1973temp</vt:lpstr>
      <vt:lpstr>1974temp</vt:lpstr>
      <vt:lpstr>1975temp</vt:lpstr>
      <vt:lpstr>1976temp</vt:lpstr>
      <vt:lpstr>1977temp</vt:lpstr>
      <vt:lpstr>1978temp</vt:lpstr>
      <vt:lpstr>1979temp</vt:lpstr>
      <vt:lpstr>1980temp</vt:lpstr>
      <vt:lpstr>1981temp</vt:lpstr>
      <vt:lpstr>1982temp</vt:lpstr>
      <vt:lpstr>1983temp</vt:lpstr>
      <vt:lpstr>1984temp</vt:lpstr>
      <vt:lpstr>1985temp</vt:lpstr>
      <vt:lpstr>1986temp</vt:lpstr>
      <vt:lpstr>1987temp</vt:lpstr>
      <vt:lpstr>1988temp</vt:lpstr>
      <vt:lpstr>1989temp</vt:lpstr>
      <vt:lpstr>1990temp</vt:lpstr>
      <vt:lpstr>1991temp</vt:lpstr>
      <vt:lpstr>1992temp</vt:lpstr>
      <vt:lpstr>1993temp</vt:lpstr>
      <vt:lpstr>1994temp</vt:lpstr>
      <vt:lpstr>1995temp</vt:lpstr>
      <vt:lpstr>1996temp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Fournier</dc:creator>
  <cp:lastModifiedBy>Thomas Piketty</cp:lastModifiedBy>
  <dcterms:created xsi:type="dcterms:W3CDTF">2016-02-09T20:39:20Z</dcterms:created>
  <dcterms:modified xsi:type="dcterms:W3CDTF">2016-05-16T17:29:50Z</dcterms:modified>
</cp:coreProperties>
</file>